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G:\เอกสาร e-biding (งบข้อบัญญัติ ถนน บ้านหนองขามน้อย หมู่ที่ 4 และ บ้านโคกไม้งาม หมู่ที่ 11)\"/>
    </mc:Choice>
  </mc:AlternateContent>
  <xr:revisionPtr revIDLastSave="0" documentId="13_ncr:1_{D21F0EA5-318E-48A6-B5CC-660DB7E0D6C6}" xr6:coauthVersionLast="47" xr6:coauthVersionMax="47" xr10:uidLastSave="{00000000-0000-0000-0000-000000000000}"/>
  <bookViews>
    <workbookView xWindow="-120" yWindow="-120" windowWidth="20730" windowHeight="11160" tabRatio="821" firstSheet="4" activeTab="11" xr2:uid="{00000000-000D-0000-FFFF-FFFF00000000}"/>
  </bookViews>
  <sheets>
    <sheet name="กรอกข้อมูล" sheetId="40" state="hidden" r:id="rId1"/>
    <sheet name="กรอกราคาวัสดุ" sheetId="6" state="hidden" r:id="rId2"/>
    <sheet name="ค่างานต้นทุน" sheetId="15" state="hidden" r:id="rId3"/>
    <sheet name="ปร.5 road" sheetId="34" state="hidden" r:id="rId4"/>
    <sheet name="ปร.4 road" sheetId="11" r:id="rId5"/>
    <sheet name="ปะคำ" sheetId="120" state="hidden" r:id="rId6"/>
    <sheet name="งวดเงิน" sheetId="119" state="hidden" r:id="rId7"/>
    <sheet name="งวดเงิน%" sheetId="118" state="hidden" r:id="rId8"/>
    <sheet name="สรุปงวด" sheetId="95" state="hidden" r:id="rId9"/>
    <sheet name="แผนที่ขนส่ง1" sheetId="73" state="hidden" r:id="rId10"/>
    <sheet name="ราคาป้าย" sheetId="45" state="hidden" r:id="rId11"/>
    <sheet name="ราคากลาง" sheetId="116" r:id="rId12"/>
    <sheet name="บัญชี" sheetId="117" state="hidden" r:id="rId13"/>
    <sheet name="งานกำแพงปากท่อ" sheetId="17" state="hidden" r:id="rId14"/>
    <sheet name="รายระบายน้ำ-2" sheetId="51" state="hidden" r:id="rId15"/>
    <sheet name="อำนวยการ(Bridge)" sheetId="43" state="hidden" r:id="rId16"/>
    <sheet name="ดอกเบี้ย(Bridge)" sheetId="42" state="hidden" r:id="rId17"/>
    <sheet name="ดอกเบี้ย(Road)" sheetId="28" state="hidden" r:id="rId18"/>
    <sheet name="รางระบายน้ำ" sheetId="37" state="hidden" r:id="rId19"/>
    <sheet name="บ่อพัก" sheetId="36" state="hidden" r:id="rId20"/>
    <sheet name="ขนาด ท่อ" sheetId="19" state="hidden" r:id="rId21"/>
    <sheet name="(F Road)" sheetId="29" state="hidden" r:id="rId22"/>
    <sheet name="F(Bridge)" sheetId="44" state="hidden" r:id="rId23"/>
    <sheet name="ค่าเสื่อมราคา(แก้ไข26ธค.60)" sheetId="12" state="hidden" r:id="rId24"/>
    <sheet name="Oil(แก้ไข26 ธค.60)" sheetId="14" state="hidden" r:id="rId25"/>
    <sheet name="1.ป้ายจราจร " sheetId="112" state="hidden" r:id="rId26"/>
    <sheet name="2.สำนักงาน" sheetId="108" state="hidden" r:id="rId27"/>
    <sheet name="3.ค่าเช่ารถ" sheetId="109" state="hidden" r:id="rId28"/>
    <sheet name="4.ส่วนร่วม" sheetId="110" state="hidden" r:id="rId29"/>
    <sheet name="อำนวยการ(Road)" sheetId="27" state="hidden" r:id="rId30"/>
    <sheet name="Sheet1" sheetId="46" state="hidden" r:id="rId31"/>
    <sheet name="Sheet2" sheetId="47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 localSheetId="25">#REF!</definedName>
    <definedName name="\a" localSheetId="28">#REF!</definedName>
    <definedName name="\a" localSheetId="6">#REF!</definedName>
    <definedName name="\a" localSheetId="7">#REF!</definedName>
    <definedName name="\a" localSheetId="12">#REF!</definedName>
    <definedName name="\a" localSheetId="5">#REF!</definedName>
    <definedName name="\a" localSheetId="11">#REF!</definedName>
    <definedName name="\a" localSheetId="8">#REF!</definedName>
    <definedName name="\a">#REF!</definedName>
    <definedName name="\z" localSheetId="25">#REF!</definedName>
    <definedName name="\z" localSheetId="28">#REF!</definedName>
    <definedName name="\z" localSheetId="6">#REF!</definedName>
    <definedName name="\z" localSheetId="7">#REF!</definedName>
    <definedName name="\z" localSheetId="12">#REF!</definedName>
    <definedName name="\z" localSheetId="5">#REF!</definedName>
    <definedName name="\z" localSheetId="11">#REF!</definedName>
    <definedName name="\z">#REF!</definedName>
    <definedName name="__st12">[1]ข้อมูลคำนวณ!$H$130</definedName>
    <definedName name="__st16">[1]ข้อมูลคำนวณ!$F$130</definedName>
    <definedName name="__st25">[1]ข้อมูลคำนวณ!$D$130</definedName>
    <definedName name="__st6">[1]ข้อมูลคำนวณ!$L$130</definedName>
    <definedName name="__st9">[1]ข้อมูลคำนวณ!$J$130</definedName>
    <definedName name="_st12" localSheetId="25">[2]ข้อมูลคำนวณ!$H$130</definedName>
    <definedName name="_st12" localSheetId="26">[2]ข้อมูลคำนวณ!$H$130</definedName>
    <definedName name="_st12" localSheetId="27">[2]ข้อมูลคำนวณ!$H$130</definedName>
    <definedName name="_st12" localSheetId="28">[2]ข้อมูลคำนวณ!$H$130</definedName>
    <definedName name="_st12" localSheetId="6">#REF!</definedName>
    <definedName name="_st12" localSheetId="7">#REF!</definedName>
    <definedName name="_st12" localSheetId="12">#REF!</definedName>
    <definedName name="_st12" localSheetId="5">#REF!</definedName>
    <definedName name="_st12" localSheetId="11">#REF!</definedName>
    <definedName name="_st12" localSheetId="8">[3]ข้อมูลคำนวณ!$H$130</definedName>
    <definedName name="_st12">#REF!</definedName>
    <definedName name="_st16" localSheetId="25">[2]ข้อมูลคำนวณ!$F$130</definedName>
    <definedName name="_st16" localSheetId="26">[2]ข้อมูลคำนวณ!$F$130</definedName>
    <definedName name="_st16" localSheetId="27">[2]ข้อมูลคำนวณ!$F$130</definedName>
    <definedName name="_st16" localSheetId="28">[2]ข้อมูลคำนวณ!$F$130</definedName>
    <definedName name="_st16" localSheetId="6">#REF!</definedName>
    <definedName name="_st16" localSheetId="7">#REF!</definedName>
    <definedName name="_st16" localSheetId="12">#REF!</definedName>
    <definedName name="_st16" localSheetId="5">#REF!</definedName>
    <definedName name="_st16" localSheetId="11">#REF!</definedName>
    <definedName name="_st16" localSheetId="8">[3]ข้อมูลคำนวณ!$F$130</definedName>
    <definedName name="_st16">#REF!</definedName>
    <definedName name="_st25" localSheetId="25">[2]ข้อมูลคำนวณ!$D$130</definedName>
    <definedName name="_st25" localSheetId="26">[2]ข้อมูลคำนวณ!$D$130</definedName>
    <definedName name="_st25" localSheetId="27">[2]ข้อมูลคำนวณ!$D$130</definedName>
    <definedName name="_st25" localSheetId="28">[2]ข้อมูลคำนวณ!$D$130</definedName>
    <definedName name="_st25" localSheetId="6">#REF!</definedName>
    <definedName name="_st25" localSheetId="7">#REF!</definedName>
    <definedName name="_st25" localSheetId="12">#REF!</definedName>
    <definedName name="_st25" localSheetId="5">#REF!</definedName>
    <definedName name="_st25" localSheetId="11">#REF!</definedName>
    <definedName name="_st25" localSheetId="8">[3]ข้อมูลคำนวณ!$D$130</definedName>
    <definedName name="_st25">#REF!</definedName>
    <definedName name="_st6" localSheetId="25">[2]ข้อมูลคำนวณ!$L$130</definedName>
    <definedName name="_st6" localSheetId="26">[2]ข้อมูลคำนวณ!$L$130</definedName>
    <definedName name="_st6" localSheetId="27">[2]ข้อมูลคำนวณ!$L$130</definedName>
    <definedName name="_st6" localSheetId="28">[2]ข้อมูลคำนวณ!$L$130</definedName>
    <definedName name="_st6" localSheetId="6">#REF!</definedName>
    <definedName name="_st6" localSheetId="7">#REF!</definedName>
    <definedName name="_st6" localSheetId="12">#REF!</definedName>
    <definedName name="_st6" localSheetId="5">#REF!</definedName>
    <definedName name="_st6" localSheetId="11">#REF!</definedName>
    <definedName name="_st6" localSheetId="8">[3]ข้อมูลคำนวณ!$L$130</definedName>
    <definedName name="_st6">#REF!</definedName>
    <definedName name="_st9" localSheetId="25">[2]ข้อมูลคำนวณ!$J$130</definedName>
    <definedName name="_st9" localSheetId="26">[2]ข้อมูลคำนวณ!$J$130</definedName>
    <definedName name="_st9" localSheetId="27">[2]ข้อมูลคำนวณ!$J$130</definedName>
    <definedName name="_st9" localSheetId="28">[2]ข้อมูลคำนวณ!$J$130</definedName>
    <definedName name="_st9" localSheetId="6">#REF!</definedName>
    <definedName name="_st9" localSheetId="7">#REF!</definedName>
    <definedName name="_st9" localSheetId="12">#REF!</definedName>
    <definedName name="_st9" localSheetId="5">#REF!</definedName>
    <definedName name="_st9" localSheetId="11">#REF!</definedName>
    <definedName name="_st9" localSheetId="8">[3]ข้อมูลคำนวณ!$J$130</definedName>
    <definedName name="_st9">#REF!</definedName>
    <definedName name="AT" localSheetId="25">#REF!</definedName>
    <definedName name="AT" localSheetId="28">#REF!</definedName>
    <definedName name="AT" localSheetId="6">#REF!</definedName>
    <definedName name="AT" localSheetId="7">#REF!</definedName>
    <definedName name="AT" localSheetId="12">#REF!</definedName>
    <definedName name="AT" localSheetId="5">#REF!</definedName>
    <definedName name="AT" localSheetId="11">#REF!</definedName>
    <definedName name="AT" localSheetId="8">#REF!</definedName>
    <definedName name="AT">#REF!</definedName>
    <definedName name="BZ" localSheetId="25">#REF!</definedName>
    <definedName name="BZ" localSheetId="28">#REF!</definedName>
    <definedName name="BZ" localSheetId="6">#REF!</definedName>
    <definedName name="BZ" localSheetId="7">#REF!</definedName>
    <definedName name="BZ" localSheetId="12">#REF!</definedName>
    <definedName name="BZ" localSheetId="5">#REF!</definedName>
    <definedName name="BZ" localSheetId="11">#REF!</definedName>
    <definedName name="BZ">#REF!</definedName>
    <definedName name="CR" localSheetId="25">#REF!</definedName>
    <definedName name="CR" localSheetId="28">#REF!</definedName>
    <definedName name="CR" localSheetId="6">#REF!</definedName>
    <definedName name="CR" localSheetId="7">#REF!</definedName>
    <definedName name="CR" localSheetId="12">#REF!</definedName>
    <definedName name="CR" localSheetId="5">#REF!</definedName>
    <definedName name="CR" localSheetId="11">#REF!</definedName>
    <definedName name="CR">#REF!</definedName>
    <definedName name="cs" localSheetId="25">#REF!</definedName>
    <definedName name="cs" localSheetId="28">#REF!</definedName>
    <definedName name="cs" localSheetId="6">#REF!</definedName>
    <definedName name="cs" localSheetId="7">#REF!</definedName>
    <definedName name="cs" localSheetId="12">#REF!</definedName>
    <definedName name="cs" localSheetId="5">#REF!</definedName>
    <definedName name="cs" localSheetId="11">#REF!</definedName>
    <definedName name="cs">#REF!</definedName>
    <definedName name="CT" localSheetId="25">#REF!</definedName>
    <definedName name="CT" localSheetId="28">#REF!</definedName>
    <definedName name="CT" localSheetId="6">#REF!</definedName>
    <definedName name="CT" localSheetId="7">#REF!</definedName>
    <definedName name="CT" localSheetId="12">#REF!</definedName>
    <definedName name="CT" localSheetId="5">#REF!</definedName>
    <definedName name="CT" localSheetId="11">#REF!</definedName>
    <definedName name="CT">#REF!</definedName>
    <definedName name="CV" localSheetId="25">#REF!</definedName>
    <definedName name="CV" localSheetId="28">#REF!</definedName>
    <definedName name="CV" localSheetId="6">#REF!</definedName>
    <definedName name="CV" localSheetId="7">#REF!</definedName>
    <definedName name="CV" localSheetId="12">#REF!</definedName>
    <definedName name="CV" localSheetId="5">#REF!</definedName>
    <definedName name="CV" localSheetId="11">#REF!</definedName>
    <definedName name="CV">#REF!</definedName>
    <definedName name="D" localSheetId="25">[2]ค่างานต้นทุน!$I$212</definedName>
    <definedName name="D" localSheetId="26">[2]ค่างานต้นทุน!$I$212</definedName>
    <definedName name="D" localSheetId="27">[2]ค่างานต้นทุน!$I$212</definedName>
    <definedName name="D" localSheetId="28">[2]ค่างานต้นทุน!$I$212</definedName>
    <definedName name="D" localSheetId="6">[4]ค่างานต้นทุน!$I$210</definedName>
    <definedName name="D" localSheetId="7">[4]ค่างานต้นทุน!$I$210</definedName>
    <definedName name="D" localSheetId="5">[5]ค่างานต้นทุน!$I$210</definedName>
    <definedName name="D" localSheetId="8">[3]ค่างานต้นทุน!$I$210</definedName>
    <definedName name="D">ค่างานต้นทุน!$I$222</definedName>
    <definedName name="Data">'ค่าเสื่อมราคา(แก้ไข26ธค.60)'!$L$6:$DW$50</definedName>
    <definedName name="_xlnm.Database" localSheetId="25">#REF!</definedName>
    <definedName name="_xlnm.Database" localSheetId="28">#REF!</definedName>
    <definedName name="_xlnm.Database" localSheetId="6">#REF!</definedName>
    <definedName name="_xlnm.Database" localSheetId="7">#REF!</definedName>
    <definedName name="_xlnm.Database" localSheetId="12">#REF!</definedName>
    <definedName name="_xlnm.Database" localSheetId="5">#REF!</definedName>
    <definedName name="_xlnm.Database" localSheetId="11">#REF!</definedName>
    <definedName name="_xlnm.Database" localSheetId="8">#REF!</definedName>
    <definedName name="_xlnm.Database">#REF!</definedName>
    <definedName name="db_12" localSheetId="25">#REF!</definedName>
    <definedName name="db_12" localSheetId="28">#REF!</definedName>
    <definedName name="db_12" localSheetId="6">#REF!</definedName>
    <definedName name="db_12" localSheetId="7">#REF!</definedName>
    <definedName name="db_12" localSheetId="12">#REF!</definedName>
    <definedName name="db_12" localSheetId="5">#REF!</definedName>
    <definedName name="db_12" localSheetId="11">#REF!</definedName>
    <definedName name="db_12">#REF!</definedName>
    <definedName name="db_16" localSheetId="25">#REF!</definedName>
    <definedName name="db_16" localSheetId="28">#REF!</definedName>
    <definedName name="db_16" localSheetId="6">#REF!</definedName>
    <definedName name="db_16" localSheetId="7">#REF!</definedName>
    <definedName name="db_16" localSheetId="12">#REF!</definedName>
    <definedName name="db_16" localSheetId="5">#REF!</definedName>
    <definedName name="db_16" localSheetId="11">#REF!</definedName>
    <definedName name="db_16">#REF!</definedName>
    <definedName name="db_25" localSheetId="25">#REF!</definedName>
    <definedName name="db_25" localSheetId="28">#REF!</definedName>
    <definedName name="db_25" localSheetId="6">#REF!</definedName>
    <definedName name="db_25" localSheetId="7">#REF!</definedName>
    <definedName name="db_25" localSheetId="12">#REF!</definedName>
    <definedName name="db_25" localSheetId="5">#REF!</definedName>
    <definedName name="db_25" localSheetId="11">#REF!</definedName>
    <definedName name="db_25">#REF!</definedName>
    <definedName name="DS" localSheetId="25">#REF!</definedName>
    <definedName name="DS" localSheetId="28">#REF!</definedName>
    <definedName name="DS" localSheetId="6">#REF!</definedName>
    <definedName name="DS" localSheetId="7">#REF!</definedName>
    <definedName name="DS" localSheetId="12">#REF!</definedName>
    <definedName name="DS" localSheetId="5">#REF!</definedName>
    <definedName name="DS" localSheetId="11">#REF!</definedName>
    <definedName name="DS">#REF!</definedName>
    <definedName name="DT" localSheetId="25">#REF!</definedName>
    <definedName name="DT" localSheetId="28">#REF!</definedName>
    <definedName name="DT" localSheetId="6">#REF!</definedName>
    <definedName name="DT" localSheetId="7">#REF!</definedName>
    <definedName name="DT" localSheetId="12">#REF!</definedName>
    <definedName name="DT" localSheetId="5">#REF!</definedName>
    <definedName name="DT" localSheetId="11">#REF!</definedName>
    <definedName name="DT">#REF!</definedName>
    <definedName name="ea" localSheetId="25">[2]ค่างานต้นทุนสะพาน!$D$53</definedName>
    <definedName name="ea" localSheetId="26">[2]ค่างานต้นทุนสะพาน!$D$53</definedName>
    <definedName name="ea" localSheetId="27">[2]ค่างานต้นทุนสะพาน!$D$53</definedName>
    <definedName name="ea" localSheetId="28">[2]ค่างานต้นทุนสะพาน!$D$53</definedName>
    <definedName name="ea" localSheetId="6">#REF!</definedName>
    <definedName name="ea" localSheetId="7">#REF!</definedName>
    <definedName name="ea" localSheetId="12">#REF!</definedName>
    <definedName name="ea" localSheetId="5">#REF!</definedName>
    <definedName name="ea" localSheetId="11">#REF!</definedName>
    <definedName name="ea" localSheetId="8">[3]ค่างานต้นทุนสะพาน!$D$53</definedName>
    <definedName name="ea">#REF!</definedName>
    <definedName name="ER" localSheetId="25">#REF!</definedName>
    <definedName name="ER" localSheetId="28">#REF!</definedName>
    <definedName name="ER" localSheetId="6">#REF!</definedName>
    <definedName name="ER" localSheetId="7">#REF!</definedName>
    <definedName name="ER" localSheetId="12">#REF!</definedName>
    <definedName name="ER" localSheetId="5">#REF!</definedName>
    <definedName name="ER" localSheetId="11">#REF!</definedName>
    <definedName name="ER" localSheetId="8">#REF!</definedName>
    <definedName name="ER">#REF!</definedName>
    <definedName name="froad" localSheetId="25">#REF!</definedName>
    <definedName name="froad" localSheetId="28">#REF!</definedName>
    <definedName name="froad" localSheetId="6">#REF!</definedName>
    <definedName name="froad" localSheetId="7">#REF!</definedName>
    <definedName name="froad" localSheetId="12">#REF!</definedName>
    <definedName name="froad" localSheetId="5">#REF!</definedName>
    <definedName name="froad" localSheetId="11">#REF!</definedName>
    <definedName name="froad">#REF!</definedName>
    <definedName name="GR" localSheetId="25">#REF!</definedName>
    <definedName name="GR" localSheetId="28">#REF!</definedName>
    <definedName name="GR" localSheetId="6">#REF!</definedName>
    <definedName name="GR" localSheetId="7">#REF!</definedName>
    <definedName name="GR" localSheetId="12">#REF!</definedName>
    <definedName name="GR" localSheetId="5">#REF!</definedName>
    <definedName name="GR" localSheetId="11">#REF!</definedName>
    <definedName name="GR">#REF!</definedName>
    <definedName name="k" localSheetId="6">[6]สิบล้อขนส่ง!$AH$84</definedName>
    <definedName name="k" localSheetId="7">[6]สิบล้อขนส่ง!$AH$84</definedName>
    <definedName name="k" localSheetId="5">[7]สิบล้อขนส่ง!$AH$84</definedName>
    <definedName name="k">[6]สิบล้อขนส่ง!$AH$84</definedName>
    <definedName name="l" localSheetId="25">[2]ค่างานต้นทุน!$I$210</definedName>
    <definedName name="l" localSheetId="26">[2]ค่างานต้นทุน!$I$210</definedName>
    <definedName name="l" localSheetId="27">[2]ค่างานต้นทุน!$I$210</definedName>
    <definedName name="l" localSheetId="28">[2]ค่างานต้นทุน!$I$210</definedName>
    <definedName name="l" localSheetId="6">[4]ค่างานต้นทุน!$I$208</definedName>
    <definedName name="l" localSheetId="7">[4]ค่างานต้นทุน!$I$208</definedName>
    <definedName name="l" localSheetId="5">[5]ค่างานต้นทุน!$I$208</definedName>
    <definedName name="l" localSheetId="8">[3]ค่างานต้นทุน!$I$208</definedName>
    <definedName name="l">ค่างานต้นทุน!$I$220</definedName>
    <definedName name="LB" localSheetId="25">#REF!</definedName>
    <definedName name="LB" localSheetId="28">#REF!</definedName>
    <definedName name="LB" localSheetId="6">#REF!</definedName>
    <definedName name="LB" localSheetId="7">#REF!</definedName>
    <definedName name="LB" localSheetId="12">#REF!</definedName>
    <definedName name="LB" localSheetId="5">#REF!</definedName>
    <definedName name="LB" localSheetId="11">#REF!</definedName>
    <definedName name="LB" localSheetId="8">#REF!</definedName>
    <definedName name="LB">#REF!</definedName>
    <definedName name="LBD" localSheetId="25">#REF!</definedName>
    <definedName name="LBD" localSheetId="28">#REF!</definedName>
    <definedName name="LBD" localSheetId="6">#REF!</definedName>
    <definedName name="LBD" localSheetId="7">#REF!</definedName>
    <definedName name="LBD" localSheetId="12">#REF!</definedName>
    <definedName name="LBD" localSheetId="5">#REF!</definedName>
    <definedName name="LBD" localSheetId="11">#REF!</definedName>
    <definedName name="LBD">#REF!</definedName>
    <definedName name="LR" localSheetId="25">#REF!</definedName>
    <definedName name="LR" localSheetId="28">#REF!</definedName>
    <definedName name="LR" localSheetId="6">#REF!</definedName>
    <definedName name="LR" localSheetId="7">#REF!</definedName>
    <definedName name="LR" localSheetId="12">#REF!</definedName>
    <definedName name="LR" localSheetId="5">#REF!</definedName>
    <definedName name="LR" localSheetId="11">#REF!</definedName>
    <definedName name="LR">#REF!</definedName>
    <definedName name="LUB" localSheetId="25">#REF!</definedName>
    <definedName name="LUB" localSheetId="28">#REF!</definedName>
    <definedName name="LUB" localSheetId="6">#REF!</definedName>
    <definedName name="LUB" localSheetId="7">#REF!</definedName>
    <definedName name="LUB" localSheetId="12">#REF!</definedName>
    <definedName name="LUB" localSheetId="5">#REF!</definedName>
    <definedName name="LUB" localSheetId="11">#REF!</definedName>
    <definedName name="LUB">#REF!</definedName>
    <definedName name="oil" localSheetId="25">[2]Oil!$B$5:$G$1006</definedName>
    <definedName name="oil" localSheetId="26">[2]Oil!$B$5:$G$1006</definedName>
    <definedName name="oil" localSheetId="27">[2]Oil!$B$5:$G$1006</definedName>
    <definedName name="oil" localSheetId="28">[2]Oil!$B$5:$G$1006</definedName>
    <definedName name="oil" localSheetId="6">'[4]Oil(แก้ไขล่าสุด6 มิย60)'!$B$5:$G$1006</definedName>
    <definedName name="oil" localSheetId="7">'[4]Oil(แก้ไขล่าสุด6 มิย60)'!$B$5:$G$1006</definedName>
    <definedName name="oil" localSheetId="5">'[5]Oil(แก้ไขล่าสุด 6 มิย.60)'!$B$5:$G$1006</definedName>
    <definedName name="oil" localSheetId="8">[3]Oil!$B$5:$G$1006</definedName>
    <definedName name="oil">'Oil(แก้ไข26 ธค.60)'!$B$5:$G$1006</definedName>
    <definedName name="P" localSheetId="25">[2]ค่างานต้นทุน!$I$213</definedName>
    <definedName name="P" localSheetId="26">[2]ค่างานต้นทุน!$I$213</definedName>
    <definedName name="P" localSheetId="27">[2]ค่างานต้นทุน!$I$213</definedName>
    <definedName name="P" localSheetId="28">[2]ค่างานต้นทุน!$I$213</definedName>
    <definedName name="P" localSheetId="6">[4]ค่างานต้นทุน!$I$211</definedName>
    <definedName name="P" localSheetId="7">[4]ค่างานต้นทุน!$I$211</definedName>
    <definedName name="P" localSheetId="5">[5]ค่างานต้นทุน!$I$211</definedName>
    <definedName name="P" localSheetId="8">[3]ค่างานต้นทุน!$I$211</definedName>
    <definedName name="P">ค่างานต้นทุน!$I$223</definedName>
    <definedName name="pc" localSheetId="25">#REF!</definedName>
    <definedName name="pc" localSheetId="28">#REF!</definedName>
    <definedName name="pc" localSheetId="6">#REF!</definedName>
    <definedName name="pc" localSheetId="7">#REF!</definedName>
    <definedName name="pc" localSheetId="12">#REF!</definedName>
    <definedName name="pc" localSheetId="5">#REF!</definedName>
    <definedName name="pc" localSheetId="11">#REF!</definedName>
    <definedName name="pc" localSheetId="8">#REF!</definedName>
    <definedName name="pc">#REF!</definedName>
    <definedName name="pipe100" localSheetId="25">#REF!</definedName>
    <definedName name="pipe100" localSheetId="28">#REF!</definedName>
    <definedName name="pipe100" localSheetId="6">#REF!</definedName>
    <definedName name="pipe100" localSheetId="7">#REF!</definedName>
    <definedName name="pipe100" localSheetId="12">#REF!</definedName>
    <definedName name="pipe100" localSheetId="5">#REF!</definedName>
    <definedName name="pipe100" localSheetId="11">#REF!</definedName>
    <definedName name="pipe100">#REF!</definedName>
    <definedName name="pipe120" localSheetId="25">#REF!</definedName>
    <definedName name="pipe120" localSheetId="28">#REF!</definedName>
    <definedName name="pipe120" localSheetId="6">#REF!</definedName>
    <definedName name="pipe120" localSheetId="7">#REF!</definedName>
    <definedName name="pipe120" localSheetId="12">#REF!</definedName>
    <definedName name="pipe120" localSheetId="5">#REF!</definedName>
    <definedName name="pipe120" localSheetId="11">#REF!</definedName>
    <definedName name="pipe120">#REF!</definedName>
    <definedName name="pipe150" localSheetId="25">#REF!</definedName>
    <definedName name="pipe150" localSheetId="28">#REF!</definedName>
    <definedName name="pipe150" localSheetId="6">#REF!</definedName>
    <definedName name="pipe150" localSheetId="7">#REF!</definedName>
    <definedName name="pipe150" localSheetId="12">#REF!</definedName>
    <definedName name="pipe150" localSheetId="5">#REF!</definedName>
    <definedName name="pipe150" localSheetId="11">#REF!</definedName>
    <definedName name="pipe150">#REF!</definedName>
    <definedName name="pipe40" localSheetId="25">#REF!</definedName>
    <definedName name="pipe40" localSheetId="28">#REF!</definedName>
    <definedName name="pipe40" localSheetId="6">#REF!</definedName>
    <definedName name="pipe40" localSheetId="7">#REF!</definedName>
    <definedName name="pipe40" localSheetId="12">#REF!</definedName>
    <definedName name="pipe40" localSheetId="5">#REF!</definedName>
    <definedName name="pipe40" localSheetId="11">#REF!</definedName>
    <definedName name="pipe40">#REF!</definedName>
    <definedName name="pipe60" localSheetId="25">#REF!</definedName>
    <definedName name="pipe60" localSheetId="28">#REF!</definedName>
    <definedName name="pipe60" localSheetId="6">#REF!</definedName>
    <definedName name="pipe60" localSheetId="7">#REF!</definedName>
    <definedName name="pipe60" localSheetId="12">#REF!</definedName>
    <definedName name="pipe60" localSheetId="5">#REF!</definedName>
    <definedName name="pipe60" localSheetId="11">#REF!</definedName>
    <definedName name="pipe60">#REF!</definedName>
    <definedName name="pipe80" localSheetId="25">#REF!</definedName>
    <definedName name="pipe80" localSheetId="28">#REF!</definedName>
    <definedName name="pipe80" localSheetId="6">#REF!</definedName>
    <definedName name="pipe80" localSheetId="7">#REF!</definedName>
    <definedName name="pipe80" localSheetId="12">#REF!</definedName>
    <definedName name="pipe80" localSheetId="5">#REF!</definedName>
    <definedName name="pipe80" localSheetId="11">#REF!</definedName>
    <definedName name="pipe80">#REF!</definedName>
    <definedName name="_xlnm.Print_Area" localSheetId="25">'1.ป้ายจราจร '!$A$1:$N$46</definedName>
    <definedName name="_xlnm.Print_Area" localSheetId="26">'2.สำนักงาน'!$A$1:$M$52</definedName>
    <definedName name="_xlnm.Print_Area" localSheetId="27">'3.ค่าเช่ารถ'!$A$1:$M$17</definedName>
    <definedName name="_xlnm.Print_Area" localSheetId="28">'4.ส่วนร่วม'!$A$1:$M$23</definedName>
    <definedName name="_xlnm.Print_Area" localSheetId="1">กรอกราคาวัสดุ!$A$1:$L$82</definedName>
    <definedName name="_xlnm.Print_Area" localSheetId="2">ค่างานต้นทุน!$A$1:$K$648</definedName>
    <definedName name="_xlnm.Print_Area" localSheetId="23">'ค่าเสื่อมราคา(แก้ไข26ธค.60)'!$B$1:$H$81</definedName>
    <definedName name="_xlnm.Print_Area" localSheetId="6">งวดเงิน!$A$1:$I$83</definedName>
    <definedName name="_xlnm.Print_Area" localSheetId="7">'งวดเงิน%'!$A$1:$I$83</definedName>
    <definedName name="_xlnm.Print_Area" localSheetId="13">งานกำแพงปากท่อ!$A$1:$S$189</definedName>
    <definedName name="_xlnm.Print_Area" localSheetId="12">บัญชี!$A$1:$H$94</definedName>
    <definedName name="_xlnm.Print_Area" localSheetId="4">'ปร.4 road'!$A$1:$L$140</definedName>
    <definedName name="_xlnm.Print_Area" localSheetId="3">'ปร.5 road'!$A$1:$J$38</definedName>
    <definedName name="_xlnm.Print_Area" localSheetId="9">แผนที่ขนส่ง1!$A$1:$K$60</definedName>
    <definedName name="_xlnm.Print_Area" localSheetId="11">ราคากลาง!$A$1:$L$112</definedName>
    <definedName name="_xlnm.Print_Titles" localSheetId="2">ค่างานต้นทุน!$3:$3</definedName>
    <definedName name="_xlnm.Print_Titles" localSheetId="12">บัญชี!$1:$5</definedName>
    <definedName name="_xlnm.Print_Titles" localSheetId="4">'ปร.4 road'!$1:$5</definedName>
    <definedName name="_xlnm.Print_Titles" localSheetId="5">ปะคำ!$1:$5</definedName>
    <definedName name="_xlnm.Print_Titles" localSheetId="11">ราคากลาง!$1:$7</definedName>
    <definedName name="rb_6" localSheetId="25">#REF!</definedName>
    <definedName name="rb_6" localSheetId="28">#REF!</definedName>
    <definedName name="rb_6" localSheetId="6">#REF!</definedName>
    <definedName name="rb_6" localSheetId="7">#REF!</definedName>
    <definedName name="rb_6" localSheetId="12">#REF!</definedName>
    <definedName name="rb_6" localSheetId="5">#REF!</definedName>
    <definedName name="rb_6" localSheetId="11">#REF!</definedName>
    <definedName name="rb_6">#REF!</definedName>
    <definedName name="rb_9" localSheetId="25">#REF!</definedName>
    <definedName name="rb_9" localSheetId="28">#REF!</definedName>
    <definedName name="rb_9" localSheetId="6">#REF!</definedName>
    <definedName name="rb_9" localSheetId="7">#REF!</definedName>
    <definedName name="rb_9" localSheetId="12">#REF!</definedName>
    <definedName name="rb_9" localSheetId="5">#REF!</definedName>
    <definedName name="rb_9" localSheetId="11">#REF!</definedName>
    <definedName name="rb_9">#REF!</definedName>
    <definedName name="SB" localSheetId="25">#REF!</definedName>
    <definedName name="SB" localSheetId="28">#REF!</definedName>
    <definedName name="SB" localSheetId="6">#REF!</definedName>
    <definedName name="SB" localSheetId="7">#REF!</definedName>
    <definedName name="SB" localSheetId="12">#REF!</definedName>
    <definedName name="SB" localSheetId="5">#REF!</definedName>
    <definedName name="SB" localSheetId="11">#REF!</definedName>
    <definedName name="SB">#REF!</definedName>
    <definedName name="skew" localSheetId="25">[2]ข้อมูลสะพาน!$I$5</definedName>
    <definedName name="skew" localSheetId="26">[2]ข้อมูลสะพาน!$I$5</definedName>
    <definedName name="skew" localSheetId="27">[2]ข้อมูลสะพาน!$I$5</definedName>
    <definedName name="skew" localSheetId="28">[2]ข้อมูลสะพาน!$I$5</definedName>
    <definedName name="skew" localSheetId="6">#REF!</definedName>
    <definedName name="skew" localSheetId="7">#REF!</definedName>
    <definedName name="skew" localSheetId="12">#REF!</definedName>
    <definedName name="skew" localSheetId="5">#REF!</definedName>
    <definedName name="skew" localSheetId="11">#REF!</definedName>
    <definedName name="skew" localSheetId="8">[3]ข้อมูลสะพาน!$I$5</definedName>
    <definedName name="skew">#REF!</definedName>
    <definedName name="TR" localSheetId="25">#REF!</definedName>
    <definedName name="TR" localSheetId="28">#REF!</definedName>
    <definedName name="TR" localSheetId="6">#REF!</definedName>
    <definedName name="TR" localSheetId="7">#REF!</definedName>
    <definedName name="TR" localSheetId="12">#REF!</definedName>
    <definedName name="TR" localSheetId="5">#REF!</definedName>
    <definedName name="TR" localSheetId="11">#REF!</definedName>
    <definedName name="TR" localSheetId="8">#REF!</definedName>
    <definedName name="TR">#REF!</definedName>
    <definedName name="uuu" localSheetId="6">[6]สิบล้อขนส่ง!$AH$28</definedName>
    <definedName name="uuu" localSheetId="7">[6]สิบล้อขนส่ง!$AH$28</definedName>
    <definedName name="uuu" localSheetId="5">[7]สิบล้อขนส่ง!$AH$28</definedName>
    <definedName name="uuu">[6]สิบล้อขนส่ง!$AH$28</definedName>
    <definedName name="WT" localSheetId="25">#REF!</definedName>
    <definedName name="WT" localSheetId="28">#REF!</definedName>
    <definedName name="WT" localSheetId="6">#REF!</definedName>
    <definedName name="WT" localSheetId="7">#REF!</definedName>
    <definedName name="WT" localSheetId="12">#REF!</definedName>
    <definedName name="WT" localSheetId="5">#REF!</definedName>
    <definedName name="WT" localSheetId="11">#REF!</definedName>
    <definedName name="WT" localSheetId="8">#REF!</definedName>
    <definedName name="WT">#REF!</definedName>
    <definedName name="กรุยทาง" localSheetId="6">#REF!</definedName>
    <definedName name="กรุยทาง" localSheetId="7">#REF!</definedName>
    <definedName name="กรุยทาง" localSheetId="5">[8]ข้อมูลขนส่ง!$F$2</definedName>
    <definedName name="กรุยทาง" localSheetId="9">#REF!</definedName>
    <definedName name="กรุยทาง">[9]ข้อมูลขนส่ง!$F$2</definedName>
    <definedName name="ค2" localSheetId="25">[2]ค่างานต้นทุน!$I$299</definedName>
    <definedName name="ค2" localSheetId="26">[2]ค่างานต้นทุน!$I$299</definedName>
    <definedName name="ค2" localSheetId="27">[2]ค่างานต้นทุน!$I$299</definedName>
    <definedName name="ค2" localSheetId="28">[2]ค่างานต้นทุน!$I$299</definedName>
    <definedName name="ค2" localSheetId="6">[4]ค่างานต้นทุน!$I$295</definedName>
    <definedName name="ค2" localSheetId="7">[4]ค่างานต้นทุน!$I$295</definedName>
    <definedName name="ค2" localSheetId="5">[5]ค่างานต้นทุน!$I$295</definedName>
    <definedName name="ค2" localSheetId="8">[3]ค่างานต้นทุน!$I$295</definedName>
    <definedName name="ค2">ค่างานต้นทุน!$I$325</definedName>
    <definedName name="ค7">[10]ค่างานต้นทุน!$H$146</definedName>
    <definedName name="คอนกรีต" localSheetId="25">#REF!</definedName>
    <definedName name="คอนกรีต" localSheetId="28">#REF!</definedName>
    <definedName name="คอนกรีต" localSheetId="6">#REF!</definedName>
    <definedName name="คอนกรีต" localSheetId="7">#REF!</definedName>
    <definedName name="คอนกรีต" localSheetId="12">#REF!</definedName>
    <definedName name="คอนกรีต" localSheetId="5">#REF!</definedName>
    <definedName name="คอนกรีต" localSheetId="11">#REF!</definedName>
    <definedName name="คอนกรีต">#REF!</definedName>
    <definedName name="คอนกรีตหยาบ" localSheetId="25">#REF!</definedName>
    <definedName name="คอนกรีตหยาบ" localSheetId="28">#REF!</definedName>
    <definedName name="คอนกรีตหยาบ" localSheetId="6">#REF!</definedName>
    <definedName name="คอนกรีตหยาบ" localSheetId="7">#REF!</definedName>
    <definedName name="คอนกรีตหยาบ" localSheetId="12">#REF!</definedName>
    <definedName name="คอนกรีตหยาบ" localSheetId="5">#REF!</definedName>
    <definedName name="คอนกรีตหยาบ" localSheetId="11">#REF!</definedName>
    <definedName name="คอนกรีตหยาบ">#REF!</definedName>
    <definedName name="ค่าเท" localSheetId="25">#REF!</definedName>
    <definedName name="ค่าเท" localSheetId="28">#REF!</definedName>
    <definedName name="ค่าเท" localSheetId="6">#REF!</definedName>
    <definedName name="ค่าเท" localSheetId="7">#REF!</definedName>
    <definedName name="ค่าเท" localSheetId="12">#REF!</definedName>
    <definedName name="ค่าเท" localSheetId="5">#REF!</definedName>
    <definedName name="ค่าเท" localSheetId="11">#REF!</definedName>
    <definedName name="ค่าเท">#REF!</definedName>
    <definedName name="ค่าผูก" localSheetId="25">#REF!</definedName>
    <definedName name="ค่าผูก" localSheetId="28">#REF!</definedName>
    <definedName name="ค่าผูก" localSheetId="6">#REF!</definedName>
    <definedName name="ค่าผูก" localSheetId="7">#REF!</definedName>
    <definedName name="ค่าผูก" localSheetId="12">#REF!</definedName>
    <definedName name="ค่าผูก" localSheetId="5">#REF!</definedName>
    <definedName name="ค่าผูก" localSheetId="11">#REF!</definedName>
    <definedName name="ค่าผูก">#REF!</definedName>
    <definedName name="ค่าแรงแบบ" localSheetId="25">#REF!</definedName>
    <definedName name="ค่าแรงแบบ" localSheetId="28">#REF!</definedName>
    <definedName name="ค่าแรงแบบ" localSheetId="6">#REF!</definedName>
    <definedName name="ค่าแรงแบบ" localSheetId="7">#REF!</definedName>
    <definedName name="ค่าแรงแบบ" localSheetId="12">#REF!</definedName>
    <definedName name="ค่าแรงแบบ" localSheetId="5">#REF!</definedName>
    <definedName name="ค่าแรงแบบ" localSheetId="11">#REF!</definedName>
    <definedName name="ค่าแรงแบบ">#REF!</definedName>
    <definedName name="ค่าลวด" localSheetId="25">#REF!</definedName>
    <definedName name="ค่าลวด" localSheetId="28">#REF!</definedName>
    <definedName name="ค่าลวด" localSheetId="6">#REF!</definedName>
    <definedName name="ค่าลวด" localSheetId="7">#REF!</definedName>
    <definedName name="ค่าลวด" localSheetId="12">#REF!</definedName>
    <definedName name="ค่าลวด" localSheetId="5">#REF!</definedName>
    <definedName name="ค่าลวด" localSheetId="11">#REF!</definedName>
    <definedName name="ค่าลวด">#REF!</definedName>
    <definedName name="งวดเงิน">#REF!</definedName>
    <definedName name="ตะปู" localSheetId="25">#REF!</definedName>
    <definedName name="ตะปู" localSheetId="28">#REF!</definedName>
    <definedName name="ตะปู" localSheetId="6">#REF!</definedName>
    <definedName name="ตะปู" localSheetId="7">#REF!</definedName>
    <definedName name="ตะปู" localSheetId="12">#REF!</definedName>
    <definedName name="ตะปู" localSheetId="5">#REF!</definedName>
    <definedName name="ตะปู" localSheetId="11">#REF!</definedName>
    <definedName name="ตะปู">#REF!</definedName>
    <definedName name="ทรายถม" localSheetId="25">[11]ค่างานต้นทุน!$H$158</definedName>
    <definedName name="ทรายถม" localSheetId="26">[11]ค่างานต้นทุน!$H$158</definedName>
    <definedName name="ทรายถม" localSheetId="27">[11]ค่างานต้นทุน!$H$158</definedName>
    <definedName name="ทรายถม" localSheetId="28">[11]ค่างานต้นทุน!$H$158</definedName>
    <definedName name="ทรายถม" localSheetId="5">[12]ค่างานต้นทุน!$H$158</definedName>
    <definedName name="ทรายถม">[13]ค่างานต้นทุน!$H$158</definedName>
    <definedName name="ป" localSheetId="26">[2]ค่างานต้นทุน!#REF!</definedName>
    <definedName name="ป" localSheetId="6">[4]ค่างานต้นทุน!#REF!</definedName>
    <definedName name="ป" localSheetId="7">[4]ค่างานต้นทุน!#REF!</definedName>
    <definedName name="ป" localSheetId="12">ค่างานต้นทุน!#REF!</definedName>
    <definedName name="ป" localSheetId="5">[5]ค่างานต้นทุน!#REF!</definedName>
    <definedName name="ป" localSheetId="11">ค่างานต้นทุน!#REF!</definedName>
    <definedName name="ป" localSheetId="8">[3]ค่างานต้นทุน!#REF!</definedName>
    <definedName name="ป">ค่างานต้นทุน!#REF!</definedName>
    <definedName name="ป." localSheetId="25">[2]ข้อมูลคำนวณ!$D$5</definedName>
    <definedName name="ป." localSheetId="26">[2]ข้อมูลคำนวณ!$D$5</definedName>
    <definedName name="ป." localSheetId="27">[2]ข้อมูลคำนวณ!$D$5</definedName>
    <definedName name="ป." localSheetId="28">[2]ข้อมูลคำนวณ!$D$5</definedName>
    <definedName name="ป." localSheetId="6">#REF!</definedName>
    <definedName name="ป." localSheetId="7">#REF!</definedName>
    <definedName name="ป." localSheetId="12">#REF!</definedName>
    <definedName name="ป." localSheetId="5">#REF!</definedName>
    <definedName name="ป." localSheetId="11">#REF!</definedName>
    <definedName name="ป." localSheetId="8">[3]ข้อมูลคำนวณ!$D$5</definedName>
    <definedName name="ป.">#REF!</definedName>
    <definedName name="ป.ใน" localSheetId="25">[2]ข้อมูลคำนวณ!$D$4</definedName>
    <definedName name="ป.ใน" localSheetId="26">[2]ข้อมูลคำนวณ!$D$4</definedName>
    <definedName name="ป.ใน" localSheetId="27">[2]ข้อมูลคำนวณ!$D$4</definedName>
    <definedName name="ป.ใน" localSheetId="28">[2]ข้อมูลคำนวณ!$D$4</definedName>
    <definedName name="ป.ใน" localSheetId="6">#REF!</definedName>
    <definedName name="ป.ใน" localSheetId="7">#REF!</definedName>
    <definedName name="ป.ใน" localSheetId="12">#REF!</definedName>
    <definedName name="ป.ใน" localSheetId="5">#REF!</definedName>
    <definedName name="ป.ใน" localSheetId="11">#REF!</definedName>
    <definedName name="ป.ใน" localSheetId="8">[3]ข้อมูลคำนวณ!$D$4</definedName>
    <definedName name="ป.ใน">#REF!</definedName>
    <definedName name="พพ" localSheetId="25">[14]หกล้อขนส่ง!$BS$25</definedName>
    <definedName name="พพ" localSheetId="26">[14]หกล้อขนส่ง!$BS$25</definedName>
    <definedName name="พพ" localSheetId="27">[14]หกล้อขนส่ง!$BS$25</definedName>
    <definedName name="พพ" localSheetId="28">[14]หกล้อขนส่ง!$BS$25</definedName>
    <definedName name="พพ" localSheetId="6">[15]หกล้อขนส่ง!$BS$25</definedName>
    <definedName name="พพ" localSheetId="7">[15]หกล้อขนส่ง!$BS$25</definedName>
    <definedName name="พพ" localSheetId="5">[16]หกล้อขนส่ง!$BS$25</definedName>
    <definedName name="พพ">[15]หกล้อขนส่ง!$BS$25</definedName>
    <definedName name="พื้น10ม." localSheetId="5">[17]ข้อมูลคำนวณ!$J$43</definedName>
    <definedName name="พื้น10ม.">[18]ข้อมูลคำนวณ!$J$43</definedName>
    <definedName name="พื้น12ม." localSheetId="5">[17]ข้อมูลคำนวณ!$D$54</definedName>
    <definedName name="พื้น12ม.">[18]ข้อมูลคำนวณ!$D$54</definedName>
    <definedName name="พื้น5ม." localSheetId="5">[17]ข้อมูลคำนวณ!$D$21</definedName>
    <definedName name="พื้น5ม.">[18]ข้อมูลคำนวณ!$D$21</definedName>
    <definedName name="พื้น6ม." localSheetId="5">[17]ข้อมูลคำนวณ!$J$21</definedName>
    <definedName name="พื้น6ม.">[18]ข้อมูลคำนวณ!$J$21</definedName>
    <definedName name="พื้น7ม." localSheetId="5">[17]ข้อมูลคำนวณ!$D$32</definedName>
    <definedName name="พื้น7ม.">[18]ข้อมูลคำนวณ!$D$32</definedName>
    <definedName name="พื้น8ม." localSheetId="5">[17]ข้อมูลคำนวณ!$J$32</definedName>
    <definedName name="พื้น8ม.">[18]ข้อมูลคำนวณ!$J$32</definedName>
    <definedName name="พื้น9ม." localSheetId="5">[17]ข้อมูลคำนวณ!$D$43</definedName>
    <definedName name="พื้น9ม.">[18]ข้อมูลคำนวณ!$D$43</definedName>
    <definedName name="ภูมิอากาศ" localSheetId="6">#REF!</definedName>
    <definedName name="ภูมิอากาศ" localSheetId="7">#REF!</definedName>
    <definedName name="ภูมิอากาศ" localSheetId="5">[8]ข้อมูลขนส่ง!$B$2</definedName>
    <definedName name="ภูมิอากาศ" localSheetId="9">#REF!</definedName>
    <definedName name="ภูมิอากาศ">[9]ข้อมูลขนส่ง!$B$2</definedName>
    <definedName name="รวม1" localSheetId="25">'[2]ปร.4 สะพาน001'!$I$16</definedName>
    <definedName name="รวม1" localSheetId="26">'[2]ปร.4 สะพาน001'!$I$16</definedName>
    <definedName name="รวม1" localSheetId="27">'[2]ปร.4 สะพาน001'!$I$16</definedName>
    <definedName name="รวม1" localSheetId="28">'[2]ปร.4 สะพาน001'!$I$16</definedName>
    <definedName name="รวม1" localSheetId="6">#REF!</definedName>
    <definedName name="รวม1" localSheetId="7">#REF!</definedName>
    <definedName name="รวม1" localSheetId="12">#REF!</definedName>
    <definedName name="รวม1" localSheetId="5">#REF!</definedName>
    <definedName name="รวม1" localSheetId="11">#REF!</definedName>
    <definedName name="รวม1" localSheetId="8">#REF!</definedName>
    <definedName name="รวม1">#REF!</definedName>
    <definedName name="รวม2" localSheetId="25">'[2]ปร.4 สะพาน001'!$I$36</definedName>
    <definedName name="รวม2" localSheetId="26">'[2]ปร.4 สะพาน001'!$I$36</definedName>
    <definedName name="รวม2" localSheetId="27">'[2]ปร.4 สะพาน001'!$I$36</definedName>
    <definedName name="รวม2" localSheetId="28">'[2]ปร.4 สะพาน001'!$I$36</definedName>
    <definedName name="รวม2" localSheetId="6">#REF!</definedName>
    <definedName name="รวม2" localSheetId="7">#REF!</definedName>
    <definedName name="รวม2" localSheetId="12">#REF!</definedName>
    <definedName name="รวม2" localSheetId="5">#REF!</definedName>
    <definedName name="รวม2" localSheetId="11">#REF!</definedName>
    <definedName name="รวม2" localSheetId="8">#REF!</definedName>
    <definedName name="รวม2">#REF!</definedName>
    <definedName name="รวม3" localSheetId="25">'[2]ปร.4 สะพาน001'!$I$52</definedName>
    <definedName name="รวม3" localSheetId="26">'[2]ปร.4 สะพาน001'!$I$52</definedName>
    <definedName name="รวม3" localSheetId="27">'[2]ปร.4 สะพาน001'!$I$52</definedName>
    <definedName name="รวม3" localSheetId="28">'[2]ปร.4 สะพาน001'!$I$52</definedName>
    <definedName name="รวม3" localSheetId="6">#REF!</definedName>
    <definedName name="รวม3" localSheetId="7">#REF!</definedName>
    <definedName name="รวม3" localSheetId="12">#REF!</definedName>
    <definedName name="รวม3" localSheetId="5">#REF!</definedName>
    <definedName name="รวม3" localSheetId="11">#REF!</definedName>
    <definedName name="รวม3" localSheetId="8">#REF!</definedName>
    <definedName name="รวม3">#REF!</definedName>
    <definedName name="รวม4" localSheetId="25">'[2]ปร.4 สะพาน001'!$I$68</definedName>
    <definedName name="รวม4" localSheetId="26">'[2]ปร.4 สะพาน001'!$I$68</definedName>
    <definedName name="รวม4" localSheetId="27">'[2]ปร.4 สะพาน001'!$I$68</definedName>
    <definedName name="รวม4" localSheetId="28">'[2]ปร.4 สะพาน001'!$I$68</definedName>
    <definedName name="รวม4" localSheetId="6">#REF!</definedName>
    <definedName name="รวม4" localSheetId="7">#REF!</definedName>
    <definedName name="รวม4" localSheetId="12">#REF!</definedName>
    <definedName name="รวม4" localSheetId="5">#REF!</definedName>
    <definedName name="รวม4" localSheetId="11">#REF!</definedName>
    <definedName name="รวม4" localSheetId="8">#REF!</definedName>
    <definedName name="รวม4">#REF!</definedName>
    <definedName name="รวม5" localSheetId="25">'[2]ปร.4 สะพาน001'!$I$92</definedName>
    <definedName name="รวม5" localSheetId="26">'[2]ปร.4 สะพาน001'!$I$92</definedName>
    <definedName name="รวม5" localSheetId="27">'[2]ปร.4 สะพาน001'!$I$92</definedName>
    <definedName name="รวม5" localSheetId="28">'[2]ปร.4 สะพาน001'!$I$92</definedName>
    <definedName name="รวม5" localSheetId="6">#REF!</definedName>
    <definedName name="รวม5" localSheetId="7">#REF!</definedName>
    <definedName name="รวม5" localSheetId="12">#REF!</definedName>
    <definedName name="รวม5" localSheetId="5">#REF!</definedName>
    <definedName name="รวม5" localSheetId="11">#REF!</definedName>
    <definedName name="รวม5" localSheetId="8">#REF!</definedName>
    <definedName name="รวม5">#REF!</definedName>
    <definedName name="รวม6" localSheetId="25">'[2]ปร.4 สะพาน001'!$I$113</definedName>
    <definedName name="รวม6" localSheetId="26">'[2]ปร.4 สะพาน001'!$I$113</definedName>
    <definedName name="รวม6" localSheetId="27">'[2]ปร.4 สะพาน001'!$I$113</definedName>
    <definedName name="รวม6" localSheetId="28">'[2]ปร.4 สะพาน001'!$I$113</definedName>
    <definedName name="รวม6" localSheetId="6">#REF!</definedName>
    <definedName name="รวม6" localSheetId="7">#REF!</definedName>
    <definedName name="รวม6" localSheetId="12">#REF!</definedName>
    <definedName name="รวม6" localSheetId="5">#REF!</definedName>
    <definedName name="รวม6" localSheetId="11">#REF!</definedName>
    <definedName name="รวม6" localSheetId="8">#REF!</definedName>
    <definedName name="รวม6">#REF!</definedName>
    <definedName name="รวม7" localSheetId="25">'[2]ปร.4 สะพาน001'!$I$130</definedName>
    <definedName name="รวม7" localSheetId="26">'[2]ปร.4 สะพาน001'!$I$130</definedName>
    <definedName name="รวม7" localSheetId="27">'[2]ปร.4 สะพาน001'!$I$130</definedName>
    <definedName name="รวม7" localSheetId="28">'[2]ปร.4 สะพาน001'!$I$130</definedName>
    <definedName name="รวม7" localSheetId="6">#REF!</definedName>
    <definedName name="รวม7" localSheetId="7">#REF!</definedName>
    <definedName name="รวม7" localSheetId="12">#REF!</definedName>
    <definedName name="รวม7" localSheetId="5">#REF!</definedName>
    <definedName name="รวม7" localSheetId="11">#REF!</definedName>
    <definedName name="รวม7" localSheetId="8">#REF!</definedName>
    <definedName name="รวม7">#REF!</definedName>
    <definedName name="รวม8" localSheetId="25">'[2]ปร.4 สะพาน001'!$I$139</definedName>
    <definedName name="รวม8" localSheetId="26">'[2]ปร.4 สะพาน001'!$I$139</definedName>
    <definedName name="รวม8" localSheetId="27">'[2]ปร.4 สะพาน001'!$I$139</definedName>
    <definedName name="รวม8" localSheetId="28">'[2]ปร.4 สะพาน001'!$I$139</definedName>
    <definedName name="รวม8" localSheetId="6">#REF!</definedName>
    <definedName name="รวม8" localSheetId="7">#REF!</definedName>
    <definedName name="รวม8" localSheetId="12">#REF!</definedName>
    <definedName name="รวม8" localSheetId="5">#REF!</definedName>
    <definedName name="รวม8" localSheetId="11">#REF!</definedName>
    <definedName name="รวม8" localSheetId="8">#REF!</definedName>
    <definedName name="รวม8">#REF!</definedName>
    <definedName name="ระยะดินตัด" localSheetId="6">#REF!</definedName>
    <definedName name="ระยะดินตัด" localSheetId="7">#REF!</definedName>
    <definedName name="ระยะดินตัด" localSheetId="5">[8]ข้อมูลขนส่ง!$L$4</definedName>
    <definedName name="ระยะดินตัด" localSheetId="9">#REF!</definedName>
    <definedName name="ระยะดินตัด">[9]ข้อมูลขนส่ง!$L$4</definedName>
    <definedName name="ระยะดินถม" localSheetId="6">#REF!</definedName>
    <definedName name="ระยะดินถม" localSheetId="7">#REF!</definedName>
    <definedName name="ระยะดินถม" localSheetId="5">[8]ข้อมูลขนส่ง!$P$4</definedName>
    <definedName name="ระยะดินถม" localSheetId="9">#REF!</definedName>
    <definedName name="ระยะดินถม">[9]ข้อมูลขนส่ง!$P$4</definedName>
    <definedName name="ระยะทรายถม" localSheetId="6">#REF!</definedName>
    <definedName name="ระยะทรายถม" localSheetId="7">#REF!</definedName>
    <definedName name="ระยะทรายถม" localSheetId="5">[8]ข้อมูลขนส่ง!$T$12</definedName>
    <definedName name="ระยะทรายถม" localSheetId="9">#REF!</definedName>
    <definedName name="ระยะทรายถม">[9]ข้อมูลขนส่ง!$T$12</definedName>
    <definedName name="ระยะทรายหยาบ" localSheetId="6">#REF!</definedName>
    <definedName name="ระยะทรายหยาบ" localSheetId="7">#REF!</definedName>
    <definedName name="ระยะทรายหยาบ" localSheetId="5">[8]ข้อมูลขนส่ง!$T$16</definedName>
    <definedName name="ระยะทรายหยาบ" localSheetId="9">#REF!</definedName>
    <definedName name="ระยะทรายหยาบ">[9]ข้อมูลขนส่ง!$T$16</definedName>
    <definedName name="ระยะปูนต์" localSheetId="6">#REF!</definedName>
    <definedName name="ระยะปูนต์" localSheetId="7">#REF!</definedName>
    <definedName name="ระยะปูนต์" localSheetId="5">[8]ข้อมูลขนส่ง!$T$20</definedName>
    <definedName name="ระยะปูนต์" localSheetId="9">#REF!</definedName>
    <definedName name="ระยะปูนต์">[9]ข้อมูลขนส่ง!$T$20</definedName>
    <definedName name="ระยะลูกรัง" localSheetId="6">#REF!</definedName>
    <definedName name="ระยะลูกรัง" localSheetId="7">#REF!</definedName>
    <definedName name="ระยะลูกรัง" localSheetId="5">[8]ข้อมูลขนส่ง!$P$12</definedName>
    <definedName name="ระยะลูกรัง" localSheetId="9">#REF!</definedName>
    <definedName name="ระยะลูกรัง">[9]ข้อมูลขนส่ง!$P$12</definedName>
    <definedName name="ระยะวัสดุคัดเลือก" localSheetId="6">#REF!</definedName>
    <definedName name="ระยะวัสดุคัดเลือก" localSheetId="7">#REF!</definedName>
    <definedName name="ระยะวัสดุคัดเลือก" localSheetId="5">[8]ข้อมูลขนส่ง!$P$8</definedName>
    <definedName name="ระยะวัสดุคัดเลือก" localSheetId="9">#REF!</definedName>
    <definedName name="ระยะวัสดุคัดเลือก">[9]ข้อมูลขนส่ง!$P$8</definedName>
    <definedName name="ระยะหิน12" localSheetId="6">#REF!</definedName>
    <definedName name="ระยะหิน12" localSheetId="7">#REF!</definedName>
    <definedName name="ระยะหิน12" localSheetId="5">[8]ข้อมูลขนส่ง!$X$8</definedName>
    <definedName name="ระยะหิน12" localSheetId="9">#REF!</definedName>
    <definedName name="ระยะหิน12">[9]ข้อมูลขนส่ง!$X$8</definedName>
    <definedName name="ระยะหินคลุก" localSheetId="6">#REF!</definedName>
    <definedName name="ระยะหินคลุก" localSheetId="7">#REF!</definedName>
    <definedName name="ระยะหินคลุก" localSheetId="5">[8]ข้อมูลขนส่ง!$T$4</definedName>
    <definedName name="ระยะหินคลุก" localSheetId="9">#REF!</definedName>
    <definedName name="ระยะหินคลุก">[9]ข้อมูลขนส่ง!$T$4</definedName>
    <definedName name="ระยะหินผสม" localSheetId="6">#REF!</definedName>
    <definedName name="ระยะหินผสม" localSheetId="7">#REF!</definedName>
    <definedName name="ระยะหินผสม" localSheetId="5">[8]ข้อมูลขนส่ง!$X$4</definedName>
    <definedName name="ระยะหินผสม" localSheetId="9">#REF!</definedName>
    <definedName name="ระยะหินผสม">[9]ข้อมูลขนส่ง!$X$4</definedName>
    <definedName name="ระยะเหล็กเส้น" localSheetId="25">#REF!</definedName>
    <definedName name="ระยะเหล็กเส้น" localSheetId="28">#REF!</definedName>
    <definedName name="ระยะเหล็กเส้น" localSheetId="6">#REF!</definedName>
    <definedName name="ระยะเหล็กเส้น" localSheetId="7">#REF!</definedName>
    <definedName name="ระยะเหล็กเส้น" localSheetId="12">#REF!</definedName>
    <definedName name="ระยะเหล็กเส้น" localSheetId="5">#REF!</definedName>
    <definedName name="ระยะเหล็กเส้น" localSheetId="11">#REF!</definedName>
    <definedName name="ระยะเหล็กเส้น" localSheetId="8">#REF!</definedName>
    <definedName name="ระยะเหล็กเส้น">#REF!</definedName>
    <definedName name="ระยะแอสฟัลท์" localSheetId="6">#REF!</definedName>
    <definedName name="ระยะแอสฟัลท์" localSheetId="7">#REF!</definedName>
    <definedName name="ระยะแอสฟัลท์" localSheetId="5">[8]ข้อมูลขนส่ง!$T$8</definedName>
    <definedName name="ระยะแอสฟัลท์" localSheetId="9">#REF!</definedName>
    <definedName name="ระยะแอสฟัลท์">[9]ข้อมูลขนส่ง!$T$8</definedName>
    <definedName name="ราคาดินตัด" localSheetId="6">#REF!</definedName>
    <definedName name="ราคาดินตัด" localSheetId="7">#REF!</definedName>
    <definedName name="ราคาดินตัด" localSheetId="5">[8]ข้อมูลขนส่ง!$N$4</definedName>
    <definedName name="ราคาดินตัด" localSheetId="9">#REF!</definedName>
    <definedName name="ราคาดินตัด">[9]ข้อมูลขนส่ง!$N$4</definedName>
    <definedName name="ราคาดินถม" localSheetId="6">#REF!</definedName>
    <definedName name="ราคาดินถม" localSheetId="7">#REF!</definedName>
    <definedName name="ราคาดินถม" localSheetId="5">[8]ข้อมูลขนส่ง!$R$4</definedName>
    <definedName name="ราคาดินถม" localSheetId="9">#REF!</definedName>
    <definedName name="ราคาดินถม">[9]ข้อมูลขนส่ง!$R$4</definedName>
    <definedName name="ราคาทรายถม" localSheetId="6">#REF!</definedName>
    <definedName name="ราคาทรายถม" localSheetId="7">#REF!</definedName>
    <definedName name="ราคาทรายถม" localSheetId="5">[8]ข้อมูลขนส่ง!$V$12</definedName>
    <definedName name="ราคาทรายถม" localSheetId="9">#REF!</definedName>
    <definedName name="ราคาทรายถม">[9]ข้อมูลขนส่ง!$V$12</definedName>
    <definedName name="ราคาทรายหยาบ" localSheetId="6">#REF!</definedName>
    <definedName name="ราคาทรายหยาบ" localSheetId="7">#REF!</definedName>
    <definedName name="ราคาทรายหยาบ" localSheetId="5">[8]ข้อมูลขนส่ง!$V$16</definedName>
    <definedName name="ราคาทรายหยาบ" localSheetId="9">#REF!</definedName>
    <definedName name="ราคาทรายหยาบ">[9]ข้อมูลขนส่ง!$V$16</definedName>
    <definedName name="ราคาปูนต์" localSheetId="6">#REF!</definedName>
    <definedName name="ราคาปูนต์" localSheetId="7">#REF!</definedName>
    <definedName name="ราคาปูนต์" localSheetId="5">[8]ข้อมูลขนส่ง!$V$20</definedName>
    <definedName name="ราคาปูนต์" localSheetId="9">#REF!</definedName>
    <definedName name="ราคาปูนต์">[9]ข้อมูลขนส่ง!$V$20</definedName>
    <definedName name="ราคาลูกรัง" localSheetId="6">#REF!</definedName>
    <definedName name="ราคาลูกรัง" localSheetId="7">#REF!</definedName>
    <definedName name="ราคาลูกรัง" localSheetId="5">[8]ข้อมูลขนส่ง!$R$12</definedName>
    <definedName name="ราคาลูกรัง" localSheetId="9">#REF!</definedName>
    <definedName name="ราคาลูกรัง">[9]ข้อมูลขนส่ง!$R$12</definedName>
    <definedName name="ราคาวัสดุคัดเลือก" localSheetId="6">#REF!</definedName>
    <definedName name="ราคาวัสดุคัดเลือก" localSheetId="7">#REF!</definedName>
    <definedName name="ราคาวัสดุคัดเลือก" localSheetId="5">[8]ข้อมูลขนส่ง!$R$8</definedName>
    <definedName name="ราคาวัสดุคัดเลือก" localSheetId="9">#REF!</definedName>
    <definedName name="ราคาวัสดุคัดเลือก">[9]ข้อมูลขนส่ง!$R$8</definedName>
    <definedName name="ราคาหิน12" localSheetId="6">#REF!</definedName>
    <definedName name="ราคาหิน12" localSheetId="7">#REF!</definedName>
    <definedName name="ราคาหิน12" localSheetId="5">[8]ข้อมูลขนส่ง!$Z$8</definedName>
    <definedName name="ราคาหิน12" localSheetId="9">#REF!</definedName>
    <definedName name="ราคาหิน12">[9]ข้อมูลขนส่ง!$Z$8</definedName>
    <definedName name="ราคาหินคลุก" localSheetId="6">#REF!</definedName>
    <definedName name="ราคาหินคลุก" localSheetId="7">#REF!</definedName>
    <definedName name="ราคาหินคลุก" localSheetId="5">[8]ข้อมูลขนส่ง!$V$4</definedName>
    <definedName name="ราคาหินคลุก" localSheetId="9">#REF!</definedName>
    <definedName name="ราคาหินคลุก">[9]ข้อมูลขนส่ง!$V$4</definedName>
    <definedName name="ราคาหินผสม" localSheetId="6">#REF!</definedName>
    <definedName name="ราคาหินผสม" localSheetId="7">#REF!</definedName>
    <definedName name="ราคาหินผสม" localSheetId="5">[8]ข้อมูลขนส่ง!$Z$4</definedName>
    <definedName name="ราคาหินผสม" localSheetId="9">#REF!</definedName>
    <definedName name="ราคาหินผสม">[9]ข้อมูลขนส่ง!$Z$4</definedName>
    <definedName name="ราคาเหล็กเส้น" localSheetId="25">#REF!</definedName>
    <definedName name="ราคาเหล็กเส้น" localSheetId="28">#REF!</definedName>
    <definedName name="ราคาเหล็กเส้น" localSheetId="6">#REF!</definedName>
    <definedName name="ราคาเหล็กเส้น" localSheetId="7">#REF!</definedName>
    <definedName name="ราคาเหล็กเส้น" localSheetId="12">#REF!</definedName>
    <definedName name="ราคาเหล็กเส้น" localSheetId="5">#REF!</definedName>
    <definedName name="ราคาเหล็กเส้น" localSheetId="11">#REF!</definedName>
    <definedName name="ราคาเหล็กเส้น" localSheetId="8">#REF!</definedName>
    <definedName name="ราคาเหล็กเส้น">#REF!</definedName>
    <definedName name="ราคาแอสฟัลท์" localSheetId="6">#REF!</definedName>
    <definedName name="ราคาแอสฟัลท์" localSheetId="7">#REF!</definedName>
    <definedName name="ราคาแอสฟัลท์" localSheetId="5">[8]ข้อมูลขนส่ง!$V$8</definedName>
    <definedName name="ราคาแอสฟัลท์" localSheetId="9">#REF!</definedName>
    <definedName name="ราคาแอสฟัลท์">[9]ข้อมูลขนส่ง!$V$8</definedName>
    <definedName name="ลบ.ม." localSheetId="25">#REF!</definedName>
    <definedName name="ลบ.ม." localSheetId="26">#REF!</definedName>
    <definedName name="ลบ.ม." localSheetId="27">#REF!</definedName>
    <definedName name="ลบ.ม." localSheetId="28">#REF!</definedName>
    <definedName name="ลบ.ม." localSheetId="6">#REF!</definedName>
    <definedName name="ลบ.ม." localSheetId="7">#REF!</definedName>
    <definedName name="ลบ.ม." localSheetId="12">#REF!</definedName>
    <definedName name="ลบ.ม." localSheetId="5">#REF!</definedName>
    <definedName name="ลบ.ม." localSheetId="11">#REF!</definedName>
    <definedName name="ลบ.ม.">#REF!</definedName>
    <definedName name="ส1" localSheetId="26">[2]ค่างานต้นทุน!#REF!</definedName>
    <definedName name="ส1" localSheetId="6">[4]ค่างานต้นทุน!#REF!</definedName>
    <definedName name="ส1" localSheetId="7">[4]ค่างานต้นทุน!#REF!</definedName>
    <definedName name="ส1" localSheetId="12">ค่างานต้นทุน!#REF!</definedName>
    <definedName name="ส1" localSheetId="5">[5]ค่างานต้นทุน!#REF!</definedName>
    <definedName name="ส1" localSheetId="11">ค่างานต้นทุน!#REF!</definedName>
    <definedName name="ส1" localSheetId="8">[3]ค่างานต้นทุน!#REF!</definedName>
    <definedName name="ส1">ค่างานต้นทุน!#REF!</definedName>
    <definedName name="ส2" localSheetId="26">[2]ค่างานต้นทุน!#REF!</definedName>
    <definedName name="ส2" localSheetId="6">[4]ค่างานต้นทุน!#REF!</definedName>
    <definedName name="ส2" localSheetId="7">[4]ค่างานต้นทุน!#REF!</definedName>
    <definedName name="ส2" localSheetId="12">ค่างานต้นทุน!#REF!</definedName>
    <definedName name="ส2" localSheetId="5">[5]ค่างานต้นทุน!#REF!</definedName>
    <definedName name="ส2" localSheetId="11">ค่างานต้นทุน!#REF!</definedName>
    <definedName name="ส2" localSheetId="8">[3]ค่างานต้นทุน!#REF!</definedName>
    <definedName name="ส2">ค่างานต้นทุน!#REF!</definedName>
    <definedName name="ส3" localSheetId="26">[2]ค่างานต้นทุน!#REF!</definedName>
    <definedName name="ส3" localSheetId="6">[4]ค่างานต้นทุน!#REF!</definedName>
    <definedName name="ส3" localSheetId="7">[4]ค่างานต้นทุน!#REF!</definedName>
    <definedName name="ส3" localSheetId="12">ค่างานต้นทุน!#REF!</definedName>
    <definedName name="ส3" localSheetId="5">[5]ค่างานต้นทุน!#REF!</definedName>
    <definedName name="ส3" localSheetId="11">ค่างานต้นทุน!#REF!</definedName>
    <definedName name="ส3" localSheetId="8">[3]ค่างานต้นทุน!#REF!</definedName>
    <definedName name="ส3">ค่างานต้นทุน!#REF!</definedName>
    <definedName name="ส4" localSheetId="26">[2]ค่างานต้นทุน!#REF!</definedName>
    <definedName name="ส4" localSheetId="6">[4]ค่างานต้นทุน!#REF!</definedName>
    <definedName name="ส4" localSheetId="7">[4]ค่างานต้นทุน!#REF!</definedName>
    <definedName name="ส4" localSheetId="12">ค่างานต้นทุน!#REF!</definedName>
    <definedName name="ส4" localSheetId="5">[5]ค่างานต้นทุน!#REF!</definedName>
    <definedName name="ส4" localSheetId="11">ค่างานต้นทุน!#REF!</definedName>
    <definedName name="ส4" localSheetId="8">[3]ค่างานต้นทุน!#REF!</definedName>
    <definedName name="ส4">ค่างานต้นทุน!#REF!</definedName>
    <definedName name="เสาเข็มที่เหลือ" localSheetId="25">[2]ข้อมูลคำนวณ!$G$2</definedName>
    <definedName name="เสาเข็มที่เหลือ" localSheetId="26">[2]ข้อมูลคำนวณ!$G$2</definedName>
    <definedName name="เสาเข็มที่เหลือ" localSheetId="27">[2]ข้อมูลคำนวณ!$G$2</definedName>
    <definedName name="เสาเข็มที่เหลือ" localSheetId="28">[2]ข้อมูลคำนวณ!$G$2</definedName>
    <definedName name="เสาเข็มที่เหลือ" localSheetId="6">#REF!</definedName>
    <definedName name="เสาเข็มที่เหลือ" localSheetId="7">#REF!</definedName>
    <definedName name="เสาเข็มที่เหลือ" localSheetId="12">#REF!</definedName>
    <definedName name="เสาเข็มที่เหลือ" localSheetId="5">#REF!</definedName>
    <definedName name="เสาเข็มที่เหลือ" localSheetId="11">#REF!</definedName>
    <definedName name="เสาเข็มที่เหลือ" localSheetId="8">[3]ข้อมูลคำนวณ!$G$2</definedName>
    <definedName name="เสาเข็มที่เหลือ">#REF!</definedName>
    <definedName name="เสาเข็มยาว" localSheetId="25">[2]ข้อมูลคำนวณ!$G$1</definedName>
    <definedName name="เสาเข็มยาว" localSheetId="26">[2]ข้อมูลคำนวณ!$G$1</definedName>
    <definedName name="เสาเข็มยาว" localSheetId="27">[2]ข้อมูลคำนวณ!$G$1</definedName>
    <definedName name="เสาเข็มยาว" localSheetId="28">[2]ข้อมูลคำนวณ!$G$1</definedName>
    <definedName name="เสาเข็มยาว" localSheetId="6">#REF!</definedName>
    <definedName name="เสาเข็มยาว" localSheetId="7">#REF!</definedName>
    <definedName name="เสาเข็มยาว" localSheetId="12">#REF!</definedName>
    <definedName name="เสาเข็มยาว" localSheetId="5">#REF!</definedName>
    <definedName name="เสาเข็มยาว" localSheetId="11">#REF!</definedName>
    <definedName name="เสาเข็มยาว" localSheetId="8">[3]ข้อมูลคำนวณ!$G$1</definedName>
    <definedName name="เสาเข็มยาว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116" l="1"/>
  <c r="F20" i="116"/>
  <c r="C5" i="34" l="1"/>
  <c r="C4" i="11" l="1"/>
  <c r="N48" i="11"/>
  <c r="B26" i="15"/>
  <c r="B16" i="6"/>
  <c r="O9" i="6" l="1"/>
  <c r="D25" i="6" l="1"/>
  <c r="D24" i="6"/>
  <c r="D23" i="6"/>
  <c r="D22" i="6"/>
  <c r="D21" i="6"/>
  <c r="D20" i="6"/>
  <c r="D26" i="6"/>
  <c r="E4" i="11"/>
  <c r="C6" i="34"/>
  <c r="K4" i="11"/>
  <c r="H4" i="11"/>
  <c r="I4" i="34" l="1"/>
  <c r="M34" i="11"/>
  <c r="E5" i="116" l="1"/>
  <c r="F33" i="116" l="1"/>
  <c r="F32" i="116"/>
  <c r="F31" i="116"/>
  <c r="F30" i="116"/>
  <c r="F29" i="116"/>
  <c r="F28" i="116"/>
  <c r="K6" i="116"/>
  <c r="K5" i="116"/>
  <c r="C5" i="116"/>
  <c r="G117" i="11"/>
  <c r="H140" i="11" l="1"/>
  <c r="K83" i="116"/>
  <c r="H83" i="116"/>
  <c r="J83" i="116"/>
  <c r="F52" i="116"/>
  <c r="F25" i="116"/>
  <c r="F24" i="116"/>
  <c r="F22" i="116"/>
  <c r="F21" i="116"/>
  <c r="F11" i="116"/>
  <c r="D33" i="34" l="1"/>
  <c r="A48" i="15"/>
  <c r="Q9" i="6" l="1"/>
  <c r="I564" i="15" l="1"/>
  <c r="F605" i="15" l="1"/>
  <c r="D588" i="15"/>
  <c r="G125" i="11" l="1"/>
  <c r="H125" i="11"/>
  <c r="G124" i="11"/>
  <c r="H124" i="11" s="1"/>
  <c r="P9" i="6" l="1"/>
  <c r="E4" i="6"/>
  <c r="A4" i="6"/>
  <c r="J59" i="73"/>
  <c r="D633" i="15" l="1"/>
  <c r="D636" i="15" s="1"/>
  <c r="I636" i="15" s="1"/>
  <c r="D592" i="15"/>
  <c r="C585" i="15"/>
  <c r="E594" i="15" s="1"/>
  <c r="F628" i="15"/>
  <c r="F629" i="15"/>
  <c r="I569" i="15"/>
  <c r="I576" i="15" s="1"/>
  <c r="I565" i="15"/>
  <c r="I563" i="15"/>
  <c r="O33" i="116" l="1"/>
  <c r="N51" i="11"/>
  <c r="D635" i="15"/>
  <c r="D596" i="15"/>
  <c r="I596" i="15" s="1"/>
  <c r="D634" i="15" s="1"/>
  <c r="E586" i="15"/>
  <c r="D598" i="15" s="1"/>
  <c r="I575" i="15"/>
  <c r="I570" i="15"/>
  <c r="O31" i="116" l="1"/>
  <c r="N49" i="11"/>
  <c r="D605" i="15"/>
  <c r="D604" i="15"/>
  <c r="I604" i="15" s="1"/>
  <c r="E590" i="15"/>
  <c r="D627" i="15" s="1"/>
  <c r="I627" i="15" s="1"/>
  <c r="D603" i="15"/>
  <c r="D602" i="15"/>
  <c r="I602" i="15" s="1"/>
  <c r="D600" i="15"/>
  <c r="I600" i="15" s="1"/>
  <c r="D589" i="15"/>
  <c r="D599" i="15" s="1"/>
  <c r="D593" i="15" l="1"/>
  <c r="D625" i="15" s="1"/>
  <c r="D624" i="15"/>
  <c r="D628" i="15"/>
  <c r="I628" i="15" s="1"/>
  <c r="I605" i="15"/>
  <c r="D601" i="15"/>
  <c r="I601" i="15" s="1"/>
  <c r="O32" i="116" l="1"/>
  <c r="N50" i="11"/>
  <c r="D626" i="15"/>
  <c r="D629" i="15"/>
  <c r="I629" i="15" s="1"/>
  <c r="F292" i="15" l="1"/>
  <c r="F286" i="15"/>
  <c r="I292" i="15"/>
  <c r="I523" i="15" l="1"/>
  <c r="N262" i="15" l="1"/>
  <c r="D264" i="15"/>
  <c r="E275" i="15"/>
  <c r="E274" i="15"/>
  <c r="I274" i="15" s="1"/>
  <c r="E273" i="15"/>
  <c r="E272" i="15"/>
  <c r="I272" i="15" s="1"/>
  <c r="I263" i="15" s="1"/>
  <c r="I266" i="15"/>
  <c r="N242" i="15"/>
  <c r="D245" i="15"/>
  <c r="I156" i="15"/>
  <c r="A6" i="15" l="1"/>
  <c r="G25" i="15"/>
  <c r="H25" i="15"/>
  <c r="J25" i="15"/>
  <c r="E25" i="15"/>
  <c r="B25" i="15"/>
  <c r="D25" i="15"/>
  <c r="K17" i="15"/>
  <c r="J17" i="15"/>
  <c r="J18" i="15"/>
  <c r="J19" i="15"/>
  <c r="J20" i="15"/>
  <c r="J21" i="15"/>
  <c r="J22" i="15"/>
  <c r="J23" i="15"/>
  <c r="H17" i="15"/>
  <c r="H18" i="15"/>
  <c r="H19" i="15"/>
  <c r="H20" i="15"/>
  <c r="H21" i="15"/>
  <c r="H22" i="15"/>
  <c r="H23" i="15"/>
  <c r="G17" i="15"/>
  <c r="G18" i="15"/>
  <c r="G19" i="15"/>
  <c r="G20" i="15"/>
  <c r="G21" i="15"/>
  <c r="G22" i="15"/>
  <c r="G23" i="15"/>
  <c r="F17" i="15"/>
  <c r="E17" i="15"/>
  <c r="E18" i="15"/>
  <c r="E19" i="15"/>
  <c r="E20" i="15"/>
  <c r="E21" i="15"/>
  <c r="E22" i="15"/>
  <c r="E23" i="15"/>
  <c r="D17" i="15"/>
  <c r="D18" i="15"/>
  <c r="D19" i="15"/>
  <c r="D20" i="15"/>
  <c r="D21" i="15"/>
  <c r="D22" i="15"/>
  <c r="D23" i="15"/>
  <c r="B17" i="15"/>
  <c r="C16" i="15"/>
  <c r="C17" i="15"/>
  <c r="C18" i="15"/>
  <c r="C19" i="15"/>
  <c r="C20" i="15"/>
  <c r="C21" i="15"/>
  <c r="C22" i="15"/>
  <c r="C23" i="15"/>
  <c r="C26" i="15"/>
  <c r="C27" i="15"/>
  <c r="C28" i="15"/>
  <c r="C29" i="15"/>
  <c r="G16" i="6"/>
  <c r="G17" i="6"/>
  <c r="G18" i="6"/>
  <c r="G19" i="6"/>
  <c r="G15" i="6"/>
  <c r="G22" i="6"/>
  <c r="F19" i="15" s="1"/>
  <c r="G23" i="6"/>
  <c r="F20" i="15" s="1"/>
  <c r="G24" i="6"/>
  <c r="F21" i="15" s="1"/>
  <c r="G25" i="6"/>
  <c r="F22" i="15" s="1"/>
  <c r="G26" i="6"/>
  <c r="F23" i="15" s="1"/>
  <c r="G21" i="6"/>
  <c r="F18" i="15" s="1"/>
  <c r="G31" i="6"/>
  <c r="G32" i="6"/>
  <c r="G33" i="6"/>
  <c r="G30" i="6"/>
  <c r="G35" i="6"/>
  <c r="L35" i="6"/>
  <c r="B34" i="6"/>
  <c r="G28" i="6"/>
  <c r="F25" i="15" s="1"/>
  <c r="L28" i="6"/>
  <c r="K25" i="15" s="1"/>
  <c r="B27" i="6"/>
  <c r="B24" i="15" s="1"/>
  <c r="L22" i="6"/>
  <c r="K19" i="15" s="1"/>
  <c r="B22" i="6"/>
  <c r="B19" i="15" s="1"/>
  <c r="G56" i="6" l="1"/>
  <c r="F542" i="15"/>
  <c r="I542" i="15" s="1"/>
  <c r="I540" i="15"/>
  <c r="I539" i="15"/>
  <c r="I538" i="15"/>
  <c r="I537" i="15"/>
  <c r="I536" i="15"/>
  <c r="I535" i="15"/>
  <c r="F533" i="15"/>
  <c r="I533" i="15" s="1"/>
  <c r="F531" i="15"/>
  <c r="I531" i="15" s="1"/>
  <c r="F530" i="15"/>
  <c r="I530" i="15" s="1"/>
  <c r="F529" i="15"/>
  <c r="I529" i="15" s="1"/>
  <c r="F527" i="15"/>
  <c r="I527" i="15" s="1"/>
  <c r="F526" i="15"/>
  <c r="I526" i="15" s="1"/>
  <c r="F525" i="15"/>
  <c r="I525" i="15" s="1"/>
  <c r="F543" i="15"/>
  <c r="I543" i="15" s="1"/>
  <c r="F528" i="15" l="1"/>
  <c r="I528" i="15" s="1"/>
  <c r="F532" i="15"/>
  <c r="I532" i="15" s="1"/>
  <c r="F541" i="15"/>
  <c r="I541" i="15" s="1"/>
  <c r="I544" i="15" l="1"/>
  <c r="I545" i="15" s="1"/>
  <c r="I546" i="15" l="1"/>
  <c r="I547" i="15" s="1"/>
  <c r="G116" i="11" s="1"/>
  <c r="H116" i="11"/>
  <c r="H127" i="11"/>
  <c r="E46" i="29" l="1"/>
  <c r="D46" i="29"/>
  <c r="C46" i="29"/>
  <c r="F46" i="29" l="1"/>
  <c r="G46" i="29" s="1"/>
  <c r="R9" i="6"/>
  <c r="F46" i="120" l="1"/>
  <c r="G43" i="120" l="1"/>
  <c r="G46" i="120"/>
  <c r="G44" i="120"/>
  <c r="G42" i="120"/>
  <c r="G40" i="120"/>
  <c r="G39" i="120"/>
  <c r="G38" i="120"/>
  <c r="G37" i="120"/>
  <c r="G35" i="120"/>
  <c r="G33" i="120"/>
  <c r="G28" i="120"/>
  <c r="G27" i="120"/>
  <c r="G26" i="120"/>
  <c r="G24" i="120"/>
  <c r="G23" i="120"/>
  <c r="G20" i="120"/>
  <c r="G18" i="120"/>
  <c r="G15" i="120"/>
  <c r="G11" i="120"/>
  <c r="G10" i="120"/>
  <c r="G8" i="120"/>
  <c r="G47" i="120" l="1"/>
  <c r="E5" i="119"/>
  <c r="E83" i="119"/>
  <c r="C83" i="119"/>
  <c r="E81" i="119"/>
  <c r="C81" i="119"/>
  <c r="E79" i="119"/>
  <c r="C79" i="119"/>
  <c r="D77" i="119"/>
  <c r="D55" i="119"/>
  <c r="G54" i="119"/>
  <c r="G50" i="119"/>
  <c r="D46" i="119"/>
  <c r="G45" i="119"/>
  <c r="G41" i="119"/>
  <c r="D37" i="119"/>
  <c r="G36" i="119"/>
  <c r="D32" i="119"/>
  <c r="G31" i="119"/>
  <c r="G28" i="119"/>
  <c r="D24" i="119"/>
  <c r="G23" i="119"/>
  <c r="G22" i="119"/>
  <c r="D19" i="119"/>
  <c r="G15" i="119"/>
  <c r="G14" i="119"/>
  <c r="D4" i="119"/>
  <c r="H3" i="119"/>
  <c r="D77" i="118" l="1"/>
  <c r="D24" i="118"/>
  <c r="D19" i="118"/>
  <c r="H3" i="118"/>
  <c r="C83" i="118"/>
  <c r="C81" i="118"/>
  <c r="C79" i="118"/>
  <c r="E83" i="118"/>
  <c r="E81" i="118"/>
  <c r="E79" i="118"/>
  <c r="D55" i="118"/>
  <c r="G54" i="118"/>
  <c r="G50" i="118"/>
  <c r="D46" i="118"/>
  <c r="G45" i="118"/>
  <c r="G41" i="118"/>
  <c r="D37" i="118"/>
  <c r="G36" i="118"/>
  <c r="G31" i="118"/>
  <c r="D32" i="118"/>
  <c r="G28" i="118"/>
  <c r="G23" i="118"/>
  <c r="G22" i="118"/>
  <c r="G15" i="118"/>
  <c r="G14" i="118"/>
  <c r="D4" i="118"/>
  <c r="BV27" i="95"/>
  <c r="BV28" i="95"/>
  <c r="BV29" i="95"/>
  <c r="BV30" i="95"/>
  <c r="BV31" i="95"/>
  <c r="BV32" i="95"/>
  <c r="BV33" i="95"/>
  <c r="BV34" i="95"/>
  <c r="J51" i="73" l="1"/>
  <c r="H119" i="11" l="1"/>
  <c r="B12" i="6" l="1"/>
  <c r="BX15" i="95" l="1"/>
  <c r="BX22" i="95"/>
  <c r="BX27" i="95"/>
  <c r="BX35" i="95"/>
  <c r="L39" i="95"/>
  <c r="G42" i="95"/>
  <c r="BW10" i="95"/>
  <c r="BY10" i="95" s="1"/>
  <c r="BW11" i="95"/>
  <c r="BY11" i="95" s="1"/>
  <c r="BW15" i="95"/>
  <c r="BY15" i="95" s="1"/>
  <c r="BW22" i="95"/>
  <c r="BY22" i="95" s="1"/>
  <c r="BW27" i="95"/>
  <c r="BY27" i="95" s="1"/>
  <c r="BW35" i="95"/>
  <c r="BY35" i="95" s="1"/>
  <c r="BW9" i="95"/>
  <c r="BY9" i="95" s="1"/>
  <c r="BV25" i="95" l="1"/>
  <c r="BV26" i="95"/>
  <c r="G3" i="117"/>
  <c r="K77" i="116"/>
  <c r="I77" i="116"/>
  <c r="G77" i="116"/>
  <c r="H74" i="116"/>
  <c r="H73" i="116"/>
  <c r="G68" i="116"/>
  <c r="H68" i="116" s="1"/>
  <c r="G67" i="116"/>
  <c r="G66" i="116"/>
  <c r="H66" i="116" s="1"/>
  <c r="G65" i="116"/>
  <c r="G64" i="116"/>
  <c r="H64" i="116" s="1"/>
  <c r="G62" i="116"/>
  <c r="G61" i="116"/>
  <c r="G60" i="116"/>
  <c r="G59" i="116"/>
  <c r="G57" i="116"/>
  <c r="H57" i="116" s="1"/>
  <c r="G54" i="116"/>
  <c r="G53" i="116"/>
  <c r="G52" i="116"/>
  <c r="G51" i="116"/>
  <c r="H51" i="116" s="1"/>
  <c r="G50" i="116"/>
  <c r="H50" i="116" s="1"/>
  <c r="G49" i="116"/>
  <c r="K43" i="116"/>
  <c r="I43" i="116"/>
  <c r="H43" i="116"/>
  <c r="G43" i="116"/>
  <c r="K27" i="116"/>
  <c r="I27" i="116"/>
  <c r="H27" i="116"/>
  <c r="G27" i="116"/>
  <c r="J4" i="116"/>
  <c r="G70" i="11"/>
  <c r="C482" i="15"/>
  <c r="C481" i="15"/>
  <c r="C484" i="15"/>
  <c r="I484" i="15" s="1"/>
  <c r="C483" i="15"/>
  <c r="C472" i="15"/>
  <c r="I472" i="15" s="1"/>
  <c r="I474" i="15"/>
  <c r="C453" i="15"/>
  <c r="C471" i="15"/>
  <c r="C469" i="15"/>
  <c r="C468" i="15"/>
  <c r="E471" i="15"/>
  <c r="E470" i="15"/>
  <c r="C462" i="15"/>
  <c r="I462" i="15" s="1"/>
  <c r="C461" i="15"/>
  <c r="I461" i="15" s="1"/>
  <c r="C458" i="15"/>
  <c r="I458" i="15" s="1"/>
  <c r="I455" i="15"/>
  <c r="C451" i="15"/>
  <c r="C450" i="15"/>
  <c r="E453" i="15"/>
  <c r="H120" i="11"/>
  <c r="E4" i="110"/>
  <c r="J4" i="110"/>
  <c r="A2" i="110"/>
  <c r="M13" i="109"/>
  <c r="M12" i="109"/>
  <c r="M10" i="109"/>
  <c r="J4" i="109"/>
  <c r="E4" i="109"/>
  <c r="A2" i="109"/>
  <c r="M26" i="108"/>
  <c r="M25" i="108"/>
  <c r="M23" i="108"/>
  <c r="M22" i="108"/>
  <c r="M21" i="108"/>
  <c r="M12" i="108"/>
  <c r="M11" i="108"/>
  <c r="M10" i="108"/>
  <c r="M9" i="108"/>
  <c r="J4" i="108"/>
  <c r="E4" i="108"/>
  <c r="A4" i="108"/>
  <c r="A3" i="108"/>
  <c r="A2" i="108"/>
  <c r="AC46" i="112"/>
  <c r="AB46" i="112"/>
  <c r="AA46" i="112"/>
  <c r="Z46" i="112"/>
  <c r="Y46" i="112"/>
  <c r="X46" i="112"/>
  <c r="W46" i="112"/>
  <c r="V46" i="112"/>
  <c r="U46" i="112"/>
  <c r="T46" i="112"/>
  <c r="S46" i="112"/>
  <c r="R46" i="112"/>
  <c r="AE39" i="112"/>
  <c r="AD39" i="112"/>
  <c r="O39" i="112"/>
  <c r="P39" i="112" s="1"/>
  <c r="Q39" i="112" s="1"/>
  <c r="AE38" i="112"/>
  <c r="AD38" i="112"/>
  <c r="O38" i="112"/>
  <c r="P38" i="112" s="1"/>
  <c r="Q38" i="112" s="1"/>
  <c r="AE37" i="112"/>
  <c r="AD37" i="112"/>
  <c r="O37" i="112"/>
  <c r="P37" i="112" s="1"/>
  <c r="Q37" i="112" s="1"/>
  <c r="AE36" i="112"/>
  <c r="AD36" i="112"/>
  <c r="O36" i="112"/>
  <c r="P36" i="112" s="1"/>
  <c r="Q36" i="112" s="1"/>
  <c r="AE35" i="112"/>
  <c r="AD35" i="112"/>
  <c r="O35" i="112"/>
  <c r="P35" i="112" s="1"/>
  <c r="Q35" i="112" s="1"/>
  <c r="AE34" i="112"/>
  <c r="AD34" i="112"/>
  <c r="O34" i="112"/>
  <c r="P34" i="112" s="1"/>
  <c r="Q34" i="112" s="1"/>
  <c r="AE33" i="112"/>
  <c r="AD33" i="112"/>
  <c r="O33" i="112"/>
  <c r="P33" i="112" s="1"/>
  <c r="Q33" i="112" s="1"/>
  <c r="AE32" i="112"/>
  <c r="AD32" i="112"/>
  <c r="O32" i="112"/>
  <c r="P32" i="112" s="1"/>
  <c r="Q32" i="112" s="1"/>
  <c r="AE31" i="112"/>
  <c r="AD31" i="112"/>
  <c r="O31" i="112"/>
  <c r="P31" i="112" s="1"/>
  <c r="Q31" i="112" s="1"/>
  <c r="AD30" i="112"/>
  <c r="O30" i="112"/>
  <c r="P30" i="112" s="1"/>
  <c r="Q30" i="112" s="1"/>
  <c r="AD29" i="112"/>
  <c r="O29" i="112"/>
  <c r="P29" i="112" s="1"/>
  <c r="AD24" i="112"/>
  <c r="O24" i="112"/>
  <c r="P24" i="112" s="1"/>
  <c r="Q24" i="112" s="1"/>
  <c r="N24" i="112"/>
  <c r="AE24" i="112" s="1"/>
  <c r="AD23" i="112"/>
  <c r="O23" i="112"/>
  <c r="P23" i="112" s="1"/>
  <c r="Q23" i="112" s="1"/>
  <c r="N23" i="112"/>
  <c r="AE23" i="112" s="1"/>
  <c r="AD22" i="112"/>
  <c r="O22" i="112"/>
  <c r="P22" i="112" s="1"/>
  <c r="Q22" i="112" s="1"/>
  <c r="N22" i="112"/>
  <c r="AE22" i="112" s="1"/>
  <c r="AD21" i="112"/>
  <c r="O21" i="112"/>
  <c r="P21" i="112" s="1"/>
  <c r="Q21" i="112" s="1"/>
  <c r="N21" i="112"/>
  <c r="AE21" i="112" s="1"/>
  <c r="AD20" i="112"/>
  <c r="O20" i="112"/>
  <c r="P20" i="112" s="1"/>
  <c r="Q20" i="112" s="1"/>
  <c r="N20" i="112"/>
  <c r="AE20" i="112" s="1"/>
  <c r="AD19" i="112"/>
  <c r="O19" i="112"/>
  <c r="P19" i="112" s="1"/>
  <c r="Q19" i="112" s="1"/>
  <c r="N19" i="112"/>
  <c r="AE19" i="112" s="1"/>
  <c r="AD18" i="112"/>
  <c r="O18" i="112"/>
  <c r="P18" i="112" s="1"/>
  <c r="Q18" i="112" s="1"/>
  <c r="N18" i="112"/>
  <c r="AE18" i="112" s="1"/>
  <c r="AD17" i="112"/>
  <c r="O17" i="112"/>
  <c r="P17" i="112" s="1"/>
  <c r="Q17" i="112" s="1"/>
  <c r="N17" i="112"/>
  <c r="AE17" i="112" s="1"/>
  <c r="AD16" i="112"/>
  <c r="O16" i="112"/>
  <c r="P16" i="112" s="1"/>
  <c r="Q16" i="112" s="1"/>
  <c r="N16" i="112"/>
  <c r="AE16" i="112" s="1"/>
  <c r="AD15" i="112"/>
  <c r="O15" i="112"/>
  <c r="P15" i="112" s="1"/>
  <c r="Q15" i="112" s="1"/>
  <c r="N15" i="112"/>
  <c r="AE15" i="112" s="1"/>
  <c r="AD14" i="112"/>
  <c r="O14" i="112"/>
  <c r="P14" i="112" s="1"/>
  <c r="Q14" i="112" s="1"/>
  <c r="N14" i="112"/>
  <c r="AE14" i="112" s="1"/>
  <c r="AD13" i="112"/>
  <c r="O13" i="112"/>
  <c r="P13" i="112" s="1"/>
  <c r="Q13" i="112" s="1"/>
  <c r="N13" i="112"/>
  <c r="AE13" i="112" s="1"/>
  <c r="AD12" i="112"/>
  <c r="O12" i="112"/>
  <c r="P12" i="112" s="1"/>
  <c r="N12" i="112"/>
  <c r="Y21" i="110"/>
  <c r="X21" i="110"/>
  <c r="W21" i="110"/>
  <c r="V21" i="110"/>
  <c r="U21" i="110"/>
  <c r="T21" i="110"/>
  <c r="S21" i="110"/>
  <c r="R21" i="110"/>
  <c r="Q21" i="110"/>
  <c r="P21" i="110"/>
  <c r="O21" i="110"/>
  <c r="N21" i="110"/>
  <c r="Z18" i="110"/>
  <c r="M18" i="110"/>
  <c r="Z17" i="110"/>
  <c r="M17" i="110"/>
  <c r="Z16" i="110"/>
  <c r="M16" i="110"/>
  <c r="Z15" i="110"/>
  <c r="M15" i="110"/>
  <c r="Z14" i="110"/>
  <c r="M14" i="110"/>
  <c r="Y16" i="109"/>
  <c r="X16" i="109"/>
  <c r="W16" i="109"/>
  <c r="V16" i="109"/>
  <c r="U16" i="109"/>
  <c r="T16" i="109"/>
  <c r="S16" i="109"/>
  <c r="R16" i="109"/>
  <c r="Q16" i="109"/>
  <c r="P16" i="109"/>
  <c r="O16" i="109"/>
  <c r="N16" i="109"/>
  <c r="Z13" i="109"/>
  <c r="Z12" i="109"/>
  <c r="Z11" i="109"/>
  <c r="K11" i="109"/>
  <c r="M11" i="109" s="1"/>
  <c r="Z10" i="109"/>
  <c r="Y38" i="108"/>
  <c r="X38" i="108"/>
  <c r="W38" i="108"/>
  <c r="V38" i="108"/>
  <c r="U38" i="108"/>
  <c r="T38" i="108"/>
  <c r="S38" i="108"/>
  <c r="R38" i="108"/>
  <c r="Q38" i="108"/>
  <c r="P38" i="108"/>
  <c r="O38" i="108"/>
  <c r="N38" i="108"/>
  <c r="Z36" i="108"/>
  <c r="M36" i="108"/>
  <c r="Z35" i="108"/>
  <c r="M35" i="108"/>
  <c r="Z34" i="108"/>
  <c r="M34" i="108"/>
  <c r="Z33" i="108"/>
  <c r="M33" i="108"/>
  <c r="Z32" i="108"/>
  <c r="M32" i="108"/>
  <c r="Z31" i="108"/>
  <c r="M31" i="108"/>
  <c r="Z30" i="108"/>
  <c r="M30" i="108"/>
  <c r="Z29" i="108"/>
  <c r="Z28" i="108"/>
  <c r="Z27" i="108"/>
  <c r="Z26" i="108"/>
  <c r="Z25" i="108"/>
  <c r="Z24" i="108"/>
  <c r="K24" i="108"/>
  <c r="M24" i="108" s="1"/>
  <c r="Z23" i="108"/>
  <c r="Z22" i="108"/>
  <c r="Z21" i="108"/>
  <c r="Z20" i="108"/>
  <c r="K20" i="108"/>
  <c r="M20" i="108" s="1"/>
  <c r="Z19" i="108"/>
  <c r="Z18" i="108"/>
  <c r="Z17" i="108"/>
  <c r="M17" i="108"/>
  <c r="Z16" i="108"/>
  <c r="M16" i="108"/>
  <c r="Z15" i="108"/>
  <c r="M15" i="108"/>
  <c r="Z14" i="108"/>
  <c r="M14" i="108"/>
  <c r="Z13" i="108"/>
  <c r="Z12" i="108"/>
  <c r="Z11" i="108"/>
  <c r="Z10" i="108"/>
  <c r="Z9" i="108"/>
  <c r="I550" i="15"/>
  <c r="J117" i="11" l="1"/>
  <c r="K117" i="11" s="1"/>
  <c r="H117" i="11"/>
  <c r="Z21" i="110"/>
  <c r="C473" i="15"/>
  <c r="I473" i="15" s="1"/>
  <c r="M14" i="109"/>
  <c r="M15" i="109" s="1"/>
  <c r="H82" i="116" s="1"/>
  <c r="Z22" i="110"/>
  <c r="N26" i="112"/>
  <c r="N28" i="112" s="1"/>
  <c r="AD46" i="112"/>
  <c r="AD47" i="112"/>
  <c r="AD48" i="112" s="1"/>
  <c r="J27" i="116"/>
  <c r="J43" i="116"/>
  <c r="M37" i="108"/>
  <c r="M38" i="108" s="1"/>
  <c r="Z39" i="108"/>
  <c r="Z16" i="109"/>
  <c r="Z17" i="109"/>
  <c r="AH6" i="95"/>
  <c r="Z38" i="108"/>
  <c r="H71" i="116"/>
  <c r="J77" i="116"/>
  <c r="H49" i="116"/>
  <c r="H52" i="116"/>
  <c r="H53" i="116"/>
  <c r="H54" i="116"/>
  <c r="H59" i="116"/>
  <c r="H60" i="116"/>
  <c r="H61" i="116"/>
  <c r="H62" i="116"/>
  <c r="H65" i="116"/>
  <c r="H67" i="116"/>
  <c r="H77" i="116"/>
  <c r="I481" i="15"/>
  <c r="I471" i="15"/>
  <c r="I482" i="15"/>
  <c r="I483" i="15"/>
  <c r="C452" i="15"/>
  <c r="C459" i="15"/>
  <c r="C470" i="15"/>
  <c r="I470" i="15" s="1"/>
  <c r="G33" i="95"/>
  <c r="AE12" i="112"/>
  <c r="P41" i="112"/>
  <c r="Q29" i="112"/>
  <c r="O41" i="112"/>
  <c r="P26" i="112"/>
  <c r="Q12" i="112"/>
  <c r="O26" i="112"/>
  <c r="M19" i="110"/>
  <c r="M20" i="110" s="1"/>
  <c r="M21" i="110" s="1"/>
  <c r="J81" i="116" l="1"/>
  <c r="K81" i="116" s="1"/>
  <c r="N29" i="112"/>
  <c r="J82" i="116"/>
  <c r="K82" i="116" s="1"/>
  <c r="H81" i="116"/>
  <c r="BB33" i="95"/>
  <c r="AV33" i="95"/>
  <c r="BE33" i="95"/>
  <c r="AY33" i="95"/>
  <c r="AS33" i="95"/>
  <c r="O33" i="95"/>
  <c r="BQ33" i="95"/>
  <c r="X33" i="95"/>
  <c r="AJ33" i="95"/>
  <c r="BH33" i="95"/>
  <c r="BT33" i="95"/>
  <c r="AG33" i="95"/>
  <c r="BK33" i="95"/>
  <c r="L33" i="95"/>
  <c r="AA33" i="95"/>
  <c r="R33" i="95"/>
  <c r="AD33" i="95"/>
  <c r="AP33" i="95"/>
  <c r="BN33" i="95"/>
  <c r="U33" i="95"/>
  <c r="AM33" i="95"/>
  <c r="J131" i="11"/>
  <c r="K131" i="11" s="1"/>
  <c r="F34" i="95" s="1"/>
  <c r="G34" i="95" s="1"/>
  <c r="AK6" i="95"/>
  <c r="G32" i="95"/>
  <c r="I485" i="15"/>
  <c r="N30" i="112"/>
  <c r="AE29" i="112"/>
  <c r="Q41" i="112"/>
  <c r="Q45" i="112" s="1"/>
  <c r="H131" i="11" l="1"/>
  <c r="H80" i="116"/>
  <c r="J80" i="116"/>
  <c r="K80" i="116" s="1"/>
  <c r="BE34" i="95"/>
  <c r="AY34" i="95"/>
  <c r="AS34" i="95"/>
  <c r="BB34" i="95"/>
  <c r="AV34" i="95"/>
  <c r="U34" i="95"/>
  <c r="BK34" i="95"/>
  <c r="X34" i="95"/>
  <c r="AJ34" i="95"/>
  <c r="BH34" i="95"/>
  <c r="BT34" i="95"/>
  <c r="AA34" i="95"/>
  <c r="BQ34" i="95"/>
  <c r="L34" i="95"/>
  <c r="AM34" i="95"/>
  <c r="R34" i="95"/>
  <c r="AD34" i="95"/>
  <c r="AP34" i="95"/>
  <c r="BN34" i="95"/>
  <c r="O34" i="95"/>
  <c r="AG34" i="95"/>
  <c r="AN6" i="95"/>
  <c r="H84" i="116"/>
  <c r="J84" i="116"/>
  <c r="K84" i="116" s="1"/>
  <c r="BW33" i="95"/>
  <c r="BY33" i="95" s="1"/>
  <c r="H70" i="116"/>
  <c r="BE32" i="95"/>
  <c r="AY32" i="95"/>
  <c r="AS32" i="95"/>
  <c r="BB32" i="95"/>
  <c r="AV32" i="95"/>
  <c r="O32" i="95"/>
  <c r="AA32" i="95"/>
  <c r="BK32" i="95"/>
  <c r="X32" i="95"/>
  <c r="AJ32" i="95"/>
  <c r="BH32" i="95"/>
  <c r="BT32" i="95"/>
  <c r="BQ32" i="95"/>
  <c r="U32" i="95"/>
  <c r="AG32" i="95"/>
  <c r="R32" i="95"/>
  <c r="AD32" i="95"/>
  <c r="AP32" i="95"/>
  <c r="BN32" i="95"/>
  <c r="AM32" i="95"/>
  <c r="L32" i="95"/>
  <c r="AE30" i="112"/>
  <c r="AE46" i="112" s="1"/>
  <c r="BW32" i="95" l="1"/>
  <c r="BY32" i="95" s="1"/>
  <c r="BW34" i="95"/>
  <c r="BY34" i="95" s="1"/>
  <c r="J92" i="116"/>
  <c r="AQ6" i="95"/>
  <c r="AT6" i="95" l="1"/>
  <c r="D2" i="12"/>
  <c r="E9" i="12" s="1"/>
  <c r="F9" i="12" s="1"/>
  <c r="AW6" i="95" l="1"/>
  <c r="AZ6" i="95" l="1"/>
  <c r="BC6" i="95" l="1"/>
  <c r="BF6" i="95" l="1"/>
  <c r="E452" i="15"/>
  <c r="G44" i="6"/>
  <c r="B42" i="6"/>
  <c r="B43" i="6" s="1"/>
  <c r="B44" i="6" s="1"/>
  <c r="B45" i="6" s="1"/>
  <c r="B46" i="6" s="1"/>
  <c r="B47" i="6" s="1"/>
  <c r="B48" i="6" s="1"/>
  <c r="B49" i="6" s="1"/>
  <c r="B50" i="6" s="1"/>
  <c r="E23" i="12"/>
  <c r="F23" i="12" s="1"/>
  <c r="D23" i="12"/>
  <c r="E22" i="12"/>
  <c r="F22" i="12" s="1"/>
  <c r="D22" i="12"/>
  <c r="E21" i="12"/>
  <c r="F21" i="12" s="1"/>
  <c r="D21" i="12"/>
  <c r="E19" i="12"/>
  <c r="F19" i="12" s="1"/>
  <c r="D19" i="12"/>
  <c r="E18" i="12"/>
  <c r="F18" i="12" s="1"/>
  <c r="D18" i="12"/>
  <c r="E17" i="12"/>
  <c r="F17" i="12" s="1"/>
  <c r="D17" i="12"/>
  <c r="E16" i="12"/>
  <c r="F16" i="12" s="1"/>
  <c r="D16" i="12"/>
  <c r="E15" i="12"/>
  <c r="F15" i="12" s="1"/>
  <c r="D15" i="12"/>
  <c r="E14" i="12"/>
  <c r="F14" i="12" s="1"/>
  <c r="D14" i="12"/>
  <c r="E12" i="12"/>
  <c r="F12" i="12" s="1"/>
  <c r="D12" i="12"/>
  <c r="E11" i="12"/>
  <c r="F11" i="12" s="1"/>
  <c r="D11" i="12"/>
  <c r="G42" i="6" l="1"/>
  <c r="G49" i="6"/>
  <c r="G47" i="6"/>
  <c r="G45" i="6"/>
  <c r="G43" i="6"/>
  <c r="BI6" i="95"/>
  <c r="G50" i="6"/>
  <c r="G48" i="6"/>
  <c r="G46" i="6"/>
  <c r="G11" i="12"/>
  <c r="H12" i="12"/>
  <c r="G14" i="12"/>
  <c r="H15" i="12"/>
  <c r="G16" i="12"/>
  <c r="H17" i="12"/>
  <c r="G18" i="12"/>
  <c r="H19" i="12"/>
  <c r="G21" i="12"/>
  <c r="H22" i="12"/>
  <c r="G23" i="12"/>
  <c r="H11" i="12"/>
  <c r="G12" i="12"/>
  <c r="H14" i="12"/>
  <c r="G15" i="12"/>
  <c r="H16" i="12"/>
  <c r="G17" i="12"/>
  <c r="H18" i="12"/>
  <c r="G19" i="12"/>
  <c r="H21" i="12"/>
  <c r="G22" i="12"/>
  <c r="H23" i="12"/>
  <c r="I94" i="15" l="1"/>
  <c r="I87" i="15"/>
  <c r="BL6" i="95"/>
  <c r="J52" i="73"/>
  <c r="J56" i="73"/>
  <c r="BO6" i="95" l="1"/>
  <c r="BR6" i="95" l="1"/>
  <c r="BU6" i="95" l="1"/>
  <c r="I54" i="45"/>
  <c r="H54" i="45"/>
  <c r="G56" i="116" s="1"/>
  <c r="H56" i="116" s="1"/>
  <c r="I53" i="45"/>
  <c r="H53" i="45"/>
  <c r="G55" i="116" s="1"/>
  <c r="H55" i="116" s="1"/>
  <c r="G63" i="116"/>
  <c r="H63" i="116" s="1"/>
  <c r="D19" i="6" l="1"/>
  <c r="O2" i="95" l="1"/>
  <c r="B3" i="119"/>
  <c r="B3" i="118" l="1"/>
  <c r="G87" i="11"/>
  <c r="H87" i="11" l="1"/>
  <c r="K3" i="11" l="1"/>
  <c r="Z40" i="95" l="1"/>
  <c r="BV16" i="95"/>
  <c r="BV19" i="95"/>
  <c r="BV22" i="95"/>
  <c r="BV23" i="95"/>
  <c r="BV24" i="95"/>
  <c r="BV35" i="95"/>
  <c r="G4" i="95"/>
  <c r="E4" i="95"/>
  <c r="AI40" i="95"/>
  <c r="AL40" i="95" s="1"/>
  <c r="AO40" i="95" s="1"/>
  <c r="BD40" i="95" s="1"/>
  <c r="BG40" i="95" s="1"/>
  <c r="BJ40" i="95" s="1"/>
  <c r="BM40" i="95" s="1"/>
  <c r="BP40" i="95" s="1"/>
  <c r="BS40" i="95" s="1"/>
  <c r="AI39" i="95"/>
  <c r="AL39" i="95" s="1"/>
  <c r="AO39" i="95" s="1"/>
  <c r="BD39" i="95" s="1"/>
  <c r="BG39" i="95" s="1"/>
  <c r="BJ39" i="95" s="1"/>
  <c r="BM39" i="95" s="1"/>
  <c r="BP39" i="95" s="1"/>
  <c r="G19" i="95"/>
  <c r="BW19" i="95" s="1"/>
  <c r="BY19" i="95" s="1"/>
  <c r="BV21" i="95"/>
  <c r="G16" i="95"/>
  <c r="BW16" i="95" s="1"/>
  <c r="BY16" i="95" s="1"/>
  <c r="P3" i="95"/>
  <c r="Q3" i="95" l="1"/>
  <c r="BQ40" i="95"/>
  <c r="BS39" i="95"/>
  <c r="BT40" i="95" s="1"/>
  <c r="BV18" i="95"/>
  <c r="R3" i="95" l="1"/>
  <c r="S3" i="95" l="1"/>
  <c r="T3" i="95" s="1"/>
  <c r="U3" i="95" l="1"/>
  <c r="V3" i="95" l="1"/>
  <c r="W3" i="95" l="1"/>
  <c r="X3" i="95" l="1"/>
  <c r="Y3" i="95" l="1"/>
  <c r="Z3" i="95" l="1"/>
  <c r="AA3" i="95" l="1"/>
  <c r="AB3" i="95" l="1"/>
  <c r="AC3" i="95" l="1"/>
  <c r="AD3" i="95" l="1"/>
  <c r="AE3" i="95" l="1"/>
  <c r="BX6" i="95" l="1"/>
  <c r="G111" i="11"/>
  <c r="H111" i="11" s="1"/>
  <c r="G101" i="11"/>
  <c r="H101" i="11" s="1"/>
  <c r="G95" i="11"/>
  <c r="H95" i="11" s="1"/>
  <c r="G104" i="11"/>
  <c r="H104" i="11" s="1"/>
  <c r="A3" i="6" l="1"/>
  <c r="A3" i="117" s="1"/>
  <c r="C2" i="11" l="1"/>
  <c r="C3" i="95"/>
  <c r="F13" i="34"/>
  <c r="H130" i="11"/>
  <c r="J130" i="11"/>
  <c r="K130" i="11" s="1"/>
  <c r="F13" i="15"/>
  <c r="D52" i="73"/>
  <c r="B17" i="6"/>
  <c r="I504" i="15"/>
  <c r="C503" i="15"/>
  <c r="C502" i="15"/>
  <c r="I500" i="15"/>
  <c r="I496" i="15"/>
  <c r="C495" i="15"/>
  <c r="E493" i="15"/>
  <c r="E502" i="15" s="1"/>
  <c r="C493" i="15"/>
  <c r="C492" i="15"/>
  <c r="E492" i="15"/>
  <c r="I460" i="15"/>
  <c r="I453" i="15"/>
  <c r="B26" i="6"/>
  <c r="B23" i="15" s="1"/>
  <c r="L26" i="6"/>
  <c r="K23" i="15" s="1"/>
  <c r="B33" i="6"/>
  <c r="B23" i="6"/>
  <c r="B20" i="15" s="1"/>
  <c r="B24" i="6"/>
  <c r="B21" i="15" s="1"/>
  <c r="B25" i="6"/>
  <c r="B22" i="15" s="1"/>
  <c r="B21" i="6"/>
  <c r="B18" i="15" s="1"/>
  <c r="L25" i="6"/>
  <c r="K22" i="15" s="1"/>
  <c r="L24" i="6"/>
  <c r="K21" i="15" s="1"/>
  <c r="L23" i="6"/>
  <c r="K20" i="15" s="1"/>
  <c r="L21" i="6"/>
  <c r="K18" i="15" s="1"/>
  <c r="F9" i="15"/>
  <c r="E120" i="15" s="1"/>
  <c r="G51" i="6"/>
  <c r="F40" i="15" s="1"/>
  <c r="F28" i="15"/>
  <c r="E91" i="15" s="1"/>
  <c r="D29" i="15"/>
  <c r="D28" i="15"/>
  <c r="I90" i="15" s="1"/>
  <c r="D15" i="15"/>
  <c r="N323" i="15"/>
  <c r="R323" i="15"/>
  <c r="P323" i="15"/>
  <c r="R325" i="15"/>
  <c r="R326" i="15"/>
  <c r="R327" i="15"/>
  <c r="R324" i="15"/>
  <c r="P325" i="15"/>
  <c r="P326" i="15"/>
  <c r="P327" i="15"/>
  <c r="P324" i="15"/>
  <c r="N325" i="15"/>
  <c r="N326" i="15"/>
  <c r="N327" i="15"/>
  <c r="N324" i="15"/>
  <c r="D31" i="15"/>
  <c r="F7" i="15"/>
  <c r="E99" i="15" s="1"/>
  <c r="D7" i="15"/>
  <c r="I97" i="15" s="1"/>
  <c r="C1" i="14"/>
  <c r="C10" i="14" s="1"/>
  <c r="D10" i="14" s="1"/>
  <c r="D9" i="15"/>
  <c r="I118" i="15" s="1"/>
  <c r="D10" i="15"/>
  <c r="I164" i="15" s="1"/>
  <c r="D28" i="12"/>
  <c r="E28" i="12"/>
  <c r="D29" i="12"/>
  <c r="E29" i="12"/>
  <c r="F29" i="12" s="1"/>
  <c r="D35" i="12"/>
  <c r="E35" i="12"/>
  <c r="F35" i="12" s="1"/>
  <c r="D48" i="12"/>
  <c r="E48" i="12"/>
  <c r="D52" i="12"/>
  <c r="E52" i="12"/>
  <c r="F52" i="12" s="1"/>
  <c r="E347" i="15"/>
  <c r="I347" i="15" s="1"/>
  <c r="I348" i="15"/>
  <c r="I350" i="15"/>
  <c r="E363" i="15"/>
  <c r="I363" i="15" s="1"/>
  <c r="I364" i="15"/>
  <c r="I366" i="15"/>
  <c r="E371" i="15"/>
  <c r="I371" i="15" s="1"/>
  <c r="I372" i="15"/>
  <c r="I374" i="15"/>
  <c r="D81" i="17"/>
  <c r="D84" i="17" s="1"/>
  <c r="D82" i="17"/>
  <c r="D100" i="17"/>
  <c r="C110" i="17" s="1"/>
  <c r="D110" i="17" s="1"/>
  <c r="D101" i="17"/>
  <c r="C109" i="17" s="1"/>
  <c r="G72" i="11"/>
  <c r="G73" i="11"/>
  <c r="G93" i="11"/>
  <c r="G110" i="11"/>
  <c r="X94" i="27"/>
  <c r="I3" i="29"/>
  <c r="D3" i="28" s="1"/>
  <c r="F10" i="28" s="1"/>
  <c r="D4" i="29"/>
  <c r="H4" i="28" s="1"/>
  <c r="E16" i="28" s="1"/>
  <c r="C10" i="28"/>
  <c r="D3" i="29"/>
  <c r="H3" i="28" s="1"/>
  <c r="I4" i="29"/>
  <c r="X93" i="27"/>
  <c r="C9" i="28"/>
  <c r="D20" i="34"/>
  <c r="G112" i="11"/>
  <c r="D16" i="15"/>
  <c r="E253" i="15"/>
  <c r="I253" i="15" s="1"/>
  <c r="I244" i="15" s="1"/>
  <c r="E254" i="15"/>
  <c r="G80" i="11"/>
  <c r="D56" i="73"/>
  <c r="D51" i="73"/>
  <c r="D50" i="73"/>
  <c r="H70" i="11"/>
  <c r="G102" i="11"/>
  <c r="H102" i="11" s="1"/>
  <c r="F8" i="15"/>
  <c r="E111" i="15" s="1"/>
  <c r="D55" i="73"/>
  <c r="D70" i="12"/>
  <c r="D53" i="73"/>
  <c r="D49" i="73"/>
  <c r="L14" i="6"/>
  <c r="L18" i="6" s="1"/>
  <c r="K15" i="15" s="1"/>
  <c r="L33" i="6"/>
  <c r="L32" i="6"/>
  <c r="L31" i="6"/>
  <c r="L30" i="6"/>
  <c r="I247" i="15"/>
  <c r="E2" i="6"/>
  <c r="F3" i="51" s="1"/>
  <c r="I356" i="15"/>
  <c r="D7" i="12"/>
  <c r="E7" i="12"/>
  <c r="F7" i="12" s="1"/>
  <c r="D32" i="12"/>
  <c r="E32" i="12"/>
  <c r="F32" i="12" s="1"/>
  <c r="D38" i="12"/>
  <c r="E38" i="12"/>
  <c r="F38" i="12" s="1"/>
  <c r="D73" i="12"/>
  <c r="E73" i="12"/>
  <c r="F73" i="12" s="1"/>
  <c r="D72" i="12"/>
  <c r="E72" i="12"/>
  <c r="F72" i="12" s="1"/>
  <c r="D13" i="15"/>
  <c r="F6" i="15"/>
  <c r="I220" i="15" s="1"/>
  <c r="I221" i="15" s="1"/>
  <c r="D11" i="15"/>
  <c r="D36" i="15"/>
  <c r="D37" i="15"/>
  <c r="D39" i="15"/>
  <c r="D30" i="15"/>
  <c r="F35" i="15"/>
  <c r="D35" i="15"/>
  <c r="F38" i="15"/>
  <c r="D38" i="15"/>
  <c r="G109" i="11"/>
  <c r="V9" i="6"/>
  <c r="U9" i="6"/>
  <c r="T9" i="6"/>
  <c r="S9" i="6"/>
  <c r="E256" i="15"/>
  <c r="E255" i="15"/>
  <c r="I255" i="15" s="1"/>
  <c r="D53" i="12"/>
  <c r="E53" i="12"/>
  <c r="F53" i="12" s="1"/>
  <c r="I180" i="15"/>
  <c r="D30" i="12"/>
  <c r="E30" i="12"/>
  <c r="F30" i="12" s="1"/>
  <c r="G78" i="11"/>
  <c r="H78" i="11" s="1"/>
  <c r="G81" i="11"/>
  <c r="H81" i="11" s="1"/>
  <c r="G97" i="11"/>
  <c r="B10" i="6"/>
  <c r="D48" i="73" s="1"/>
  <c r="C24" i="34"/>
  <c r="D54" i="73"/>
  <c r="D8" i="15"/>
  <c r="I109" i="15" s="1"/>
  <c r="L11" i="6"/>
  <c r="K8" i="15" s="1"/>
  <c r="C22" i="14"/>
  <c r="D22" i="14" s="1"/>
  <c r="G79" i="11"/>
  <c r="H79" i="11" s="1"/>
  <c r="L38" i="6"/>
  <c r="K38" i="6"/>
  <c r="J28" i="15" s="1"/>
  <c r="L51" i="6"/>
  <c r="L52" i="6"/>
  <c r="E355" i="15"/>
  <c r="I355" i="15" s="1"/>
  <c r="I358" i="15"/>
  <c r="L54" i="6"/>
  <c r="L42" i="6"/>
  <c r="L10" i="6"/>
  <c r="L12" i="6"/>
  <c r="K9" i="15" s="1"/>
  <c r="D36" i="12"/>
  <c r="E36" i="12"/>
  <c r="F36" i="12" s="1"/>
  <c r="L36" i="6"/>
  <c r="G74" i="11"/>
  <c r="H74" i="11" s="1"/>
  <c r="C11" i="28"/>
  <c r="G114" i="11"/>
  <c r="H114" i="11" s="1"/>
  <c r="C32" i="34"/>
  <c r="D81" i="12"/>
  <c r="E81" i="12"/>
  <c r="F81" i="12" s="1"/>
  <c r="D80" i="12"/>
  <c r="E80" i="12"/>
  <c r="F80" i="12" s="1"/>
  <c r="D78" i="12"/>
  <c r="E78" i="12"/>
  <c r="F78" i="12" s="1"/>
  <c r="D77" i="12"/>
  <c r="E77" i="12"/>
  <c r="F77" i="12" s="1"/>
  <c r="D76" i="12"/>
  <c r="E76" i="12"/>
  <c r="F76" i="12" s="1"/>
  <c r="D75" i="12"/>
  <c r="E75" i="12"/>
  <c r="F75" i="12" s="1"/>
  <c r="D71" i="12"/>
  <c r="E71" i="12"/>
  <c r="F71" i="12" s="1"/>
  <c r="D69" i="12"/>
  <c r="E69" i="12"/>
  <c r="F69" i="12" s="1"/>
  <c r="D67" i="12"/>
  <c r="E67" i="12"/>
  <c r="F67" i="12" s="1"/>
  <c r="D66" i="12"/>
  <c r="E66" i="12"/>
  <c r="F66" i="12" s="1"/>
  <c r="D65" i="12"/>
  <c r="E65" i="12"/>
  <c r="F65" i="12" s="1"/>
  <c r="D64" i="12"/>
  <c r="E64" i="12"/>
  <c r="F64" i="12" s="1"/>
  <c r="D62" i="12"/>
  <c r="E62" i="12"/>
  <c r="F62" i="12" s="1"/>
  <c r="D61" i="12"/>
  <c r="E61" i="12"/>
  <c r="F61" i="12" s="1"/>
  <c r="CY60" i="12"/>
  <c r="AY37" i="12"/>
  <c r="AY38" i="12" s="1"/>
  <c r="AY39" i="12" s="1"/>
  <c r="AY40" i="12" s="1"/>
  <c r="AY41" i="12" s="1"/>
  <c r="AY42" i="12" s="1"/>
  <c r="AY43" i="12" s="1"/>
  <c r="AY44" i="12" s="1"/>
  <c r="AY45" i="12" s="1"/>
  <c r="AY46" i="12" s="1"/>
  <c r="AY47" i="12" s="1"/>
  <c r="AY48" i="12" s="1"/>
  <c r="AY49" i="12" s="1"/>
  <c r="AY50" i="12" s="1"/>
  <c r="AY51" i="12" s="1"/>
  <c r="AY52" i="12" s="1"/>
  <c r="AY53" i="12" s="1"/>
  <c r="AY54" i="12" s="1"/>
  <c r="AY55" i="12" s="1"/>
  <c r="AY56" i="12" s="1"/>
  <c r="AY57" i="12" s="1"/>
  <c r="AY58" i="12" s="1"/>
  <c r="AY59" i="12" s="1"/>
  <c r="AY60" i="12" s="1"/>
  <c r="D60" i="12"/>
  <c r="E60" i="12"/>
  <c r="F60" i="12" s="1"/>
  <c r="CY59" i="12"/>
  <c r="D59" i="12"/>
  <c r="E59" i="12"/>
  <c r="CY58" i="12"/>
  <c r="D58" i="12"/>
  <c r="E58" i="12"/>
  <c r="F58" i="12" s="1"/>
  <c r="CY57" i="12"/>
  <c r="D57" i="12"/>
  <c r="E57" i="12"/>
  <c r="F57" i="12" s="1"/>
  <c r="CY56" i="12"/>
  <c r="D56" i="12"/>
  <c r="E56" i="12"/>
  <c r="F56" i="12" s="1"/>
  <c r="CY55" i="12"/>
  <c r="CY54" i="12"/>
  <c r="CY53" i="12"/>
  <c r="CY52" i="12"/>
  <c r="CY51" i="12"/>
  <c r="CY50" i="12"/>
  <c r="CY49" i="12"/>
  <c r="CY48" i="12"/>
  <c r="CY47" i="12"/>
  <c r="CY46" i="12"/>
  <c r="D46" i="12"/>
  <c r="E46" i="12"/>
  <c r="F46" i="12" s="1"/>
  <c r="CY45" i="12"/>
  <c r="D45" i="12"/>
  <c r="E45" i="12"/>
  <c r="F45" i="12" s="1"/>
  <c r="CY44" i="12"/>
  <c r="D44" i="12"/>
  <c r="E44" i="12"/>
  <c r="F44" i="12" s="1"/>
  <c r="CY43" i="12"/>
  <c r="D43" i="12"/>
  <c r="E43" i="12"/>
  <c r="F43" i="12" s="1"/>
  <c r="CY42" i="12"/>
  <c r="CY41" i="12"/>
  <c r="D41" i="12"/>
  <c r="E41" i="12"/>
  <c r="F41" i="12" s="1"/>
  <c r="CY40" i="12"/>
  <c r="D40" i="12"/>
  <c r="E40" i="12"/>
  <c r="F40" i="12" s="1"/>
  <c r="CY39" i="12"/>
  <c r="D39" i="12"/>
  <c r="E39" i="12"/>
  <c r="F39" i="12" s="1"/>
  <c r="CY38" i="12"/>
  <c r="CY37" i="12"/>
  <c r="CY36" i="12"/>
  <c r="CY35" i="12"/>
  <c r="CY34" i="12"/>
  <c r="D34" i="12"/>
  <c r="E34" i="12"/>
  <c r="F34" i="12" s="1"/>
  <c r="CY33" i="12"/>
  <c r="D33" i="12"/>
  <c r="E33" i="12"/>
  <c r="F33" i="12" s="1"/>
  <c r="CY32" i="12"/>
  <c r="D26" i="12"/>
  <c r="E26" i="12"/>
  <c r="F26" i="12" s="1"/>
  <c r="D25" i="12"/>
  <c r="E25" i="12"/>
  <c r="F25" i="12" s="1"/>
  <c r="D9" i="12"/>
  <c r="G9" i="12" s="1"/>
  <c r="D8" i="12"/>
  <c r="E8" i="12"/>
  <c r="F8" i="12" s="1"/>
  <c r="B6" i="14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  <c r="B731" i="14" s="1"/>
  <c r="B732" i="14" s="1"/>
  <c r="B733" i="14" s="1"/>
  <c r="B734" i="14" s="1"/>
  <c r="B735" i="14" s="1"/>
  <c r="B736" i="14" s="1"/>
  <c r="B737" i="14" s="1"/>
  <c r="B738" i="14" s="1"/>
  <c r="B739" i="14" s="1"/>
  <c r="B740" i="14" s="1"/>
  <c r="B741" i="14" s="1"/>
  <c r="B742" i="14" s="1"/>
  <c r="B743" i="14" s="1"/>
  <c r="B744" i="14" s="1"/>
  <c r="B745" i="14" s="1"/>
  <c r="B746" i="14" s="1"/>
  <c r="B747" i="14" s="1"/>
  <c r="B748" i="14" s="1"/>
  <c r="B749" i="14" s="1"/>
  <c r="B750" i="14" s="1"/>
  <c r="B751" i="14" s="1"/>
  <c r="B752" i="14" s="1"/>
  <c r="B753" i="14" s="1"/>
  <c r="B754" i="14" s="1"/>
  <c r="B755" i="14" s="1"/>
  <c r="B756" i="14" s="1"/>
  <c r="B757" i="14" s="1"/>
  <c r="B758" i="14" s="1"/>
  <c r="B759" i="14" s="1"/>
  <c r="B760" i="14" s="1"/>
  <c r="B761" i="14" s="1"/>
  <c r="B762" i="14" s="1"/>
  <c r="B763" i="14" s="1"/>
  <c r="B764" i="14" s="1"/>
  <c r="B765" i="14" s="1"/>
  <c r="B766" i="14" s="1"/>
  <c r="B767" i="14" s="1"/>
  <c r="B768" i="14" s="1"/>
  <c r="B769" i="14" s="1"/>
  <c r="B770" i="14" s="1"/>
  <c r="B771" i="14" s="1"/>
  <c r="B772" i="14" s="1"/>
  <c r="B773" i="14" s="1"/>
  <c r="B774" i="14" s="1"/>
  <c r="B775" i="14" s="1"/>
  <c r="B776" i="14" s="1"/>
  <c r="B777" i="14" s="1"/>
  <c r="B778" i="14" s="1"/>
  <c r="B779" i="14" s="1"/>
  <c r="B780" i="14" s="1"/>
  <c r="B781" i="14" s="1"/>
  <c r="B782" i="14" s="1"/>
  <c r="B783" i="14" s="1"/>
  <c r="B784" i="14" s="1"/>
  <c r="B785" i="14" s="1"/>
  <c r="B786" i="14" s="1"/>
  <c r="B787" i="14" s="1"/>
  <c r="B788" i="14" s="1"/>
  <c r="B789" i="14" s="1"/>
  <c r="B790" i="14" s="1"/>
  <c r="B791" i="14" s="1"/>
  <c r="B792" i="14" s="1"/>
  <c r="B793" i="14" s="1"/>
  <c r="B794" i="14" s="1"/>
  <c r="B795" i="14" s="1"/>
  <c r="B796" i="14" s="1"/>
  <c r="B797" i="14" s="1"/>
  <c r="B798" i="14" s="1"/>
  <c r="B799" i="14" s="1"/>
  <c r="B800" i="14" s="1"/>
  <c r="B801" i="14" s="1"/>
  <c r="B802" i="14" s="1"/>
  <c r="B803" i="14" s="1"/>
  <c r="B804" i="14" s="1"/>
  <c r="B805" i="14" s="1"/>
  <c r="B806" i="14" s="1"/>
  <c r="B807" i="14" s="1"/>
  <c r="B808" i="14" s="1"/>
  <c r="B809" i="14" s="1"/>
  <c r="B810" i="14" s="1"/>
  <c r="B811" i="14" s="1"/>
  <c r="B812" i="14" s="1"/>
  <c r="B813" i="14" s="1"/>
  <c r="B814" i="14" s="1"/>
  <c r="B815" i="14" s="1"/>
  <c r="B816" i="14" s="1"/>
  <c r="B817" i="14" s="1"/>
  <c r="B818" i="14" s="1"/>
  <c r="B819" i="14" s="1"/>
  <c r="B820" i="14" s="1"/>
  <c r="B821" i="14" s="1"/>
  <c r="B822" i="14" s="1"/>
  <c r="B823" i="14" s="1"/>
  <c r="B824" i="14" s="1"/>
  <c r="B825" i="14" s="1"/>
  <c r="B826" i="14" s="1"/>
  <c r="B827" i="14" s="1"/>
  <c r="B828" i="14" s="1"/>
  <c r="B829" i="14" s="1"/>
  <c r="B830" i="14" s="1"/>
  <c r="B831" i="14" s="1"/>
  <c r="B832" i="14" s="1"/>
  <c r="B833" i="14" s="1"/>
  <c r="B834" i="14" s="1"/>
  <c r="B835" i="14" s="1"/>
  <c r="B836" i="14" s="1"/>
  <c r="B837" i="14" s="1"/>
  <c r="B838" i="14" s="1"/>
  <c r="B839" i="14" s="1"/>
  <c r="B840" i="14" s="1"/>
  <c r="B841" i="14" s="1"/>
  <c r="B842" i="14" s="1"/>
  <c r="B843" i="14" s="1"/>
  <c r="B844" i="14" s="1"/>
  <c r="B845" i="14" s="1"/>
  <c r="B846" i="14" s="1"/>
  <c r="B847" i="14" s="1"/>
  <c r="B848" i="14" s="1"/>
  <c r="B849" i="14" s="1"/>
  <c r="B850" i="14" s="1"/>
  <c r="B851" i="14" s="1"/>
  <c r="B852" i="14" s="1"/>
  <c r="B853" i="14" s="1"/>
  <c r="B854" i="14" s="1"/>
  <c r="B855" i="14" s="1"/>
  <c r="B856" i="14" s="1"/>
  <c r="B857" i="14" s="1"/>
  <c r="B858" i="14" s="1"/>
  <c r="B859" i="14" s="1"/>
  <c r="B860" i="14" s="1"/>
  <c r="B861" i="14" s="1"/>
  <c r="B862" i="14" s="1"/>
  <c r="B863" i="14" s="1"/>
  <c r="B864" i="14" s="1"/>
  <c r="B865" i="14" s="1"/>
  <c r="B866" i="14" s="1"/>
  <c r="B867" i="14" s="1"/>
  <c r="B868" i="14" s="1"/>
  <c r="B869" i="14" s="1"/>
  <c r="B870" i="14" s="1"/>
  <c r="B871" i="14" s="1"/>
  <c r="B872" i="14" s="1"/>
  <c r="B873" i="14" s="1"/>
  <c r="B874" i="14" s="1"/>
  <c r="B875" i="14" s="1"/>
  <c r="B876" i="14" s="1"/>
  <c r="B877" i="14" s="1"/>
  <c r="B878" i="14" s="1"/>
  <c r="B879" i="14" s="1"/>
  <c r="B880" i="14" s="1"/>
  <c r="B881" i="14" s="1"/>
  <c r="B882" i="14" s="1"/>
  <c r="B883" i="14" s="1"/>
  <c r="B884" i="14" s="1"/>
  <c r="B885" i="14" s="1"/>
  <c r="B886" i="14" s="1"/>
  <c r="B887" i="14" s="1"/>
  <c r="B888" i="14" s="1"/>
  <c r="B889" i="14" s="1"/>
  <c r="B890" i="14" s="1"/>
  <c r="B891" i="14" s="1"/>
  <c r="B892" i="14" s="1"/>
  <c r="B893" i="14" s="1"/>
  <c r="B894" i="14" s="1"/>
  <c r="B895" i="14" s="1"/>
  <c r="B896" i="14" s="1"/>
  <c r="B897" i="14" s="1"/>
  <c r="B898" i="14" s="1"/>
  <c r="B899" i="14" s="1"/>
  <c r="B900" i="14" s="1"/>
  <c r="B901" i="14" s="1"/>
  <c r="B902" i="14" s="1"/>
  <c r="B903" i="14" s="1"/>
  <c r="B904" i="14" s="1"/>
  <c r="B905" i="14" s="1"/>
  <c r="B906" i="14" s="1"/>
  <c r="B907" i="14" s="1"/>
  <c r="B908" i="14" s="1"/>
  <c r="B909" i="14" s="1"/>
  <c r="B910" i="14" s="1"/>
  <c r="B911" i="14" s="1"/>
  <c r="B912" i="14" s="1"/>
  <c r="B913" i="14" s="1"/>
  <c r="B914" i="14" s="1"/>
  <c r="B915" i="14" s="1"/>
  <c r="B916" i="14" s="1"/>
  <c r="B917" i="14" s="1"/>
  <c r="B918" i="14" s="1"/>
  <c r="B919" i="14" s="1"/>
  <c r="B920" i="14" s="1"/>
  <c r="B921" i="14" s="1"/>
  <c r="B922" i="14" s="1"/>
  <c r="B923" i="14" s="1"/>
  <c r="B924" i="14" s="1"/>
  <c r="B925" i="14" s="1"/>
  <c r="B926" i="14" s="1"/>
  <c r="B927" i="14" s="1"/>
  <c r="B928" i="14" s="1"/>
  <c r="B929" i="14" s="1"/>
  <c r="B930" i="14" s="1"/>
  <c r="B931" i="14" s="1"/>
  <c r="B932" i="14" s="1"/>
  <c r="B933" i="14" s="1"/>
  <c r="B934" i="14" s="1"/>
  <c r="B935" i="14" s="1"/>
  <c r="B936" i="14" s="1"/>
  <c r="B937" i="14" s="1"/>
  <c r="B938" i="14" s="1"/>
  <c r="B939" i="14" s="1"/>
  <c r="B940" i="14" s="1"/>
  <c r="B941" i="14" s="1"/>
  <c r="B942" i="14" s="1"/>
  <c r="B943" i="14" s="1"/>
  <c r="B944" i="14" s="1"/>
  <c r="B945" i="14" s="1"/>
  <c r="B946" i="14" s="1"/>
  <c r="B947" i="14" s="1"/>
  <c r="B948" i="14" s="1"/>
  <c r="B949" i="14" s="1"/>
  <c r="B950" i="14" s="1"/>
  <c r="B951" i="14" s="1"/>
  <c r="B952" i="14" s="1"/>
  <c r="B953" i="14" s="1"/>
  <c r="B954" i="14" s="1"/>
  <c r="B955" i="14" s="1"/>
  <c r="B956" i="14" s="1"/>
  <c r="B957" i="14" s="1"/>
  <c r="B958" i="14" s="1"/>
  <c r="B959" i="14" s="1"/>
  <c r="B960" i="14" s="1"/>
  <c r="B961" i="14" s="1"/>
  <c r="B962" i="14" s="1"/>
  <c r="B963" i="14" s="1"/>
  <c r="B964" i="14" s="1"/>
  <c r="B965" i="14" s="1"/>
  <c r="B966" i="14" s="1"/>
  <c r="B967" i="14" s="1"/>
  <c r="B968" i="14" s="1"/>
  <c r="B969" i="14" s="1"/>
  <c r="B970" i="14" s="1"/>
  <c r="B971" i="14" s="1"/>
  <c r="B972" i="14" s="1"/>
  <c r="B973" i="14" s="1"/>
  <c r="B974" i="14" s="1"/>
  <c r="B975" i="14" s="1"/>
  <c r="B976" i="14" s="1"/>
  <c r="B977" i="14" s="1"/>
  <c r="B978" i="14" s="1"/>
  <c r="B979" i="14" s="1"/>
  <c r="B980" i="14" s="1"/>
  <c r="B981" i="14" s="1"/>
  <c r="B982" i="14" s="1"/>
  <c r="B983" i="14" s="1"/>
  <c r="B984" i="14" s="1"/>
  <c r="B985" i="14" s="1"/>
  <c r="B986" i="14" s="1"/>
  <c r="B987" i="14" s="1"/>
  <c r="B988" i="14" s="1"/>
  <c r="B989" i="14" s="1"/>
  <c r="B990" i="14" s="1"/>
  <c r="B991" i="14" s="1"/>
  <c r="B992" i="14" s="1"/>
  <c r="B993" i="14" s="1"/>
  <c r="B994" i="14" s="1"/>
  <c r="B995" i="14" s="1"/>
  <c r="B996" i="14" s="1"/>
  <c r="B997" i="14" s="1"/>
  <c r="B998" i="14" s="1"/>
  <c r="B999" i="14" s="1"/>
  <c r="B1000" i="14" s="1"/>
  <c r="B1001" i="14" s="1"/>
  <c r="B1002" i="14" s="1"/>
  <c r="B1003" i="14" s="1"/>
  <c r="B1004" i="14" s="1"/>
  <c r="F203" i="14"/>
  <c r="G203" i="14" s="1"/>
  <c r="F201" i="14"/>
  <c r="G201" i="14" s="1"/>
  <c r="F195" i="14"/>
  <c r="G195" i="14" s="1"/>
  <c r="C193" i="14"/>
  <c r="D193" i="14" s="1"/>
  <c r="C187" i="14"/>
  <c r="D187" i="14" s="1"/>
  <c r="C185" i="14"/>
  <c r="D185" i="14" s="1"/>
  <c r="C179" i="14"/>
  <c r="D179" i="14" s="1"/>
  <c r="C177" i="14"/>
  <c r="D177" i="14" s="1"/>
  <c r="C171" i="14"/>
  <c r="D171" i="14" s="1"/>
  <c r="C169" i="14"/>
  <c r="D169" i="14" s="1"/>
  <c r="C164" i="14"/>
  <c r="D164" i="14" s="1"/>
  <c r="C163" i="14"/>
  <c r="D163" i="14" s="1"/>
  <c r="C160" i="14"/>
  <c r="D160" i="14" s="1"/>
  <c r="C159" i="14"/>
  <c r="D159" i="14" s="1"/>
  <c r="C156" i="14"/>
  <c r="D156" i="14" s="1"/>
  <c r="C155" i="14"/>
  <c r="D155" i="14" s="1"/>
  <c r="C152" i="14"/>
  <c r="D152" i="14" s="1"/>
  <c r="C151" i="14"/>
  <c r="D151" i="14" s="1"/>
  <c r="C148" i="14"/>
  <c r="D148" i="14" s="1"/>
  <c r="C147" i="14"/>
  <c r="D147" i="14" s="1"/>
  <c r="C144" i="14"/>
  <c r="D144" i="14" s="1"/>
  <c r="C143" i="14"/>
  <c r="D143" i="14" s="1"/>
  <c r="C140" i="14"/>
  <c r="D140" i="14" s="1"/>
  <c r="C139" i="14"/>
  <c r="D139" i="14" s="1"/>
  <c r="C136" i="14"/>
  <c r="D136" i="14" s="1"/>
  <c r="C135" i="14"/>
  <c r="D135" i="14" s="1"/>
  <c r="C132" i="14"/>
  <c r="D132" i="14" s="1"/>
  <c r="C131" i="14"/>
  <c r="D131" i="14" s="1"/>
  <c r="C128" i="14"/>
  <c r="D128" i="14" s="1"/>
  <c r="C127" i="14"/>
  <c r="D127" i="14" s="1"/>
  <c r="C124" i="14"/>
  <c r="D124" i="14" s="1"/>
  <c r="C123" i="14"/>
  <c r="D123" i="14" s="1"/>
  <c r="C119" i="14"/>
  <c r="D119" i="14" s="1"/>
  <c r="C118" i="14"/>
  <c r="D118" i="14" s="1"/>
  <c r="C115" i="14"/>
  <c r="D115" i="14" s="1"/>
  <c r="C114" i="14"/>
  <c r="D114" i="14" s="1"/>
  <c r="C111" i="14"/>
  <c r="D111" i="14" s="1"/>
  <c r="C110" i="14"/>
  <c r="D110" i="14" s="1"/>
  <c r="F105" i="14"/>
  <c r="G105" i="14" s="1"/>
  <c r="C104" i="14"/>
  <c r="D104" i="14" s="1"/>
  <c r="F100" i="14"/>
  <c r="G100" i="14" s="1"/>
  <c r="F99" i="14"/>
  <c r="G99" i="14" s="1"/>
  <c r="C96" i="14"/>
  <c r="D96" i="14" s="1"/>
  <c r="C95" i="14"/>
  <c r="D95" i="14" s="1"/>
  <c r="C92" i="14"/>
  <c r="D92" i="14" s="1"/>
  <c r="C91" i="14"/>
  <c r="D91" i="14" s="1"/>
  <c r="C88" i="14"/>
  <c r="D88" i="14" s="1"/>
  <c r="C87" i="14"/>
  <c r="D87" i="14" s="1"/>
  <c r="F82" i="14"/>
  <c r="G82" i="14" s="1"/>
  <c r="F81" i="14"/>
  <c r="G81" i="14" s="1"/>
  <c r="C78" i="14"/>
  <c r="D78" i="14" s="1"/>
  <c r="F76" i="14"/>
  <c r="G76" i="14" s="1"/>
  <c r="C72" i="14"/>
  <c r="D72" i="14" s="1"/>
  <c r="C67" i="14"/>
  <c r="D67" i="14" s="1"/>
  <c r="C66" i="14"/>
  <c r="D66" i="14" s="1"/>
  <c r="C63" i="14"/>
  <c r="D63" i="14" s="1"/>
  <c r="C62" i="14"/>
  <c r="D62" i="14" s="1"/>
  <c r="F58" i="14"/>
  <c r="G58" i="14" s="1"/>
  <c r="F56" i="14"/>
  <c r="G56" i="14" s="1"/>
  <c r="F53" i="14"/>
  <c r="G53" i="14" s="1"/>
  <c r="F52" i="14"/>
  <c r="G52" i="14" s="1"/>
  <c r="F48" i="14"/>
  <c r="G48" i="14" s="1"/>
  <c r="F47" i="14"/>
  <c r="G47" i="14" s="1"/>
  <c r="F44" i="14"/>
  <c r="G44" i="14" s="1"/>
  <c r="C43" i="14"/>
  <c r="D43" i="14" s="1"/>
  <c r="F39" i="14"/>
  <c r="G39" i="14" s="1"/>
  <c r="F38" i="14"/>
  <c r="G38" i="14" s="1"/>
  <c r="F36" i="14"/>
  <c r="G36" i="14" s="1"/>
  <c r="C36" i="14"/>
  <c r="D36" i="14" s="1"/>
  <c r="F33" i="14"/>
  <c r="G33" i="14" s="1"/>
  <c r="F32" i="14"/>
  <c r="G32" i="14" s="1"/>
  <c r="F29" i="14"/>
  <c r="G29" i="14" s="1"/>
  <c r="C29" i="14"/>
  <c r="D29" i="14" s="1"/>
  <c r="F27" i="14"/>
  <c r="G27" i="14" s="1"/>
  <c r="C27" i="14"/>
  <c r="D27" i="14" s="1"/>
  <c r="C25" i="14"/>
  <c r="D25" i="14" s="1"/>
  <c r="F24" i="14"/>
  <c r="G24" i="14" s="1"/>
  <c r="C23" i="14"/>
  <c r="D23" i="14" s="1"/>
  <c r="C20" i="14"/>
  <c r="D20" i="14" s="1"/>
  <c r="F19" i="14"/>
  <c r="G19" i="14" s="1"/>
  <c r="C18" i="14"/>
  <c r="D18" i="14" s="1"/>
  <c r="F17" i="14"/>
  <c r="G17" i="14" s="1"/>
  <c r="C16" i="14"/>
  <c r="D16" i="14" s="1"/>
  <c r="F15" i="14"/>
  <c r="G15" i="14" s="1"/>
  <c r="C14" i="14"/>
  <c r="D14" i="14" s="1"/>
  <c r="C12" i="14"/>
  <c r="D12" i="14" s="1"/>
  <c r="F11" i="14"/>
  <c r="G11" i="14" s="1"/>
  <c r="F8" i="14"/>
  <c r="G8" i="14" s="1"/>
  <c r="C7" i="14"/>
  <c r="D7" i="14" s="1"/>
  <c r="B51" i="6"/>
  <c r="B52" i="6"/>
  <c r="B41" i="15" s="1"/>
  <c r="B53" i="6"/>
  <c r="B42" i="15" s="1"/>
  <c r="B54" i="6"/>
  <c r="B43" i="15" s="1"/>
  <c r="B55" i="6"/>
  <c r="B44" i="15" s="1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L47" i="6"/>
  <c r="K36" i="15" s="1"/>
  <c r="L48" i="6"/>
  <c r="K37" i="15" s="1"/>
  <c r="L49" i="6"/>
  <c r="K38" i="15" s="1"/>
  <c r="L46" i="6"/>
  <c r="K35" i="15" s="1"/>
  <c r="R24" i="46"/>
  <c r="R3" i="46"/>
  <c r="AB7" i="46"/>
  <c r="L5" i="46" s="1"/>
  <c r="J10" i="46"/>
  <c r="AB6" i="46"/>
  <c r="K5" i="46" s="1"/>
  <c r="D10" i="46"/>
  <c r="R8" i="46"/>
  <c r="U8" i="46" s="1"/>
  <c r="C5" i="46" s="1"/>
  <c r="R17" i="46"/>
  <c r="R18" i="46" s="1"/>
  <c r="R20" i="46"/>
  <c r="R22" i="46"/>
  <c r="Y2" i="46"/>
  <c r="Y3" i="46" s="1"/>
  <c r="E10" i="46"/>
  <c r="F10" i="46"/>
  <c r="G10" i="46"/>
  <c r="H10" i="46"/>
  <c r="Y20" i="46"/>
  <c r="AB20" i="46" s="1"/>
  <c r="I10" i="46" s="1"/>
  <c r="Y4" i="46"/>
  <c r="Y5" i="46" s="1"/>
  <c r="AB5" i="46" s="1"/>
  <c r="J5" i="46" s="1"/>
  <c r="B22" i="46" s="1"/>
  <c r="E22" i="46" s="1"/>
  <c r="G22" i="46" s="1"/>
  <c r="J22" i="46" s="1"/>
  <c r="Y22" i="46"/>
  <c r="Y18" i="46"/>
  <c r="Y16" i="46"/>
  <c r="Y14" i="46"/>
  <c r="G96" i="11"/>
  <c r="H96" i="11" s="1"/>
  <c r="B8" i="43"/>
  <c r="D8" i="43" s="1"/>
  <c r="G8" i="43" s="1"/>
  <c r="J8" i="43" s="1"/>
  <c r="D100" i="43" s="1"/>
  <c r="I3" i="44"/>
  <c r="D3" i="42" s="1"/>
  <c r="F9" i="42" s="1"/>
  <c r="D4" i="44"/>
  <c r="H4" i="42" s="1"/>
  <c r="E11" i="42" s="1"/>
  <c r="C9" i="42"/>
  <c r="D3" i="44"/>
  <c r="H3" i="42" s="1"/>
  <c r="I4" i="44"/>
  <c r="H10" i="44" s="1"/>
  <c r="A10" i="6"/>
  <c r="K26" i="15"/>
  <c r="E26" i="15"/>
  <c r="F26" i="15"/>
  <c r="C573" i="15" s="1"/>
  <c r="G26" i="15"/>
  <c r="H26" i="15"/>
  <c r="J26" i="15"/>
  <c r="I146" i="15"/>
  <c r="I171" i="15"/>
  <c r="I178" i="15"/>
  <c r="I147" i="15"/>
  <c r="I154" i="15"/>
  <c r="I135" i="15"/>
  <c r="D27" i="15"/>
  <c r="I82" i="15" s="1"/>
  <c r="C219" i="15"/>
  <c r="D219" i="15"/>
  <c r="E219" i="15"/>
  <c r="E351" i="15"/>
  <c r="E359" i="15"/>
  <c r="L53" i="6"/>
  <c r="K42" i="15" s="1"/>
  <c r="E367" i="15"/>
  <c r="E375" i="15"/>
  <c r="G82" i="11"/>
  <c r="H82" i="11" s="1"/>
  <c r="G83" i="11"/>
  <c r="H83" i="11" s="1"/>
  <c r="G89" i="11"/>
  <c r="H89" i="11" s="1"/>
  <c r="G91" i="11"/>
  <c r="H91" i="11" s="1"/>
  <c r="G94" i="11"/>
  <c r="H94" i="11" s="1"/>
  <c r="G98" i="11"/>
  <c r="H98" i="11" s="1"/>
  <c r="G100" i="11"/>
  <c r="H100" i="11" s="1"/>
  <c r="G103" i="11"/>
  <c r="H103" i="11" s="1"/>
  <c r="Y94" i="27"/>
  <c r="AA94" i="27" s="1"/>
  <c r="AG15" i="27"/>
  <c r="AG16" i="27"/>
  <c r="AG17" i="27"/>
  <c r="AG18" i="27"/>
  <c r="AG19" i="27"/>
  <c r="AG20" i="27"/>
  <c r="AG21" i="27"/>
  <c r="D9" i="27"/>
  <c r="G9" i="27" s="1"/>
  <c r="J9" i="27" s="1"/>
  <c r="D93" i="27" s="1"/>
  <c r="H48" i="27"/>
  <c r="F93" i="27" s="1"/>
  <c r="G93" i="27"/>
  <c r="F56" i="27"/>
  <c r="F60" i="27"/>
  <c r="O94" i="27"/>
  <c r="V8" i="27"/>
  <c r="V9" i="27"/>
  <c r="V10" i="27"/>
  <c r="V11" i="27"/>
  <c r="V13" i="27"/>
  <c r="V14" i="27"/>
  <c r="V15" i="27"/>
  <c r="V16" i="27"/>
  <c r="V17" i="27" s="1"/>
  <c r="Q94" i="27" s="1"/>
  <c r="S94" i="27" s="1"/>
  <c r="M94" i="27"/>
  <c r="AM51" i="27"/>
  <c r="C53" i="28"/>
  <c r="G53" i="28" s="1"/>
  <c r="E11" i="29" s="1"/>
  <c r="Y93" i="27"/>
  <c r="AG7" i="27"/>
  <c r="AG8" i="27"/>
  <c r="AG9" i="27"/>
  <c r="AG10" i="27"/>
  <c r="AG11" i="27"/>
  <c r="AG12" i="27"/>
  <c r="D8" i="27"/>
  <c r="G8" i="27" s="1"/>
  <c r="J8" i="27" s="1"/>
  <c r="D92" i="27" s="1"/>
  <c r="F92" i="27"/>
  <c r="G92" i="27"/>
  <c r="O93" i="27"/>
  <c r="M93" i="27"/>
  <c r="AM50" i="27"/>
  <c r="C52" i="28"/>
  <c r="G52" i="28" s="1"/>
  <c r="E10" i="29" s="1"/>
  <c r="D29" i="34"/>
  <c r="D25" i="34"/>
  <c r="C3" i="15"/>
  <c r="F3" i="34"/>
  <c r="C3" i="34"/>
  <c r="B2" i="15"/>
  <c r="F2" i="34"/>
  <c r="C2" i="34"/>
  <c r="E3" i="11"/>
  <c r="C3" i="11"/>
  <c r="D4" i="112" s="1"/>
  <c r="E7" i="51"/>
  <c r="F9" i="51"/>
  <c r="F10" i="51"/>
  <c r="F16" i="51"/>
  <c r="F17" i="51"/>
  <c r="E18" i="51"/>
  <c r="F18" i="51"/>
  <c r="E19" i="51"/>
  <c r="F19" i="51"/>
  <c r="E20" i="51"/>
  <c r="F20" i="51"/>
  <c r="F8" i="51"/>
  <c r="F11" i="51"/>
  <c r="G11" i="51" s="1"/>
  <c r="H11" i="51" s="1"/>
  <c r="C12" i="51"/>
  <c r="C13" i="51" s="1"/>
  <c r="E13" i="51" s="1"/>
  <c r="G13" i="51" s="1"/>
  <c r="H13" i="51" s="1"/>
  <c r="G14" i="51"/>
  <c r="C14" i="51"/>
  <c r="C15" i="51"/>
  <c r="E15" i="51" s="1"/>
  <c r="C21" i="51"/>
  <c r="E21" i="51" s="1"/>
  <c r="E22" i="51"/>
  <c r="F22" i="51"/>
  <c r="E23" i="51"/>
  <c r="F23" i="51"/>
  <c r="G24" i="51"/>
  <c r="H24" i="51" s="1"/>
  <c r="E35" i="51"/>
  <c r="D34" i="51"/>
  <c r="L6" i="51"/>
  <c r="L24" i="51" s="1"/>
  <c r="E4" i="51"/>
  <c r="E3" i="51"/>
  <c r="K12" i="51"/>
  <c r="K14" i="51" s="1"/>
  <c r="K15" i="51"/>
  <c r="K21" i="51"/>
  <c r="L7" i="37"/>
  <c r="C7" i="37" s="1"/>
  <c r="E7" i="37" s="1"/>
  <c r="F19" i="36"/>
  <c r="F18" i="37"/>
  <c r="F19" i="37"/>
  <c r="F20" i="37"/>
  <c r="E25" i="37"/>
  <c r="F25" i="37"/>
  <c r="E26" i="37"/>
  <c r="F26" i="37"/>
  <c r="E27" i="37"/>
  <c r="F27" i="37"/>
  <c r="L7" i="36"/>
  <c r="C7" i="36" s="1"/>
  <c r="E7" i="36" s="1"/>
  <c r="L10" i="36"/>
  <c r="C10" i="36" s="1"/>
  <c r="F10" i="36" s="1"/>
  <c r="L11" i="36"/>
  <c r="C11" i="36" s="1"/>
  <c r="F11" i="36" s="1"/>
  <c r="F17" i="36"/>
  <c r="F18" i="36"/>
  <c r="F20" i="36"/>
  <c r="F21" i="36"/>
  <c r="L9" i="36"/>
  <c r="C9" i="36" s="1"/>
  <c r="F9" i="36" s="1"/>
  <c r="K8" i="36"/>
  <c r="L8" i="36" s="1"/>
  <c r="C8" i="36" s="1"/>
  <c r="F8" i="36" s="1"/>
  <c r="L12" i="36"/>
  <c r="C12" i="36" s="1"/>
  <c r="C13" i="36" s="1"/>
  <c r="K16" i="36"/>
  <c r="L16" i="36" s="1"/>
  <c r="C16" i="36" s="1"/>
  <c r="E16" i="36" s="1"/>
  <c r="K22" i="36"/>
  <c r="L22" i="36" s="1"/>
  <c r="C22" i="36" s="1"/>
  <c r="E22" i="36" s="1"/>
  <c r="L23" i="36"/>
  <c r="C23" i="36" s="1"/>
  <c r="E23" i="36" s="1"/>
  <c r="L24" i="36"/>
  <c r="C24" i="36" s="1"/>
  <c r="E24" i="36" s="1"/>
  <c r="L25" i="36"/>
  <c r="C25" i="36" s="1"/>
  <c r="E25" i="36" s="1"/>
  <c r="L26" i="36"/>
  <c r="C26" i="36" s="1"/>
  <c r="F27" i="36"/>
  <c r="G27" i="36" s="1"/>
  <c r="H27" i="36" s="1"/>
  <c r="F28" i="36"/>
  <c r="G28" i="36" s="1"/>
  <c r="H28" i="36" s="1"/>
  <c r="B3" i="15"/>
  <c r="H7" i="34"/>
  <c r="E7" i="34"/>
  <c r="K139" i="11"/>
  <c r="E36" i="36"/>
  <c r="D32" i="15"/>
  <c r="F32" i="15"/>
  <c r="L43" i="6"/>
  <c r="K32" i="15" s="1"/>
  <c r="D33" i="15"/>
  <c r="D34" i="15"/>
  <c r="F34" i="15"/>
  <c r="L45" i="6"/>
  <c r="K34" i="15" s="1"/>
  <c r="L50" i="6"/>
  <c r="K39" i="15" s="1"/>
  <c r="B27" i="15"/>
  <c r="E32" i="15"/>
  <c r="G32" i="15"/>
  <c r="H32" i="15"/>
  <c r="J32" i="15"/>
  <c r="J35" i="15"/>
  <c r="H35" i="15"/>
  <c r="G35" i="15"/>
  <c r="E35" i="15"/>
  <c r="B12" i="29"/>
  <c r="AI52" i="27" s="1"/>
  <c r="C54" i="28"/>
  <c r="G54" i="28" s="1"/>
  <c r="E12" i="29" s="1"/>
  <c r="C55" i="28"/>
  <c r="G55" i="28" s="1"/>
  <c r="E13" i="29" s="1"/>
  <c r="H13" i="29"/>
  <c r="C56" i="28"/>
  <c r="G56" i="28" s="1"/>
  <c r="E14" i="29" s="1"/>
  <c r="H14" i="29"/>
  <c r="C57" i="28"/>
  <c r="G57" i="28" s="1"/>
  <c r="E15" i="29" s="1"/>
  <c r="H15" i="29"/>
  <c r="C58" i="28"/>
  <c r="G58" i="28" s="1"/>
  <c r="E16" i="29" s="1"/>
  <c r="H16" i="29"/>
  <c r="C59" i="28"/>
  <c r="G59" i="28" s="1"/>
  <c r="E17" i="29" s="1"/>
  <c r="H17" i="29"/>
  <c r="C60" i="28"/>
  <c r="G60" i="28" s="1"/>
  <c r="E18" i="29" s="1"/>
  <c r="H18" i="29"/>
  <c r="C61" i="28"/>
  <c r="G61" i="28" s="1"/>
  <c r="E19" i="29" s="1"/>
  <c r="H19" i="29"/>
  <c r="C62" i="28"/>
  <c r="G62" i="28" s="1"/>
  <c r="E20" i="29" s="1"/>
  <c r="H20" i="29"/>
  <c r="C63" i="28"/>
  <c r="G63" i="28" s="1"/>
  <c r="E21" i="29" s="1"/>
  <c r="H21" i="29"/>
  <c r="C64" i="28"/>
  <c r="G64" i="28" s="1"/>
  <c r="E22" i="29" s="1"/>
  <c r="H22" i="29"/>
  <c r="C65" i="28"/>
  <c r="G65" i="28" s="1"/>
  <c r="E23" i="29" s="1"/>
  <c r="H23" i="29"/>
  <c r="C66" i="28"/>
  <c r="G66" i="28" s="1"/>
  <c r="E24" i="29" s="1"/>
  <c r="H24" i="29"/>
  <c r="C67" i="28"/>
  <c r="G67" i="28" s="1"/>
  <c r="E25" i="29" s="1"/>
  <c r="H25" i="29"/>
  <c r="C68" i="28"/>
  <c r="G68" i="28" s="1"/>
  <c r="E26" i="29" s="1"/>
  <c r="H26" i="29"/>
  <c r="C69" i="28"/>
  <c r="G69" i="28" s="1"/>
  <c r="E27" i="29" s="1"/>
  <c r="H27" i="29"/>
  <c r="C70" i="28"/>
  <c r="G70" i="28" s="1"/>
  <c r="E28" i="29" s="1"/>
  <c r="H28" i="29"/>
  <c r="C71" i="28"/>
  <c r="G71" i="28" s="1"/>
  <c r="E29" i="29" s="1"/>
  <c r="H29" i="29"/>
  <c r="C72" i="28"/>
  <c r="G72" i="28" s="1"/>
  <c r="E30" i="29" s="1"/>
  <c r="H30" i="29"/>
  <c r="C73" i="28"/>
  <c r="G73" i="28" s="1"/>
  <c r="E31" i="29" s="1"/>
  <c r="H31" i="29"/>
  <c r="C74" i="28"/>
  <c r="G74" i="28" s="1"/>
  <c r="E32" i="29" s="1"/>
  <c r="H32" i="29"/>
  <c r="C75" i="28"/>
  <c r="G75" i="28" s="1"/>
  <c r="E33" i="29" s="1"/>
  <c r="H33" i="29"/>
  <c r="C76" i="28"/>
  <c r="G76" i="28" s="1"/>
  <c r="E34" i="29" s="1"/>
  <c r="H34" i="29"/>
  <c r="C77" i="28"/>
  <c r="G77" i="28" s="1"/>
  <c r="E35" i="29" s="1"/>
  <c r="H35" i="29"/>
  <c r="C78" i="28"/>
  <c r="G78" i="28" s="1"/>
  <c r="E36" i="29" s="1"/>
  <c r="H36" i="29"/>
  <c r="C79" i="28"/>
  <c r="G79" i="28" s="1"/>
  <c r="E37" i="29" s="1"/>
  <c r="H37" i="29"/>
  <c r="C80" i="28"/>
  <c r="G80" i="28" s="1"/>
  <c r="E38" i="29" s="1"/>
  <c r="H38" i="29"/>
  <c r="C81" i="28"/>
  <c r="G81" i="28" s="1"/>
  <c r="E39" i="29" s="1"/>
  <c r="H39" i="29"/>
  <c r="C82" i="28"/>
  <c r="G82" i="28" s="1"/>
  <c r="E40" i="29" s="1"/>
  <c r="H40" i="29"/>
  <c r="C83" i="28"/>
  <c r="G83" i="28" s="1"/>
  <c r="E41" i="29" s="1"/>
  <c r="H41" i="29"/>
  <c r="C84" i="28"/>
  <c r="G84" i="28" s="1"/>
  <c r="E42" i="29" s="1"/>
  <c r="H42" i="29"/>
  <c r="C85" i="28"/>
  <c r="G85" i="28" s="1"/>
  <c r="E43" i="29" s="1"/>
  <c r="H43" i="29"/>
  <c r="C86" i="28"/>
  <c r="G86" i="28" s="1"/>
  <c r="E44" i="29" s="1"/>
  <c r="H44" i="29"/>
  <c r="C87" i="28"/>
  <c r="G87" i="28" s="1"/>
  <c r="E45" i="29" s="1"/>
  <c r="H45" i="29"/>
  <c r="C16" i="28"/>
  <c r="D15" i="27"/>
  <c r="G15" i="27" s="1"/>
  <c r="J15" i="27" s="1"/>
  <c r="D99" i="27" s="1"/>
  <c r="G99" i="27"/>
  <c r="O100" i="27"/>
  <c r="V27" i="27"/>
  <c r="V28" i="27"/>
  <c r="V29" i="27"/>
  <c r="V30" i="27"/>
  <c r="V32" i="27"/>
  <c r="V33" i="27"/>
  <c r="V34" i="27"/>
  <c r="V35" i="27"/>
  <c r="M100" i="27"/>
  <c r="Y100" i="27"/>
  <c r="AG28" i="27"/>
  <c r="AG29" i="27"/>
  <c r="AG30" i="27"/>
  <c r="AG31" i="27"/>
  <c r="AG32" i="27"/>
  <c r="AG33" i="27"/>
  <c r="AG36" i="27"/>
  <c r="AG37" i="27"/>
  <c r="AG38" i="27"/>
  <c r="AG39" i="27"/>
  <c r="AG40" i="27"/>
  <c r="AG41" i="27"/>
  <c r="AG42" i="27"/>
  <c r="AM57" i="27"/>
  <c r="C17" i="28"/>
  <c r="D16" i="27"/>
  <c r="G16" i="27" s="1"/>
  <c r="J16" i="27" s="1"/>
  <c r="D100" i="27" s="1"/>
  <c r="G100" i="27"/>
  <c r="O101" i="27"/>
  <c r="M101" i="27"/>
  <c r="Y101" i="27"/>
  <c r="AA101" i="27" s="1"/>
  <c r="AC101" i="27"/>
  <c r="AM58" i="27"/>
  <c r="C18" i="28"/>
  <c r="D17" i="27"/>
  <c r="G17" i="27" s="1"/>
  <c r="J17" i="27" s="1"/>
  <c r="D101" i="27" s="1"/>
  <c r="G101" i="27"/>
  <c r="O102" i="27"/>
  <c r="M102" i="27"/>
  <c r="Y102" i="27"/>
  <c r="AA102" i="27" s="1"/>
  <c r="AC102" i="27"/>
  <c r="AM59" i="27"/>
  <c r="E19" i="28"/>
  <c r="C19" i="28"/>
  <c r="D18" i="27"/>
  <c r="G18" i="27" s="1"/>
  <c r="J18" i="27" s="1"/>
  <c r="D102" i="27" s="1"/>
  <c r="F102" i="27"/>
  <c r="G102" i="27"/>
  <c r="O103" i="27"/>
  <c r="M103" i="27"/>
  <c r="Y103" i="27"/>
  <c r="AA103" i="27" s="1"/>
  <c r="AC103" i="27"/>
  <c r="AM60" i="27"/>
  <c r="C20" i="28"/>
  <c r="D19" i="27"/>
  <c r="G19" i="27" s="1"/>
  <c r="J19" i="27" s="1"/>
  <c r="D103" i="27" s="1"/>
  <c r="G103" i="27"/>
  <c r="O104" i="27"/>
  <c r="M104" i="27"/>
  <c r="Y104" i="27"/>
  <c r="AA104" i="27" s="1"/>
  <c r="AC104" i="27"/>
  <c r="AM61" i="27"/>
  <c r="C21" i="28"/>
  <c r="D20" i="27"/>
  <c r="G20" i="27" s="1"/>
  <c r="J20" i="27" s="1"/>
  <c r="D104" i="27" s="1"/>
  <c r="G104" i="27"/>
  <c r="O105" i="27"/>
  <c r="M105" i="27"/>
  <c r="Y105" i="27"/>
  <c r="AC105" i="27"/>
  <c r="AM62" i="27"/>
  <c r="C22" i="28"/>
  <c r="D21" i="27"/>
  <c r="G21" i="27" s="1"/>
  <c r="J21" i="27" s="1"/>
  <c r="D105" i="27" s="1"/>
  <c r="G105" i="27"/>
  <c r="O106" i="27"/>
  <c r="M106" i="27"/>
  <c r="Y106" i="27"/>
  <c r="AA106" i="27" s="1"/>
  <c r="AC106" i="27"/>
  <c r="AM63" i="27"/>
  <c r="C23" i="28"/>
  <c r="D22" i="27"/>
  <c r="G22" i="27" s="1"/>
  <c r="J22" i="27" s="1"/>
  <c r="D106" i="27" s="1"/>
  <c r="G106" i="27"/>
  <c r="O107" i="27"/>
  <c r="M107" i="27"/>
  <c r="Y107" i="27"/>
  <c r="AC107" i="27"/>
  <c r="AM64" i="27"/>
  <c r="C24" i="28"/>
  <c r="D23" i="27"/>
  <c r="G23" i="27" s="1"/>
  <c r="J23" i="27" s="1"/>
  <c r="D107" i="27" s="1"/>
  <c r="F107" i="27"/>
  <c r="G107" i="27"/>
  <c r="O108" i="27"/>
  <c r="M108" i="27"/>
  <c r="Y108" i="27"/>
  <c r="AA108" i="27" s="1"/>
  <c r="AC108" i="27"/>
  <c r="AM65" i="27"/>
  <c r="E25" i="28"/>
  <c r="C25" i="28"/>
  <c r="D24" i="27"/>
  <c r="G24" i="27" s="1"/>
  <c r="J24" i="27" s="1"/>
  <c r="D108" i="27" s="1"/>
  <c r="G108" i="27"/>
  <c r="O109" i="27"/>
  <c r="V50" i="27"/>
  <c r="V51" i="27"/>
  <c r="V52" i="27"/>
  <c r="V53" i="27"/>
  <c r="V55" i="27"/>
  <c r="V56" i="27"/>
  <c r="V57" i="27"/>
  <c r="V58" i="27"/>
  <c r="M109" i="27"/>
  <c r="Y109" i="27"/>
  <c r="AE109" i="27" s="1"/>
  <c r="AG50" i="27"/>
  <c r="AG51" i="27"/>
  <c r="AG52" i="27"/>
  <c r="AG53" i="27"/>
  <c r="AG54" i="27"/>
  <c r="AG55" i="27"/>
  <c r="AC109" i="27"/>
  <c r="AM66" i="27"/>
  <c r="C26" i="28"/>
  <c r="D25" i="27"/>
  <c r="G25" i="27" s="1"/>
  <c r="J25" i="27" s="1"/>
  <c r="D109" i="27" s="1"/>
  <c r="G109" i="27"/>
  <c r="O110" i="27"/>
  <c r="S110" i="27" s="1"/>
  <c r="M110" i="27"/>
  <c r="Y110" i="27"/>
  <c r="AG58" i="27"/>
  <c r="AG59" i="27"/>
  <c r="AG60" i="27"/>
  <c r="AG61" i="27"/>
  <c r="AG62" i="27"/>
  <c r="AG63" i="27"/>
  <c r="AG64" i="27"/>
  <c r="AC110" i="27"/>
  <c r="AM67" i="27"/>
  <c r="C27" i="28"/>
  <c r="D26" i="27"/>
  <c r="G26" i="27" s="1"/>
  <c r="J26" i="27" s="1"/>
  <c r="D110" i="27" s="1"/>
  <c r="G110" i="27"/>
  <c r="O111" i="27"/>
  <c r="S111" i="27" s="1"/>
  <c r="M111" i="27"/>
  <c r="Y111" i="27"/>
  <c r="AC111" i="27"/>
  <c r="AM68" i="27"/>
  <c r="C28" i="28"/>
  <c r="D27" i="27"/>
  <c r="G27" i="27" s="1"/>
  <c r="J27" i="27" s="1"/>
  <c r="D111" i="27" s="1"/>
  <c r="G111" i="27"/>
  <c r="O112" i="27"/>
  <c r="S112" i="27" s="1"/>
  <c r="M112" i="27"/>
  <c r="Y112" i="27"/>
  <c r="AA112" i="27" s="1"/>
  <c r="AC112" i="27"/>
  <c r="AM69" i="27"/>
  <c r="C29" i="28"/>
  <c r="D28" i="27"/>
  <c r="G28" i="27" s="1"/>
  <c r="J28" i="27" s="1"/>
  <c r="D112" i="27" s="1"/>
  <c r="G112" i="27"/>
  <c r="O113" i="27"/>
  <c r="M113" i="27"/>
  <c r="Y113" i="27"/>
  <c r="AA113" i="27" s="1"/>
  <c r="AC113" i="27"/>
  <c r="AM70" i="27"/>
  <c r="C30" i="28"/>
  <c r="D29" i="27"/>
  <c r="G29" i="27" s="1"/>
  <c r="J29" i="27" s="1"/>
  <c r="D113" i="27" s="1"/>
  <c r="G113" i="27"/>
  <c r="O114" i="27"/>
  <c r="S114" i="27" s="1"/>
  <c r="M114" i="27"/>
  <c r="Y114" i="27"/>
  <c r="AA114" i="27" s="1"/>
  <c r="AC114" i="27"/>
  <c r="AM71" i="27"/>
  <c r="C31" i="28"/>
  <c r="D30" i="27"/>
  <c r="G30" i="27" s="1"/>
  <c r="J30" i="27" s="1"/>
  <c r="D114" i="27" s="1"/>
  <c r="G114" i="27"/>
  <c r="O115" i="27"/>
  <c r="S115" i="27" s="1"/>
  <c r="M115" i="27"/>
  <c r="Y115" i="27"/>
  <c r="AA115" i="27" s="1"/>
  <c r="AC115" i="27"/>
  <c r="AM72" i="27"/>
  <c r="C32" i="28"/>
  <c r="D31" i="27"/>
  <c r="G31" i="27" s="1"/>
  <c r="J31" i="27" s="1"/>
  <c r="D115" i="27" s="1"/>
  <c r="G115" i="27"/>
  <c r="O116" i="27"/>
  <c r="S116" i="27" s="1"/>
  <c r="M116" i="27"/>
  <c r="Y116" i="27"/>
  <c r="AA116" i="27" s="1"/>
  <c r="AC116" i="27"/>
  <c r="AM73" i="27"/>
  <c r="C33" i="28"/>
  <c r="D32" i="27"/>
  <c r="G32" i="27" s="1"/>
  <c r="J32" i="27" s="1"/>
  <c r="D116" i="27" s="1"/>
  <c r="G116" i="27"/>
  <c r="O117" i="27"/>
  <c r="S117" i="27" s="1"/>
  <c r="M117" i="27"/>
  <c r="Y117" i="27"/>
  <c r="AA117" i="27" s="1"/>
  <c r="AC117" i="27"/>
  <c r="AM74" i="27"/>
  <c r="C34" i="28"/>
  <c r="D33" i="27"/>
  <c r="G33" i="27" s="1"/>
  <c r="J33" i="27" s="1"/>
  <c r="D117" i="27" s="1"/>
  <c r="G117" i="27"/>
  <c r="O118" i="27"/>
  <c r="S118" i="27" s="1"/>
  <c r="M118" i="27"/>
  <c r="Y118" i="27"/>
  <c r="AA118" i="27" s="1"/>
  <c r="AC118" i="27"/>
  <c r="AM75" i="27"/>
  <c r="C35" i="28"/>
  <c r="D34" i="27"/>
  <c r="G34" i="27" s="1"/>
  <c r="J34" i="27" s="1"/>
  <c r="D118" i="27" s="1"/>
  <c r="G118" i="27"/>
  <c r="O119" i="27"/>
  <c r="S119" i="27" s="1"/>
  <c r="M119" i="27"/>
  <c r="Y119" i="27"/>
  <c r="AA119" i="27" s="1"/>
  <c r="AC119" i="27"/>
  <c r="AM76" i="27"/>
  <c r="E36" i="28"/>
  <c r="C36" i="28"/>
  <c r="D35" i="27"/>
  <c r="G35" i="27" s="1"/>
  <c r="J35" i="27" s="1"/>
  <c r="D119" i="27" s="1"/>
  <c r="G119" i="27"/>
  <c r="O120" i="27"/>
  <c r="S120" i="27" s="1"/>
  <c r="M120" i="27"/>
  <c r="Y120" i="27"/>
  <c r="AA120" i="27" s="1"/>
  <c r="AC120" i="27"/>
  <c r="AM77" i="27"/>
  <c r="C37" i="28"/>
  <c r="D36" i="27"/>
  <c r="G36" i="27" s="1"/>
  <c r="J36" i="27" s="1"/>
  <c r="D120" i="27" s="1"/>
  <c r="G120" i="27"/>
  <c r="O121" i="27"/>
  <c r="S121" i="27" s="1"/>
  <c r="M121" i="27"/>
  <c r="Y121" i="27"/>
  <c r="AA121" i="27" s="1"/>
  <c r="AC121" i="27"/>
  <c r="AM78" i="27"/>
  <c r="C38" i="28"/>
  <c r="D37" i="27"/>
  <c r="G37" i="27" s="1"/>
  <c r="J37" i="27" s="1"/>
  <c r="D121" i="27" s="1"/>
  <c r="G121" i="27"/>
  <c r="O122" i="27"/>
  <c r="S122" i="27" s="1"/>
  <c r="M122" i="27"/>
  <c r="Y122" i="27"/>
  <c r="AA122" i="27" s="1"/>
  <c r="AC122" i="27"/>
  <c r="AM79" i="27"/>
  <c r="C39" i="28"/>
  <c r="D38" i="27"/>
  <c r="G38" i="27" s="1"/>
  <c r="J38" i="27" s="1"/>
  <c r="D122" i="27" s="1"/>
  <c r="G122" i="27"/>
  <c r="O123" i="27"/>
  <c r="S123" i="27" s="1"/>
  <c r="M123" i="27"/>
  <c r="Y123" i="27"/>
  <c r="AA123" i="27" s="1"/>
  <c r="AC123" i="27"/>
  <c r="AM80" i="27"/>
  <c r="C40" i="28"/>
  <c r="D39" i="27"/>
  <c r="G39" i="27" s="1"/>
  <c r="J39" i="27" s="1"/>
  <c r="D123" i="27" s="1"/>
  <c r="G123" i="27"/>
  <c r="O124" i="27"/>
  <c r="V69" i="27"/>
  <c r="V70" i="27"/>
  <c r="V71" i="27"/>
  <c r="V72" i="27"/>
  <c r="V74" i="27"/>
  <c r="V75" i="27"/>
  <c r="V76" i="27"/>
  <c r="V77" i="27"/>
  <c r="M124" i="27"/>
  <c r="Y124" i="27"/>
  <c r="AG71" i="27"/>
  <c r="AG72" i="27"/>
  <c r="AG73" i="27"/>
  <c r="AG74" i="27"/>
  <c r="AG75" i="27"/>
  <c r="AG76" i="27"/>
  <c r="AG79" i="27"/>
  <c r="AG80" i="27"/>
  <c r="AG81" i="27"/>
  <c r="AG82" i="27"/>
  <c r="AG83" i="27"/>
  <c r="AG84" i="27"/>
  <c r="AG85" i="27"/>
  <c r="AC124" i="27"/>
  <c r="AM81" i="27"/>
  <c r="C41" i="28"/>
  <c r="D40" i="27"/>
  <c r="G40" i="27" s="1"/>
  <c r="J40" i="27" s="1"/>
  <c r="D124" i="27" s="1"/>
  <c r="G124" i="27"/>
  <c r="O125" i="27"/>
  <c r="M125" i="27"/>
  <c r="Y125" i="27"/>
  <c r="AC125" i="27"/>
  <c r="AM82" i="27"/>
  <c r="C42" i="28"/>
  <c r="D41" i="27"/>
  <c r="G41" i="27" s="1"/>
  <c r="J41" i="27" s="1"/>
  <c r="D125" i="27" s="1"/>
  <c r="G125" i="27"/>
  <c r="O126" i="27"/>
  <c r="M126" i="27"/>
  <c r="Y126" i="27"/>
  <c r="AC126" i="27"/>
  <c r="AM83" i="27"/>
  <c r="C43" i="28"/>
  <c r="D42" i="27"/>
  <c r="G42" i="27" s="1"/>
  <c r="J42" i="27" s="1"/>
  <c r="D126" i="27" s="1"/>
  <c r="G126" i="27"/>
  <c r="O127" i="27"/>
  <c r="M127" i="27"/>
  <c r="Y127" i="27"/>
  <c r="AC127" i="27"/>
  <c r="AM84" i="27"/>
  <c r="C44" i="28"/>
  <c r="D43" i="27"/>
  <c r="G43" i="27" s="1"/>
  <c r="J43" i="27" s="1"/>
  <c r="D127" i="27" s="1"/>
  <c r="G127" i="27"/>
  <c r="O128" i="27"/>
  <c r="M128" i="27"/>
  <c r="Y128" i="27"/>
  <c r="X128" i="27"/>
  <c r="AC128" i="27"/>
  <c r="AM85" i="27"/>
  <c r="C12" i="28"/>
  <c r="D11" i="27"/>
  <c r="G11" i="27" s="1"/>
  <c r="J11" i="27" s="1"/>
  <c r="D95" i="27" s="1"/>
  <c r="G95" i="27"/>
  <c r="O96" i="27"/>
  <c r="M96" i="27"/>
  <c r="Y96" i="27"/>
  <c r="AM53" i="27"/>
  <c r="C13" i="28"/>
  <c r="D12" i="27"/>
  <c r="G12" i="27" s="1"/>
  <c r="J12" i="27" s="1"/>
  <c r="D96" i="27" s="1"/>
  <c r="F96" i="27"/>
  <c r="G96" i="27"/>
  <c r="O97" i="27"/>
  <c r="M97" i="27"/>
  <c r="Y97" i="27"/>
  <c r="AA97" i="27" s="1"/>
  <c r="AM54" i="27"/>
  <c r="E14" i="28"/>
  <c r="C14" i="28"/>
  <c r="D13" i="27"/>
  <c r="G13" i="27" s="1"/>
  <c r="J13" i="27" s="1"/>
  <c r="D97" i="27" s="1"/>
  <c r="G97" i="27"/>
  <c r="O98" i="27"/>
  <c r="M98" i="27"/>
  <c r="Y98" i="27"/>
  <c r="AA98" i="27" s="1"/>
  <c r="AM55" i="27"/>
  <c r="E15" i="28"/>
  <c r="C15" i="28"/>
  <c r="D14" i="27"/>
  <c r="G14" i="27" s="1"/>
  <c r="J14" i="27" s="1"/>
  <c r="D98" i="27" s="1"/>
  <c r="G98" i="27"/>
  <c r="O99" i="27"/>
  <c r="M99" i="27"/>
  <c r="Y99" i="27"/>
  <c r="AA99" i="27" s="1"/>
  <c r="AM56" i="27"/>
  <c r="D10" i="27"/>
  <c r="G10" i="27" s="1"/>
  <c r="J10" i="27" s="1"/>
  <c r="D94" i="27" s="1"/>
  <c r="F94" i="27"/>
  <c r="G94" i="27"/>
  <c r="O95" i="27"/>
  <c r="M95" i="27"/>
  <c r="Y95" i="27"/>
  <c r="AA95" i="27" s="1"/>
  <c r="AM52" i="27"/>
  <c r="B30" i="6"/>
  <c r="B15" i="6"/>
  <c r="B12" i="15" s="1"/>
  <c r="C95" i="42"/>
  <c r="G95" i="42" s="1"/>
  <c r="E49" i="44" s="1"/>
  <c r="E99" i="44" s="1"/>
  <c r="C94" i="42"/>
  <c r="G94" i="42" s="1"/>
  <c r="E48" i="44" s="1"/>
  <c r="E98" i="44" s="1"/>
  <c r="C93" i="42"/>
  <c r="G93" i="42" s="1"/>
  <c r="E47" i="44" s="1"/>
  <c r="E97" i="44" s="1"/>
  <c r="C92" i="42"/>
  <c r="G92" i="42" s="1"/>
  <c r="E46" i="44" s="1"/>
  <c r="E96" i="44" s="1"/>
  <c r="C91" i="42"/>
  <c r="G91" i="42" s="1"/>
  <c r="E45" i="44" s="1"/>
  <c r="E95" i="44" s="1"/>
  <c r="C90" i="42"/>
  <c r="G90" i="42" s="1"/>
  <c r="E44" i="44" s="1"/>
  <c r="E94" i="44" s="1"/>
  <c r="C89" i="42"/>
  <c r="G89" i="42" s="1"/>
  <c r="E43" i="44" s="1"/>
  <c r="E93" i="44" s="1"/>
  <c r="C88" i="42"/>
  <c r="G88" i="42" s="1"/>
  <c r="E42" i="44" s="1"/>
  <c r="E92" i="44" s="1"/>
  <c r="C87" i="42"/>
  <c r="G87" i="42" s="1"/>
  <c r="E41" i="44" s="1"/>
  <c r="E91" i="44" s="1"/>
  <c r="C86" i="42"/>
  <c r="G86" i="42" s="1"/>
  <c r="E40" i="44" s="1"/>
  <c r="E90" i="44" s="1"/>
  <c r="C85" i="42"/>
  <c r="G85" i="42" s="1"/>
  <c r="E39" i="44" s="1"/>
  <c r="E89" i="44" s="1"/>
  <c r="C84" i="42"/>
  <c r="G84" i="42" s="1"/>
  <c r="E38" i="44" s="1"/>
  <c r="E88" i="44" s="1"/>
  <c r="C83" i="42"/>
  <c r="G83" i="42" s="1"/>
  <c r="E37" i="44" s="1"/>
  <c r="E87" i="44" s="1"/>
  <c r="C82" i="42"/>
  <c r="G82" i="42" s="1"/>
  <c r="E36" i="44" s="1"/>
  <c r="E86" i="44" s="1"/>
  <c r="C81" i="42"/>
  <c r="G81" i="42" s="1"/>
  <c r="E35" i="44" s="1"/>
  <c r="E85" i="44" s="1"/>
  <c r="C80" i="42"/>
  <c r="G80" i="42" s="1"/>
  <c r="E34" i="44" s="1"/>
  <c r="E84" i="44" s="1"/>
  <c r="C79" i="42"/>
  <c r="G79" i="42" s="1"/>
  <c r="E33" i="44" s="1"/>
  <c r="E83" i="44" s="1"/>
  <c r="C78" i="42"/>
  <c r="G78" i="42" s="1"/>
  <c r="E32" i="44" s="1"/>
  <c r="E82" i="44" s="1"/>
  <c r="C77" i="42"/>
  <c r="G77" i="42" s="1"/>
  <c r="E31" i="44" s="1"/>
  <c r="E81" i="44" s="1"/>
  <c r="C76" i="42"/>
  <c r="G76" i="42" s="1"/>
  <c r="E30" i="44" s="1"/>
  <c r="E80" i="44" s="1"/>
  <c r="C75" i="42"/>
  <c r="G75" i="42" s="1"/>
  <c r="E29" i="44" s="1"/>
  <c r="E79" i="44" s="1"/>
  <c r="C74" i="42"/>
  <c r="G74" i="42" s="1"/>
  <c r="E28" i="44" s="1"/>
  <c r="E78" i="44" s="1"/>
  <c r="C73" i="42"/>
  <c r="G73" i="42" s="1"/>
  <c r="E27" i="44" s="1"/>
  <c r="E77" i="44" s="1"/>
  <c r="C72" i="42"/>
  <c r="G72" i="42" s="1"/>
  <c r="E26" i="44" s="1"/>
  <c r="E76" i="44" s="1"/>
  <c r="C71" i="42"/>
  <c r="G71" i="42" s="1"/>
  <c r="E25" i="44" s="1"/>
  <c r="E75" i="44" s="1"/>
  <c r="C70" i="42"/>
  <c r="G70" i="42" s="1"/>
  <c r="E24" i="44" s="1"/>
  <c r="E74" i="44" s="1"/>
  <c r="C69" i="42"/>
  <c r="G69" i="42" s="1"/>
  <c r="E23" i="44" s="1"/>
  <c r="E73" i="44" s="1"/>
  <c r="C68" i="42"/>
  <c r="G68" i="42" s="1"/>
  <c r="E22" i="44" s="1"/>
  <c r="E72" i="44" s="1"/>
  <c r="C67" i="42"/>
  <c r="G67" i="42" s="1"/>
  <c r="E21" i="44" s="1"/>
  <c r="E71" i="44" s="1"/>
  <c r="C66" i="42"/>
  <c r="G66" i="42" s="1"/>
  <c r="E20" i="44" s="1"/>
  <c r="E70" i="44" s="1"/>
  <c r="C65" i="42"/>
  <c r="G65" i="42" s="1"/>
  <c r="E19" i="44" s="1"/>
  <c r="E69" i="44" s="1"/>
  <c r="C64" i="42"/>
  <c r="G64" i="42" s="1"/>
  <c r="E18" i="44" s="1"/>
  <c r="E68" i="44" s="1"/>
  <c r="C63" i="42"/>
  <c r="G63" i="42" s="1"/>
  <c r="E17" i="44" s="1"/>
  <c r="E67" i="44" s="1"/>
  <c r="C62" i="42"/>
  <c r="G62" i="42" s="1"/>
  <c r="E16" i="44" s="1"/>
  <c r="E66" i="44" s="1"/>
  <c r="C61" i="42"/>
  <c r="G61" i="42" s="1"/>
  <c r="E15" i="44" s="1"/>
  <c r="E65" i="44" s="1"/>
  <c r="C60" i="42"/>
  <c r="G60" i="42" s="1"/>
  <c r="E14" i="44" s="1"/>
  <c r="E64" i="44" s="1"/>
  <c r="C59" i="42"/>
  <c r="G59" i="42" s="1"/>
  <c r="E13" i="44" s="1"/>
  <c r="E63" i="44" s="1"/>
  <c r="C58" i="42"/>
  <c r="G58" i="42" s="1"/>
  <c r="E12" i="44" s="1"/>
  <c r="E62" i="44" s="1"/>
  <c r="C57" i="42"/>
  <c r="G57" i="42" s="1"/>
  <c r="E11" i="44" s="1"/>
  <c r="E61" i="44" s="1"/>
  <c r="C56" i="42"/>
  <c r="G56" i="42" s="1"/>
  <c r="E10" i="44" s="1"/>
  <c r="E60" i="44" s="1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B61" i="44"/>
  <c r="H60" i="44"/>
  <c r="B60" i="44"/>
  <c r="H48" i="44"/>
  <c r="H44" i="44"/>
  <c r="H42" i="44"/>
  <c r="H40" i="44"/>
  <c r="H36" i="44"/>
  <c r="H34" i="44"/>
  <c r="H32" i="44"/>
  <c r="H28" i="44"/>
  <c r="H24" i="44"/>
  <c r="H20" i="44"/>
  <c r="H18" i="44"/>
  <c r="H16" i="44"/>
  <c r="H12" i="44"/>
  <c r="B20" i="43"/>
  <c r="D20" i="43" s="1"/>
  <c r="G20" i="43" s="1"/>
  <c r="J20" i="43" s="1"/>
  <c r="D112" i="43" s="1"/>
  <c r="H52" i="43"/>
  <c r="F105" i="43" s="1"/>
  <c r="G112" i="43"/>
  <c r="F60" i="43"/>
  <c r="F64" i="43"/>
  <c r="O113" i="43"/>
  <c r="V54" i="43"/>
  <c r="V55" i="43"/>
  <c r="V56" i="43"/>
  <c r="V57" i="43"/>
  <c r="V59" i="43"/>
  <c r="V60" i="43"/>
  <c r="V61" i="43"/>
  <c r="V62" i="43"/>
  <c r="Y113" i="43"/>
  <c r="AA113" i="43" s="1"/>
  <c r="AG61" i="43"/>
  <c r="AG62" i="43"/>
  <c r="AG63" i="43"/>
  <c r="AG64" i="43"/>
  <c r="AG65" i="43"/>
  <c r="AG66" i="43"/>
  <c r="AG67" i="43"/>
  <c r="AM66" i="43"/>
  <c r="B21" i="43"/>
  <c r="X114" i="43" s="1"/>
  <c r="G113" i="43"/>
  <c r="O114" i="43"/>
  <c r="Y114" i="43"/>
  <c r="AA114" i="43" s="1"/>
  <c r="AM67" i="43"/>
  <c r="B22" i="43"/>
  <c r="B114" i="43" s="1"/>
  <c r="G114" i="43"/>
  <c r="O115" i="43"/>
  <c r="Y115" i="43"/>
  <c r="AA115" i="43" s="1"/>
  <c r="AM68" i="43"/>
  <c r="B23" i="43"/>
  <c r="D23" i="43" s="1"/>
  <c r="G23" i="43" s="1"/>
  <c r="J23" i="43" s="1"/>
  <c r="D115" i="43" s="1"/>
  <c r="G115" i="43"/>
  <c r="O116" i="43"/>
  <c r="Y116" i="43"/>
  <c r="AA116" i="43" s="1"/>
  <c r="AM69" i="43"/>
  <c r="B24" i="43"/>
  <c r="D24" i="43" s="1"/>
  <c r="G24" i="43" s="1"/>
  <c r="J24" i="43" s="1"/>
  <c r="D116" i="43" s="1"/>
  <c r="G116" i="43"/>
  <c r="O117" i="43"/>
  <c r="Y117" i="43"/>
  <c r="AM70" i="43"/>
  <c r="B25" i="43"/>
  <c r="M118" i="43" s="1"/>
  <c r="G117" i="43"/>
  <c r="O118" i="43"/>
  <c r="Y118" i="43"/>
  <c r="AA118" i="43" s="1"/>
  <c r="AM71" i="43"/>
  <c r="B26" i="43"/>
  <c r="D26" i="43" s="1"/>
  <c r="G26" i="43" s="1"/>
  <c r="J26" i="43" s="1"/>
  <c r="D118" i="43" s="1"/>
  <c r="G118" i="43"/>
  <c r="O119" i="43"/>
  <c r="Y119" i="43"/>
  <c r="AA119" i="43" s="1"/>
  <c r="AM72" i="43"/>
  <c r="B27" i="43"/>
  <c r="D27" i="43" s="1"/>
  <c r="G27" i="43" s="1"/>
  <c r="J27" i="43" s="1"/>
  <c r="D119" i="43" s="1"/>
  <c r="G119" i="43"/>
  <c r="O120" i="43"/>
  <c r="Y120" i="43"/>
  <c r="AA120" i="43" s="1"/>
  <c r="AM73" i="43"/>
  <c r="B15" i="43"/>
  <c r="X108" i="43" s="1"/>
  <c r="G107" i="43"/>
  <c r="O108" i="43"/>
  <c r="V27" i="43"/>
  <c r="V28" i="43"/>
  <c r="V29" i="43"/>
  <c r="V30" i="43"/>
  <c r="V32" i="43"/>
  <c r="V33" i="43"/>
  <c r="V34" i="43"/>
  <c r="V35" i="43"/>
  <c r="Y108" i="43"/>
  <c r="AA108" i="43" s="1"/>
  <c r="AG36" i="43"/>
  <c r="AG37" i="43"/>
  <c r="AG38" i="43"/>
  <c r="AG39" i="43"/>
  <c r="AG40" i="43"/>
  <c r="AG41" i="43"/>
  <c r="AG42" i="43"/>
  <c r="AM61" i="43"/>
  <c r="B16" i="43"/>
  <c r="M109" i="43" s="1"/>
  <c r="G108" i="43"/>
  <c r="O109" i="43"/>
  <c r="Y109" i="43"/>
  <c r="AA109" i="43" s="1"/>
  <c r="AM62" i="43"/>
  <c r="B17" i="43"/>
  <c r="X110" i="43" s="1"/>
  <c r="G109" i="43"/>
  <c r="O110" i="43"/>
  <c r="Y110" i="43"/>
  <c r="AA110" i="43" s="1"/>
  <c r="AM63" i="43"/>
  <c r="B18" i="43"/>
  <c r="D18" i="43" s="1"/>
  <c r="G18" i="43" s="1"/>
  <c r="J18" i="43" s="1"/>
  <c r="D110" i="43" s="1"/>
  <c r="G110" i="43"/>
  <c r="O111" i="43"/>
  <c r="Y111" i="43"/>
  <c r="AG53" i="43"/>
  <c r="AG54" i="43"/>
  <c r="AG55" i="43"/>
  <c r="AG56" i="43"/>
  <c r="AG57" i="43"/>
  <c r="AG58" i="43"/>
  <c r="AM64" i="43"/>
  <c r="B19" i="43"/>
  <c r="X112" i="43" s="1"/>
  <c r="G111" i="43"/>
  <c r="O112" i="43"/>
  <c r="Y112" i="43"/>
  <c r="AA112" i="43" s="1"/>
  <c r="AM65" i="43"/>
  <c r="B28" i="43"/>
  <c r="D28" i="43" s="1"/>
  <c r="G28" i="43" s="1"/>
  <c r="J28" i="43" s="1"/>
  <c r="D120" i="43" s="1"/>
  <c r="G120" i="43"/>
  <c r="O121" i="43"/>
  <c r="V73" i="43"/>
  <c r="V74" i="43"/>
  <c r="V75" i="43"/>
  <c r="V76" i="43"/>
  <c r="V78" i="43"/>
  <c r="V79" i="43"/>
  <c r="V80" i="43"/>
  <c r="V81" i="43"/>
  <c r="Y121" i="43"/>
  <c r="AG74" i="43"/>
  <c r="AG75" i="43"/>
  <c r="AG76" i="43"/>
  <c r="AG77" i="43"/>
  <c r="AG78" i="43"/>
  <c r="AG79" i="43"/>
  <c r="AG82" i="43"/>
  <c r="AG83" i="43"/>
  <c r="AG84" i="43"/>
  <c r="AG85" i="43"/>
  <c r="AG86" i="43"/>
  <c r="AG87" i="43"/>
  <c r="AG88" i="43"/>
  <c r="AM74" i="43"/>
  <c r="B29" i="43"/>
  <c r="D29" i="43" s="1"/>
  <c r="G29" i="43" s="1"/>
  <c r="J29" i="43" s="1"/>
  <c r="D121" i="43" s="1"/>
  <c r="G121" i="43"/>
  <c r="O122" i="43"/>
  <c r="Y122" i="43"/>
  <c r="AM75" i="43"/>
  <c r="B30" i="43"/>
  <c r="D30" i="43" s="1"/>
  <c r="G30" i="43" s="1"/>
  <c r="J30" i="43" s="1"/>
  <c r="D122" i="43" s="1"/>
  <c r="G122" i="43"/>
  <c r="O123" i="43"/>
  <c r="Y123" i="43"/>
  <c r="AM76" i="43"/>
  <c r="B31" i="43"/>
  <c r="D31" i="43" s="1"/>
  <c r="G31" i="43" s="1"/>
  <c r="J31" i="43" s="1"/>
  <c r="D123" i="43" s="1"/>
  <c r="G123" i="43"/>
  <c r="O124" i="43"/>
  <c r="Y124" i="43"/>
  <c r="AM77" i="43"/>
  <c r="B32" i="43"/>
  <c r="X125" i="43" s="1"/>
  <c r="G124" i="43"/>
  <c r="O125" i="43"/>
  <c r="Y125" i="43"/>
  <c r="AM78" i="43"/>
  <c r="B33" i="43"/>
  <c r="D33" i="43" s="1"/>
  <c r="G33" i="43" s="1"/>
  <c r="J33" i="43" s="1"/>
  <c r="D125" i="43" s="1"/>
  <c r="G125" i="43"/>
  <c r="O126" i="43"/>
  <c r="Y126" i="43"/>
  <c r="AM79" i="43"/>
  <c r="B34" i="43"/>
  <c r="X127" i="43" s="1"/>
  <c r="G126" i="43"/>
  <c r="O127" i="43"/>
  <c r="Y127" i="43"/>
  <c r="AM80" i="43"/>
  <c r="B35" i="43"/>
  <c r="D35" i="43" s="1"/>
  <c r="G35" i="43" s="1"/>
  <c r="J35" i="43" s="1"/>
  <c r="D127" i="43" s="1"/>
  <c r="G127" i="43"/>
  <c r="O128" i="43"/>
  <c r="Y128" i="43"/>
  <c r="AM81" i="43"/>
  <c r="B36" i="43"/>
  <c r="X129" i="43" s="1"/>
  <c r="G128" i="43"/>
  <c r="O129" i="43"/>
  <c r="Y129" i="43"/>
  <c r="AM82" i="43"/>
  <c r="B37" i="43"/>
  <c r="D37" i="43" s="1"/>
  <c r="G37" i="43" s="1"/>
  <c r="J37" i="43" s="1"/>
  <c r="D129" i="43" s="1"/>
  <c r="G129" i="43"/>
  <c r="O130" i="43"/>
  <c r="Y130" i="43"/>
  <c r="AM83" i="43"/>
  <c r="B38" i="43"/>
  <c r="D38" i="43" s="1"/>
  <c r="G38" i="43" s="1"/>
  <c r="J38" i="43" s="1"/>
  <c r="D130" i="43" s="1"/>
  <c r="G130" i="43"/>
  <c r="O131" i="43"/>
  <c r="Y131" i="43"/>
  <c r="AM84" i="43"/>
  <c r="B39" i="43"/>
  <c r="D39" i="43" s="1"/>
  <c r="G39" i="43" s="1"/>
  <c r="J39" i="43" s="1"/>
  <c r="D131" i="43" s="1"/>
  <c r="G131" i="43"/>
  <c r="O132" i="43"/>
  <c r="Y132" i="43"/>
  <c r="AM85" i="43"/>
  <c r="B40" i="43"/>
  <c r="X133" i="43" s="1"/>
  <c r="G132" i="43"/>
  <c r="O133" i="43"/>
  <c r="Y133" i="43"/>
  <c r="AM86" i="43"/>
  <c r="B41" i="43"/>
  <c r="D41" i="43" s="1"/>
  <c r="G41" i="43" s="1"/>
  <c r="J41" i="43" s="1"/>
  <c r="D133" i="43" s="1"/>
  <c r="G133" i="43"/>
  <c r="O134" i="43"/>
  <c r="Y134" i="43"/>
  <c r="AM87" i="43"/>
  <c r="B42" i="43"/>
  <c r="X135" i="43" s="1"/>
  <c r="G134" i="43"/>
  <c r="O135" i="43"/>
  <c r="Y135" i="43"/>
  <c r="AM88" i="43"/>
  <c r="B43" i="43"/>
  <c r="D43" i="43" s="1"/>
  <c r="G43" i="43" s="1"/>
  <c r="J43" i="43" s="1"/>
  <c r="D135" i="43" s="1"/>
  <c r="G135" i="43"/>
  <c r="O136" i="43"/>
  <c r="Y136" i="43"/>
  <c r="AM89" i="43"/>
  <c r="B44" i="43"/>
  <c r="X137" i="43" s="1"/>
  <c r="G136" i="43"/>
  <c r="O137" i="43"/>
  <c r="Y137" i="43"/>
  <c r="AM90" i="43"/>
  <c r="B45" i="43"/>
  <c r="D45" i="43" s="1"/>
  <c r="G45" i="43" s="1"/>
  <c r="J45" i="43" s="1"/>
  <c r="D137" i="43" s="1"/>
  <c r="G137" i="43"/>
  <c r="O138" i="43"/>
  <c r="Y138" i="43"/>
  <c r="AM91" i="43"/>
  <c r="B46" i="43"/>
  <c r="D46" i="43" s="1"/>
  <c r="G46" i="43" s="1"/>
  <c r="J46" i="43" s="1"/>
  <c r="D138" i="43" s="1"/>
  <c r="G138" i="43"/>
  <c r="O139" i="43"/>
  <c r="Y139" i="43"/>
  <c r="AM92" i="43"/>
  <c r="B47" i="43"/>
  <c r="D47" i="43" s="1"/>
  <c r="G47" i="43" s="1"/>
  <c r="J47" i="43" s="1"/>
  <c r="D139" i="43" s="1"/>
  <c r="G139" i="43"/>
  <c r="O140" i="43"/>
  <c r="Y140" i="43"/>
  <c r="AM93" i="43"/>
  <c r="B10" i="43"/>
  <c r="X103" i="43" s="1"/>
  <c r="G102" i="43"/>
  <c r="O103" i="43"/>
  <c r="Y103" i="43"/>
  <c r="AG28" i="43"/>
  <c r="AG29" i="43"/>
  <c r="AG30" i="43"/>
  <c r="AG31" i="43"/>
  <c r="AG32" i="43"/>
  <c r="AG33" i="43"/>
  <c r="AM56" i="43"/>
  <c r="B11" i="43"/>
  <c r="X104" i="43" s="1"/>
  <c r="G103" i="43"/>
  <c r="O104" i="43"/>
  <c r="Y104" i="43"/>
  <c r="AA104" i="43" s="1"/>
  <c r="AM57" i="43"/>
  <c r="B12" i="43"/>
  <c r="X105" i="43" s="1"/>
  <c r="G104" i="43"/>
  <c r="O105" i="43"/>
  <c r="Y105" i="43"/>
  <c r="AA105" i="43" s="1"/>
  <c r="AM58" i="43"/>
  <c r="B13" i="43"/>
  <c r="X106" i="43" s="1"/>
  <c r="G105" i="43"/>
  <c r="O106" i="43"/>
  <c r="Y106" i="43"/>
  <c r="AA106" i="43" s="1"/>
  <c r="AM59" i="43"/>
  <c r="B14" i="43"/>
  <c r="B106" i="43" s="1"/>
  <c r="G106" i="43"/>
  <c r="O107" i="43"/>
  <c r="Y107" i="43"/>
  <c r="AA107" i="43" s="1"/>
  <c r="AM60" i="43"/>
  <c r="B9" i="43"/>
  <c r="D9" i="43" s="1"/>
  <c r="G9" i="43" s="1"/>
  <c r="J9" i="43" s="1"/>
  <c r="D101" i="43" s="1"/>
  <c r="G101" i="43"/>
  <c r="O102" i="43"/>
  <c r="V8" i="43"/>
  <c r="V9" i="43"/>
  <c r="V10" i="43"/>
  <c r="V11" i="43"/>
  <c r="V13" i="43"/>
  <c r="V14" i="43"/>
  <c r="V15" i="43"/>
  <c r="V16" i="43"/>
  <c r="Y102" i="43"/>
  <c r="AG7" i="43"/>
  <c r="AG8" i="43"/>
  <c r="AG9" i="43"/>
  <c r="AG10" i="43"/>
  <c r="AG11" i="43"/>
  <c r="AG12" i="43"/>
  <c r="AG15" i="43"/>
  <c r="AG16" i="43"/>
  <c r="AG17" i="43"/>
  <c r="AG18" i="43"/>
  <c r="AG19" i="43"/>
  <c r="AG20" i="43"/>
  <c r="AG21" i="43"/>
  <c r="AM55" i="43"/>
  <c r="G100" i="43"/>
  <c r="O101" i="43"/>
  <c r="Y101" i="43"/>
  <c r="AM54" i="43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B31" i="6"/>
  <c r="L55" i="6"/>
  <c r="K44" i="15" s="1"/>
  <c r="L56" i="6"/>
  <c r="K45" i="15" s="1"/>
  <c r="B32" i="6"/>
  <c r="D8" i="34"/>
  <c r="B10" i="15"/>
  <c r="B11" i="15"/>
  <c r="J27" i="15"/>
  <c r="E391" i="15"/>
  <c r="E383" i="15"/>
  <c r="P199" i="15"/>
  <c r="D14" i="15"/>
  <c r="C313" i="15"/>
  <c r="E313" i="15" s="1"/>
  <c r="E304" i="15"/>
  <c r="E305" i="15" s="1"/>
  <c r="H236" i="15"/>
  <c r="H231" i="15"/>
  <c r="H226" i="15"/>
  <c r="K29" i="15"/>
  <c r="J29" i="15"/>
  <c r="H29" i="15"/>
  <c r="G29" i="15"/>
  <c r="F29" i="15"/>
  <c r="E137" i="15" s="1"/>
  <c r="E29" i="15"/>
  <c r="B29" i="15"/>
  <c r="K28" i="15"/>
  <c r="H28" i="15"/>
  <c r="G28" i="15"/>
  <c r="E28" i="15"/>
  <c r="B28" i="15"/>
  <c r="K27" i="15"/>
  <c r="H27" i="15"/>
  <c r="G27" i="15"/>
  <c r="E27" i="15"/>
  <c r="C15" i="15"/>
  <c r="C14" i="15"/>
  <c r="C13" i="15"/>
  <c r="C12" i="15"/>
  <c r="C11" i="15"/>
  <c r="C10" i="15"/>
  <c r="C9" i="15"/>
  <c r="C8" i="15"/>
  <c r="C7" i="15"/>
  <c r="C6" i="15"/>
  <c r="J9" i="15"/>
  <c r="J8" i="15"/>
  <c r="H9" i="15"/>
  <c r="H8" i="15"/>
  <c r="G9" i="15"/>
  <c r="G8" i="15"/>
  <c r="E9" i="15"/>
  <c r="E8" i="15"/>
  <c r="B9" i="15"/>
  <c r="B8" i="15"/>
  <c r="K43" i="15"/>
  <c r="K41" i="15"/>
  <c r="K40" i="15"/>
  <c r="K31" i="15"/>
  <c r="K30" i="15"/>
  <c r="K10" i="15"/>
  <c r="K7" i="15"/>
  <c r="K6" i="15"/>
  <c r="B6" i="15"/>
  <c r="D6" i="15"/>
  <c r="E6" i="15"/>
  <c r="G6" i="15"/>
  <c r="H6" i="15"/>
  <c r="J6" i="15"/>
  <c r="E7" i="15"/>
  <c r="G7" i="15"/>
  <c r="H7" i="15"/>
  <c r="J7" i="15"/>
  <c r="E10" i="15"/>
  <c r="G10" i="15"/>
  <c r="H10" i="15"/>
  <c r="J10" i="15"/>
  <c r="E11" i="15"/>
  <c r="G11" i="15"/>
  <c r="H11" i="15"/>
  <c r="J11" i="15"/>
  <c r="D12" i="15"/>
  <c r="E12" i="15"/>
  <c r="G12" i="15"/>
  <c r="H12" i="15"/>
  <c r="J12" i="15"/>
  <c r="E13" i="15"/>
  <c r="G13" i="15"/>
  <c r="H13" i="15"/>
  <c r="J13" i="15"/>
  <c r="E14" i="15"/>
  <c r="G14" i="15"/>
  <c r="H14" i="15"/>
  <c r="J14" i="15"/>
  <c r="E15" i="15"/>
  <c r="G15" i="15"/>
  <c r="H15" i="15"/>
  <c r="J15" i="15"/>
  <c r="E16" i="15"/>
  <c r="G16" i="15"/>
  <c r="H16" i="15"/>
  <c r="J16" i="15"/>
  <c r="E30" i="15"/>
  <c r="G30" i="15"/>
  <c r="H30" i="15"/>
  <c r="J30" i="15"/>
  <c r="E31" i="15"/>
  <c r="G31" i="15"/>
  <c r="H31" i="15"/>
  <c r="J31" i="15"/>
  <c r="E36" i="15"/>
  <c r="F36" i="15"/>
  <c r="G36" i="15"/>
  <c r="H36" i="15"/>
  <c r="J36" i="15"/>
  <c r="E33" i="15"/>
  <c r="F33" i="15"/>
  <c r="G33" i="15"/>
  <c r="H33" i="15"/>
  <c r="J33" i="15"/>
  <c r="E37" i="15"/>
  <c r="F37" i="15"/>
  <c r="G37" i="15"/>
  <c r="H37" i="15"/>
  <c r="J37" i="15"/>
  <c r="E34" i="15"/>
  <c r="G34" i="15"/>
  <c r="H34" i="15"/>
  <c r="J34" i="15"/>
  <c r="E38" i="15"/>
  <c r="G38" i="15"/>
  <c r="H38" i="15"/>
  <c r="J38" i="15"/>
  <c r="E39" i="15"/>
  <c r="F39" i="15"/>
  <c r="G39" i="15"/>
  <c r="H39" i="15"/>
  <c r="J39" i="15"/>
  <c r="D40" i="15"/>
  <c r="E40" i="15"/>
  <c r="G40" i="15"/>
  <c r="H40" i="15"/>
  <c r="J40" i="15"/>
  <c r="D41" i="15"/>
  <c r="E41" i="15"/>
  <c r="G41" i="15"/>
  <c r="H41" i="15"/>
  <c r="J41" i="15"/>
  <c r="D42" i="15"/>
  <c r="E42" i="15"/>
  <c r="G42" i="15"/>
  <c r="H42" i="15"/>
  <c r="J42" i="15"/>
  <c r="D43" i="15"/>
  <c r="E43" i="15"/>
  <c r="G43" i="15"/>
  <c r="H43" i="15"/>
  <c r="J43" i="15"/>
  <c r="D44" i="15"/>
  <c r="E44" i="15"/>
  <c r="G44" i="15"/>
  <c r="H44" i="15"/>
  <c r="J44" i="15"/>
  <c r="D45" i="15"/>
  <c r="E45" i="15"/>
  <c r="G45" i="15"/>
  <c r="H45" i="15"/>
  <c r="J45" i="15"/>
  <c r="E387" i="15"/>
  <c r="I387" i="15" s="1"/>
  <c r="I388" i="15"/>
  <c r="I390" i="15"/>
  <c r="E379" i="15"/>
  <c r="I379" i="15" s="1"/>
  <c r="I380" i="15"/>
  <c r="I382" i="15"/>
  <c r="C116" i="15"/>
  <c r="A49" i="15"/>
  <c r="I11" i="34" s="1"/>
  <c r="C50" i="15"/>
  <c r="C59" i="15"/>
  <c r="D96" i="15"/>
  <c r="D162" i="15"/>
  <c r="D158" i="17"/>
  <c r="D157" i="17"/>
  <c r="D160" i="17" s="1"/>
  <c r="D120" i="17"/>
  <c r="D119" i="17"/>
  <c r="D122" i="17" s="1"/>
  <c r="D63" i="17"/>
  <c r="D62" i="17"/>
  <c r="D65" i="17" s="1"/>
  <c r="D138" i="17"/>
  <c r="C148" i="17" s="1"/>
  <c r="D148" i="17" s="1"/>
  <c r="D139" i="17"/>
  <c r="F3" i="17"/>
  <c r="F6" i="17" s="1"/>
  <c r="H3" i="17"/>
  <c r="H6" i="17" s="1"/>
  <c r="M3" i="17"/>
  <c r="M5" i="17" s="1"/>
  <c r="L8" i="17" s="1"/>
  <c r="M8" i="17" s="1"/>
  <c r="D5" i="17"/>
  <c r="D6" i="17"/>
  <c r="F22" i="17"/>
  <c r="F24" i="17" s="1"/>
  <c r="H22" i="17"/>
  <c r="H24" i="17" s="1"/>
  <c r="G34" i="17" s="1"/>
  <c r="H34" i="17" s="1"/>
  <c r="M22" i="17"/>
  <c r="M24" i="17" s="1"/>
  <c r="M26" i="17" s="1"/>
  <c r="D24" i="17"/>
  <c r="D27" i="17" s="1"/>
  <c r="D25" i="17"/>
  <c r="F41" i="17"/>
  <c r="F44" i="17" s="1"/>
  <c r="H41" i="17"/>
  <c r="H43" i="17" s="1"/>
  <c r="H46" i="17" s="1"/>
  <c r="M41" i="17"/>
  <c r="M43" i="17" s="1"/>
  <c r="M45" i="17" s="1"/>
  <c r="D43" i="17"/>
  <c r="D46" i="17" s="1"/>
  <c r="D44" i="17"/>
  <c r="F60" i="17"/>
  <c r="F62" i="17" s="1"/>
  <c r="F65" i="17" s="1"/>
  <c r="H60" i="17"/>
  <c r="H62" i="17" s="1"/>
  <c r="G72" i="17" s="1"/>
  <c r="H72" i="17" s="1"/>
  <c r="M60" i="17"/>
  <c r="M62" i="17" s="1"/>
  <c r="L65" i="17" s="1"/>
  <c r="M65" i="17" s="1"/>
  <c r="F79" i="17"/>
  <c r="F81" i="17" s="1"/>
  <c r="H79" i="17"/>
  <c r="H81" i="17" s="1"/>
  <c r="G87" i="17" s="1"/>
  <c r="H87" i="17" s="1"/>
  <c r="M79" i="17"/>
  <c r="M81" i="17" s="1"/>
  <c r="M83" i="17" s="1"/>
  <c r="M86" i="17" s="1"/>
  <c r="F98" i="17"/>
  <c r="F100" i="17" s="1"/>
  <c r="F103" i="17" s="1"/>
  <c r="H98" i="17"/>
  <c r="H100" i="17" s="1"/>
  <c r="G106" i="17" s="1"/>
  <c r="H106" i="17" s="1"/>
  <c r="M98" i="17"/>
  <c r="M100" i="17" s="1"/>
  <c r="M102" i="17" s="1"/>
  <c r="F117" i="17"/>
  <c r="F119" i="17" s="1"/>
  <c r="E125" i="17" s="1"/>
  <c r="F125" i="17" s="1"/>
  <c r="H117" i="17"/>
  <c r="H119" i="17" s="1"/>
  <c r="H122" i="17" s="1"/>
  <c r="M117" i="17"/>
  <c r="M119" i="17" s="1"/>
  <c r="L122" i="17" s="1"/>
  <c r="M122" i="17" s="1"/>
  <c r="F136" i="17"/>
  <c r="F138" i="17" s="1"/>
  <c r="F141" i="17" s="1"/>
  <c r="H136" i="17"/>
  <c r="H139" i="17" s="1"/>
  <c r="M136" i="17"/>
  <c r="M138" i="17" s="1"/>
  <c r="L141" i="17" s="1"/>
  <c r="M141" i="17" s="1"/>
  <c r="F155" i="17"/>
  <c r="F157" i="17" s="1"/>
  <c r="E163" i="17" s="1"/>
  <c r="F163" i="17" s="1"/>
  <c r="H155" i="17"/>
  <c r="H158" i="17" s="1"/>
  <c r="M155" i="17"/>
  <c r="M157" i="17" s="1"/>
  <c r="B95" i="42"/>
  <c r="B94" i="42"/>
  <c r="B93" i="42"/>
  <c r="B92" i="42"/>
  <c r="B91" i="42"/>
  <c r="B90" i="42"/>
  <c r="B89" i="42"/>
  <c r="B88" i="42"/>
  <c r="B87" i="42"/>
  <c r="B86" i="42"/>
  <c r="B85" i="42"/>
  <c r="B84" i="42"/>
  <c r="B83" i="42"/>
  <c r="B82" i="42"/>
  <c r="B81" i="42"/>
  <c r="B80" i="42"/>
  <c r="B79" i="42"/>
  <c r="B78" i="42"/>
  <c r="B77" i="42"/>
  <c r="B76" i="42"/>
  <c r="B75" i="42"/>
  <c r="B74" i="42"/>
  <c r="B73" i="42"/>
  <c r="B72" i="42"/>
  <c r="B71" i="42"/>
  <c r="B70" i="42"/>
  <c r="B69" i="42"/>
  <c r="B68" i="42"/>
  <c r="B67" i="42"/>
  <c r="B66" i="42"/>
  <c r="B65" i="42"/>
  <c r="B64" i="42"/>
  <c r="B63" i="42"/>
  <c r="B62" i="42"/>
  <c r="B61" i="42"/>
  <c r="B60" i="42"/>
  <c r="B59" i="42"/>
  <c r="B58" i="42"/>
  <c r="B57" i="42"/>
  <c r="B56" i="42"/>
  <c r="B48" i="42"/>
  <c r="B47" i="42"/>
  <c r="B46" i="42"/>
  <c r="B45" i="42"/>
  <c r="B44" i="42"/>
  <c r="B43" i="42"/>
  <c r="B42" i="42"/>
  <c r="B41" i="42"/>
  <c r="B40" i="42"/>
  <c r="B39" i="42"/>
  <c r="B38" i="42"/>
  <c r="B37" i="42"/>
  <c r="B36" i="42"/>
  <c r="B35" i="42"/>
  <c r="B34" i="42"/>
  <c r="B33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3" i="42"/>
  <c r="B12" i="42"/>
  <c r="B11" i="42"/>
  <c r="B10" i="42"/>
  <c r="B9" i="42"/>
  <c r="B9" i="28"/>
  <c r="B10" i="28"/>
  <c r="B44" i="28"/>
  <c r="B52" i="28"/>
  <c r="B53" i="28"/>
  <c r="B87" i="28"/>
  <c r="A16" i="36"/>
  <c r="A18" i="36"/>
  <c r="A20" i="36"/>
  <c r="A22" i="36"/>
  <c r="A24" i="36"/>
  <c r="A26" i="36"/>
  <c r="A14" i="36"/>
  <c r="L17" i="36"/>
  <c r="L18" i="36"/>
  <c r="L19" i="36"/>
  <c r="L20" i="36"/>
  <c r="L21" i="36"/>
  <c r="E3" i="36"/>
  <c r="K13" i="36"/>
  <c r="K15" i="36" s="1"/>
  <c r="L15" i="36" s="1"/>
  <c r="F4" i="36"/>
  <c r="J15" i="34"/>
  <c r="J14" i="34"/>
  <c r="J12" i="34"/>
  <c r="C28" i="34"/>
  <c r="K21" i="37"/>
  <c r="L21" i="37" s="1"/>
  <c r="L28" i="37"/>
  <c r="L26" i="37"/>
  <c r="E35" i="37"/>
  <c r="D34" i="37"/>
  <c r="E3" i="37"/>
  <c r="L20" i="37"/>
  <c r="L18" i="37"/>
  <c r="K15" i="37"/>
  <c r="L15" i="37" s="1"/>
  <c r="K12" i="37"/>
  <c r="K14" i="37" s="1"/>
  <c r="L14" i="37" s="1"/>
  <c r="F4" i="37"/>
  <c r="AI93" i="43"/>
  <c r="AI92" i="43"/>
  <c r="AI91" i="43"/>
  <c r="AI90" i="43"/>
  <c r="AI89" i="43"/>
  <c r="AI88" i="43"/>
  <c r="AI87" i="43"/>
  <c r="AI86" i="43"/>
  <c r="AI85" i="43"/>
  <c r="AI84" i="43"/>
  <c r="AI83" i="43"/>
  <c r="AI82" i="43"/>
  <c r="AI81" i="43"/>
  <c r="AI80" i="43"/>
  <c r="AI79" i="43"/>
  <c r="AI78" i="43"/>
  <c r="AI77" i="43"/>
  <c r="AI76" i="43"/>
  <c r="AI75" i="43"/>
  <c r="AI74" i="43"/>
  <c r="AI73" i="43"/>
  <c r="AI72" i="43"/>
  <c r="AI71" i="43"/>
  <c r="AI70" i="43"/>
  <c r="AI69" i="43"/>
  <c r="AI68" i="43"/>
  <c r="AI67" i="43"/>
  <c r="AI66" i="43"/>
  <c r="AI65" i="43"/>
  <c r="AI64" i="43"/>
  <c r="AI63" i="43"/>
  <c r="AI62" i="43"/>
  <c r="AI61" i="43"/>
  <c r="AI60" i="43"/>
  <c r="AI59" i="43"/>
  <c r="AI58" i="43"/>
  <c r="AI57" i="43"/>
  <c r="AI56" i="43"/>
  <c r="AI55" i="43"/>
  <c r="AI54" i="43"/>
  <c r="B111" i="43"/>
  <c r="AI50" i="27"/>
  <c r="AI51" i="27"/>
  <c r="AI85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AA96" i="27"/>
  <c r="AA111" i="27"/>
  <c r="AA110" i="27"/>
  <c r="AA107" i="27"/>
  <c r="F100" i="43"/>
  <c r="M107" i="43"/>
  <c r="F106" i="43"/>
  <c r="F104" i="43"/>
  <c r="M103" i="43"/>
  <c r="F102" i="43"/>
  <c r="F138" i="43"/>
  <c r="F124" i="43"/>
  <c r="F122" i="43"/>
  <c r="F15" i="51"/>
  <c r="G15" i="51" s="1"/>
  <c r="H15" i="51" s="1"/>
  <c r="D16" i="43"/>
  <c r="G16" i="43" s="1"/>
  <c r="J16" i="43" s="1"/>
  <c r="D108" i="43" s="1"/>
  <c r="AA117" i="43"/>
  <c r="F118" i="43"/>
  <c r="AA105" i="27"/>
  <c r="B30" i="15"/>
  <c r="B31" i="15"/>
  <c r="B36" i="15"/>
  <c r="B33" i="15"/>
  <c r="B37" i="15"/>
  <c r="B34" i="15"/>
  <c r="B38" i="15"/>
  <c r="B39" i="15"/>
  <c r="B45" i="15"/>
  <c r="B32" i="15"/>
  <c r="B35" i="15"/>
  <c r="B40" i="15"/>
  <c r="B108" i="43"/>
  <c r="L19" i="37"/>
  <c r="L25" i="37"/>
  <c r="L27" i="37"/>
  <c r="E12" i="42"/>
  <c r="E20" i="42"/>
  <c r="E36" i="42"/>
  <c r="E44" i="42"/>
  <c r="H11" i="44"/>
  <c r="H13" i="44"/>
  <c r="H15" i="44"/>
  <c r="H17" i="44"/>
  <c r="H19" i="44"/>
  <c r="H21" i="44"/>
  <c r="H23" i="44"/>
  <c r="H25" i="44"/>
  <c r="H27" i="44"/>
  <c r="H29" i="44"/>
  <c r="H31" i="44"/>
  <c r="H33" i="44"/>
  <c r="H35" i="44"/>
  <c r="H37" i="44"/>
  <c r="H39" i="44"/>
  <c r="H41" i="44"/>
  <c r="H43" i="44"/>
  <c r="H45" i="44"/>
  <c r="H47" i="44"/>
  <c r="H49" i="44"/>
  <c r="I53" i="44"/>
  <c r="L23" i="37"/>
  <c r="C23" i="37" s="1"/>
  <c r="F23" i="37" s="1"/>
  <c r="L11" i="37"/>
  <c r="C11" i="37" s="1"/>
  <c r="C12" i="37" s="1"/>
  <c r="E12" i="37" s="1"/>
  <c r="G12" i="37" s="1"/>
  <c r="H12" i="37" s="1"/>
  <c r="L8" i="37"/>
  <c r="C8" i="37" s="1"/>
  <c r="F8" i="37" s="1"/>
  <c r="F48" i="12"/>
  <c r="H82" i="17"/>
  <c r="H83" i="17" s="1"/>
  <c r="F63" i="17"/>
  <c r="F48" i="42"/>
  <c r="F44" i="42"/>
  <c r="F40" i="42"/>
  <c r="F36" i="42"/>
  <c r="F32" i="42"/>
  <c r="F28" i="42"/>
  <c r="F24" i="42"/>
  <c r="F20" i="42"/>
  <c r="F16" i="42"/>
  <c r="F12" i="42"/>
  <c r="M5" i="46"/>
  <c r="B14" i="46" s="1"/>
  <c r="E14" i="46" s="1"/>
  <c r="O5" i="46"/>
  <c r="B16" i="46" s="1"/>
  <c r="E16" i="46" s="1"/>
  <c r="H16" i="46" s="1"/>
  <c r="R15" i="46"/>
  <c r="R16" i="46" s="1"/>
  <c r="U16" i="46" s="1"/>
  <c r="G5" i="46" s="1"/>
  <c r="R13" i="46"/>
  <c r="R14" i="46" s="1"/>
  <c r="U14" i="46" s="1"/>
  <c r="F5" i="46" s="1"/>
  <c r="R11" i="46"/>
  <c r="R12" i="46" s="1"/>
  <c r="U12" i="46" s="1"/>
  <c r="E5" i="46" s="1"/>
  <c r="R9" i="46"/>
  <c r="R10" i="46" s="1"/>
  <c r="U10" i="46" s="1"/>
  <c r="D5" i="46" s="1"/>
  <c r="E70" i="12"/>
  <c r="F70" i="12" s="1"/>
  <c r="B13" i="15"/>
  <c r="B18" i="6"/>
  <c r="B19" i="6" s="1"/>
  <c r="B16" i="15" s="1"/>
  <c r="B14" i="15"/>
  <c r="M116" i="43"/>
  <c r="F113" i="43"/>
  <c r="F103" i="43"/>
  <c r="D34" i="43"/>
  <c r="G34" i="43" s="1"/>
  <c r="J34" i="43" s="1"/>
  <c r="D126" i="43" s="1"/>
  <c r="F101" i="43"/>
  <c r="F119" i="43"/>
  <c r="X116" i="43"/>
  <c r="R5" i="46"/>
  <c r="R6" i="46" s="1"/>
  <c r="U6" i="46" s="1"/>
  <c r="B5" i="46" s="1"/>
  <c r="B21" i="46" s="1"/>
  <c r="E21" i="46" s="1"/>
  <c r="G21" i="46" s="1"/>
  <c r="J21" i="46" s="1"/>
  <c r="F47" i="42"/>
  <c r="F41" i="42"/>
  <c r="F33" i="42"/>
  <c r="F25" i="42"/>
  <c r="F17" i="42"/>
  <c r="U111" i="27"/>
  <c r="AK68" i="27" s="1"/>
  <c r="C39" i="14"/>
  <c r="D39" i="14" s="1"/>
  <c r="C71" i="14"/>
  <c r="D71" i="14" s="1"/>
  <c r="F109" i="14"/>
  <c r="G109" i="14" s="1"/>
  <c r="L22" i="37"/>
  <c r="C22" i="37" s="1"/>
  <c r="E22" i="37" s="1"/>
  <c r="H110" i="11"/>
  <c r="H93" i="11"/>
  <c r="H72" i="11"/>
  <c r="N5" i="46"/>
  <c r="B15" i="46" s="1"/>
  <c r="E15" i="46" s="1"/>
  <c r="J15" i="46" s="1"/>
  <c r="C2" i="73"/>
  <c r="H73" i="11"/>
  <c r="C106" i="17"/>
  <c r="D106" i="17" s="1"/>
  <c r="E129" i="17"/>
  <c r="F129" i="17" s="1"/>
  <c r="L16" i="37"/>
  <c r="C16" i="37" s="1"/>
  <c r="G23" i="51"/>
  <c r="H23" i="51" s="1"/>
  <c r="L24" i="37"/>
  <c r="C24" i="37" s="1"/>
  <c r="F24" i="37" s="1"/>
  <c r="L9" i="37"/>
  <c r="C9" i="37" s="1"/>
  <c r="F9" i="37" s="1"/>
  <c r="F16" i="28"/>
  <c r="F22" i="28"/>
  <c r="F32" i="28"/>
  <c r="F38" i="28"/>
  <c r="F17" i="28"/>
  <c r="F23" i="28"/>
  <c r="F33" i="28"/>
  <c r="F39" i="28"/>
  <c r="F14" i="28"/>
  <c r="F24" i="28"/>
  <c r="F30" i="28"/>
  <c r="F40" i="28"/>
  <c r="F11" i="28"/>
  <c r="F25" i="28"/>
  <c r="F31" i="28"/>
  <c r="F42" i="28"/>
  <c r="F13" i="28"/>
  <c r="L17" i="37"/>
  <c r="C17" i="37" s="1"/>
  <c r="F17" i="37" s="1"/>
  <c r="L10" i="37"/>
  <c r="C10" i="37" s="1"/>
  <c r="F10" i="37" s="1"/>
  <c r="F43" i="42"/>
  <c r="F27" i="42"/>
  <c r="F11" i="42"/>
  <c r="F31" i="42"/>
  <c r="F15" i="42"/>
  <c r="H10" i="29"/>
  <c r="F9" i="28"/>
  <c r="B19" i="46"/>
  <c r="E19" i="46" s="1"/>
  <c r="G19" i="46" s="1"/>
  <c r="J19" i="46" s="1"/>
  <c r="C108" i="17"/>
  <c r="D14" i="43"/>
  <c r="G14" i="43" s="1"/>
  <c r="J14" i="43" s="1"/>
  <c r="D106" i="43" s="1"/>
  <c r="D54" i="44"/>
  <c r="F97" i="27"/>
  <c r="F95" i="27"/>
  <c r="F123" i="27"/>
  <c r="F122" i="27"/>
  <c r="F121" i="27"/>
  <c r="F120" i="27"/>
  <c r="F119" i="27"/>
  <c r="F118" i="27"/>
  <c r="F117" i="27"/>
  <c r="F116" i="27"/>
  <c r="F115" i="27"/>
  <c r="F114" i="27"/>
  <c r="F113" i="27"/>
  <c r="F111" i="27"/>
  <c r="F108" i="27"/>
  <c r="F105" i="27"/>
  <c r="F104" i="27"/>
  <c r="F101" i="27"/>
  <c r="F100" i="27"/>
  <c r="F99" i="27"/>
  <c r="X119" i="43" l="1"/>
  <c r="D102" i="17"/>
  <c r="C105" i="17"/>
  <c r="D105" i="17" s="1"/>
  <c r="B104" i="43"/>
  <c r="F24" i="36"/>
  <c r="C15" i="37"/>
  <c r="E15" i="37" s="1"/>
  <c r="E23" i="37"/>
  <c r="G23" i="37" s="1"/>
  <c r="H23" i="37" s="1"/>
  <c r="U94" i="27"/>
  <c r="AK51" i="27" s="1"/>
  <c r="F23" i="36"/>
  <c r="B132" i="43"/>
  <c r="E148" i="17"/>
  <c r="F148" i="17" s="1"/>
  <c r="U20" i="46"/>
  <c r="F23" i="42"/>
  <c r="F39" i="42"/>
  <c r="F19" i="42"/>
  <c r="F35" i="42"/>
  <c r="F15" i="28"/>
  <c r="F12" i="28"/>
  <c r="F35" i="28"/>
  <c r="F29" i="28"/>
  <c r="F19" i="28"/>
  <c r="F43" i="28"/>
  <c r="F34" i="28"/>
  <c r="F27" i="28"/>
  <c r="F18" i="28"/>
  <c r="F44" i="28"/>
  <c r="F37" i="28"/>
  <c r="F28" i="28"/>
  <c r="F21" i="28"/>
  <c r="F41" i="28"/>
  <c r="F36" i="28"/>
  <c r="F26" i="28"/>
  <c r="F20" i="28"/>
  <c r="F13" i="42"/>
  <c r="F21" i="42"/>
  <c r="F29" i="42"/>
  <c r="F37" i="42"/>
  <c r="F45" i="42"/>
  <c r="F10" i="42"/>
  <c r="F14" i="42"/>
  <c r="F18" i="42"/>
  <c r="F22" i="42"/>
  <c r="F26" i="42"/>
  <c r="F30" i="42"/>
  <c r="F34" i="42"/>
  <c r="F38" i="42"/>
  <c r="F42" i="42"/>
  <c r="F46" i="42"/>
  <c r="C37" i="14"/>
  <c r="D37" i="14" s="1"/>
  <c r="C87" i="17"/>
  <c r="D87" i="17" s="1"/>
  <c r="C86" i="17"/>
  <c r="D86" i="17" s="1"/>
  <c r="M111" i="43"/>
  <c r="M129" i="43"/>
  <c r="F21" i="51"/>
  <c r="K11" i="15"/>
  <c r="L27" i="17"/>
  <c r="M27" i="17" s="1"/>
  <c r="A11" i="6"/>
  <c r="A7" i="15"/>
  <c r="C14" i="36"/>
  <c r="E14" i="36" s="1"/>
  <c r="G14" i="36" s="1"/>
  <c r="H14" i="36" s="1"/>
  <c r="L15" i="6"/>
  <c r="K12" i="15" s="1"/>
  <c r="B110" i="43"/>
  <c r="L17" i="6"/>
  <c r="K14" i="15" s="1"/>
  <c r="L16" i="6"/>
  <c r="K13" i="15" s="1"/>
  <c r="M114" i="43"/>
  <c r="L103" i="17"/>
  <c r="M103" i="17" s="1"/>
  <c r="H26" i="44"/>
  <c r="G25" i="37"/>
  <c r="H25" i="37" s="1"/>
  <c r="C89" i="17"/>
  <c r="M123" i="43"/>
  <c r="U117" i="27"/>
  <c r="AK74" i="27" s="1"/>
  <c r="F3" i="37"/>
  <c r="F3" i="36"/>
  <c r="D252" i="15"/>
  <c r="D271" i="15"/>
  <c r="E129" i="15"/>
  <c r="I502" i="15"/>
  <c r="E174" i="15"/>
  <c r="B13" i="29"/>
  <c r="B55" i="28" s="1"/>
  <c r="E43" i="28"/>
  <c r="E32" i="28"/>
  <c r="E28" i="28"/>
  <c r="E22" i="28"/>
  <c r="E9" i="28"/>
  <c r="E40" i="28"/>
  <c r="E10" i="28"/>
  <c r="E11" i="28"/>
  <c r="E13" i="28"/>
  <c r="E12" i="28"/>
  <c r="E42" i="28"/>
  <c r="E39" i="28"/>
  <c r="E35" i="28"/>
  <c r="E31" i="28"/>
  <c r="E27" i="28"/>
  <c r="E26" i="28"/>
  <c r="E21" i="28"/>
  <c r="E18" i="28"/>
  <c r="E41" i="28"/>
  <c r="E38" i="28"/>
  <c r="E34" i="28"/>
  <c r="E30" i="28"/>
  <c r="E24" i="28"/>
  <c r="E20" i="28"/>
  <c r="E17" i="28"/>
  <c r="E44" i="28"/>
  <c r="E37" i="28"/>
  <c r="E33" i="28"/>
  <c r="E29" i="28"/>
  <c r="E23" i="28"/>
  <c r="D12" i="43"/>
  <c r="G12" i="43" s="1"/>
  <c r="J12" i="43" s="1"/>
  <c r="D104" i="43" s="1"/>
  <c r="B102" i="43"/>
  <c r="M133" i="43"/>
  <c r="B128" i="43"/>
  <c r="D10" i="43"/>
  <c r="G10" i="43" s="1"/>
  <c r="J10" i="43" s="1"/>
  <c r="D102" i="43" s="1"/>
  <c r="M105" i="43"/>
  <c r="B136" i="43"/>
  <c r="B124" i="43"/>
  <c r="M125" i="43"/>
  <c r="H11" i="29"/>
  <c r="H46" i="29"/>
  <c r="AB94" i="27"/>
  <c r="H12" i="29"/>
  <c r="G30" i="17"/>
  <c r="H30" i="17" s="1"/>
  <c r="F160" i="17"/>
  <c r="M137" i="43"/>
  <c r="L44" i="6"/>
  <c r="K33" i="15" s="1"/>
  <c r="F22" i="37"/>
  <c r="D42" i="43"/>
  <c r="G42" i="43" s="1"/>
  <c r="J42" i="43" s="1"/>
  <c r="D134" i="43" s="1"/>
  <c r="M131" i="43"/>
  <c r="B130" i="43"/>
  <c r="M139" i="43"/>
  <c r="M112" i="43"/>
  <c r="M127" i="43"/>
  <c r="M135" i="43"/>
  <c r="M115" i="43"/>
  <c r="E167" i="17"/>
  <c r="F167" i="17" s="1"/>
  <c r="C13" i="37"/>
  <c r="E13" i="37" s="1"/>
  <c r="G13" i="37" s="1"/>
  <c r="H13" i="37" s="1"/>
  <c r="H101" i="17"/>
  <c r="D103" i="17"/>
  <c r="D104" i="17" s="1"/>
  <c r="D114" i="17" s="1"/>
  <c r="B2" i="118"/>
  <c r="B2" i="119"/>
  <c r="F11" i="37"/>
  <c r="G11" i="37" s="1"/>
  <c r="H11" i="37" s="1"/>
  <c r="H27" i="17"/>
  <c r="F43" i="17"/>
  <c r="F46" i="17" s="1"/>
  <c r="M121" i="17"/>
  <c r="M125" i="17" s="1"/>
  <c r="V78" i="27"/>
  <c r="Q125" i="27" s="1"/>
  <c r="S125" i="27" s="1"/>
  <c r="U125" i="27" s="1"/>
  <c r="AK82" i="27" s="1"/>
  <c r="X113" i="43"/>
  <c r="AB113" i="43" s="1"/>
  <c r="C90" i="17"/>
  <c r="D83" i="17"/>
  <c r="D85" i="17" s="1"/>
  <c r="E12" i="51"/>
  <c r="G12" i="51" s="1"/>
  <c r="H12" i="51" s="1"/>
  <c r="C34" i="17"/>
  <c r="D34" i="17" s="1"/>
  <c r="D25" i="43"/>
  <c r="G25" i="43" s="1"/>
  <c r="J25" i="43" s="1"/>
  <c r="D117" i="43" s="1"/>
  <c r="E61" i="15"/>
  <c r="F45" i="15"/>
  <c r="AG56" i="27"/>
  <c r="Z109" i="27" s="1"/>
  <c r="AA109" i="27" s="1"/>
  <c r="H62" i="27"/>
  <c r="I127" i="15"/>
  <c r="G52" i="6"/>
  <c r="F41" i="15" s="1"/>
  <c r="X115" i="43"/>
  <c r="AB115" i="43" s="1"/>
  <c r="C91" i="17"/>
  <c r="D91" i="17" s="1"/>
  <c r="H138" i="17"/>
  <c r="G144" i="17" s="1"/>
  <c r="H144" i="17" s="1"/>
  <c r="F5" i="17"/>
  <c r="F7" i="17" s="1"/>
  <c r="M108" i="43"/>
  <c r="F16" i="36"/>
  <c r="C108" i="15"/>
  <c r="E68" i="15"/>
  <c r="I172" i="15"/>
  <c r="F25" i="36"/>
  <c r="G25" i="36" s="1"/>
  <c r="H25" i="36" s="1"/>
  <c r="B112" i="43"/>
  <c r="D15" i="43"/>
  <c r="G15" i="43" s="1"/>
  <c r="J15" i="43" s="1"/>
  <c r="D107" i="43" s="1"/>
  <c r="M126" i="43"/>
  <c r="B7" i="15"/>
  <c r="E75" i="15"/>
  <c r="G55" i="6"/>
  <c r="F44" i="15" s="1"/>
  <c r="F122" i="14"/>
  <c r="G122" i="14" s="1"/>
  <c r="C35" i="14"/>
  <c r="D35" i="14" s="1"/>
  <c r="C59" i="14"/>
  <c r="D59" i="14" s="1"/>
  <c r="F13" i="14"/>
  <c r="G13" i="14" s="1"/>
  <c r="C74" i="14"/>
  <c r="D74" i="14" s="1"/>
  <c r="C32" i="14"/>
  <c r="D32" i="14" s="1"/>
  <c r="C21" i="14"/>
  <c r="D21" i="14" s="1"/>
  <c r="C203" i="14"/>
  <c r="D203" i="14" s="1"/>
  <c r="C201" i="14"/>
  <c r="D201" i="14" s="1"/>
  <c r="C199" i="14"/>
  <c r="D199" i="14" s="1"/>
  <c r="C197" i="14"/>
  <c r="D197" i="14" s="1"/>
  <c r="C195" i="14"/>
  <c r="D195" i="14" s="1"/>
  <c r="F192" i="14"/>
  <c r="G192" i="14" s="1"/>
  <c r="F190" i="14"/>
  <c r="G190" i="14" s="1"/>
  <c r="F188" i="14"/>
  <c r="G188" i="14" s="1"/>
  <c r="F186" i="14"/>
  <c r="G186" i="14" s="1"/>
  <c r="F184" i="14"/>
  <c r="G184" i="14" s="1"/>
  <c r="F182" i="14"/>
  <c r="G182" i="14" s="1"/>
  <c r="F180" i="14"/>
  <c r="G180" i="14" s="1"/>
  <c r="F178" i="14"/>
  <c r="G178" i="14" s="1"/>
  <c r="F176" i="14"/>
  <c r="G176" i="14" s="1"/>
  <c r="F174" i="14"/>
  <c r="G174" i="14" s="1"/>
  <c r="F170" i="14"/>
  <c r="G170" i="14" s="1"/>
  <c r="F168" i="14"/>
  <c r="G168" i="14" s="1"/>
  <c r="F166" i="14"/>
  <c r="G166" i="14" s="1"/>
  <c r="F164" i="14"/>
  <c r="G164" i="14" s="1"/>
  <c r="F162" i="14"/>
  <c r="G162" i="14" s="1"/>
  <c r="F160" i="14"/>
  <c r="G160" i="14" s="1"/>
  <c r="F158" i="14"/>
  <c r="G158" i="14" s="1"/>
  <c r="F156" i="14"/>
  <c r="G156" i="14" s="1"/>
  <c r="F154" i="14"/>
  <c r="G154" i="14" s="1"/>
  <c r="F152" i="14"/>
  <c r="G152" i="14" s="1"/>
  <c r="F150" i="14"/>
  <c r="G150" i="14" s="1"/>
  <c r="F148" i="14"/>
  <c r="G148" i="14" s="1"/>
  <c r="F146" i="14"/>
  <c r="G146" i="14" s="1"/>
  <c r="F144" i="14"/>
  <c r="G144" i="14" s="1"/>
  <c r="F142" i="14"/>
  <c r="G142" i="14" s="1"/>
  <c r="F140" i="14"/>
  <c r="G140" i="14" s="1"/>
  <c r="F138" i="14"/>
  <c r="G138" i="14" s="1"/>
  <c r="F136" i="14"/>
  <c r="G136" i="14" s="1"/>
  <c r="F134" i="14"/>
  <c r="G134" i="14" s="1"/>
  <c r="F132" i="14"/>
  <c r="G132" i="14" s="1"/>
  <c r="F130" i="14"/>
  <c r="G130" i="14" s="1"/>
  <c r="F128" i="14"/>
  <c r="F126" i="14"/>
  <c r="G126" i="14" s="1"/>
  <c r="F124" i="14"/>
  <c r="G124" i="14" s="1"/>
  <c r="F121" i="14"/>
  <c r="G121" i="14" s="1"/>
  <c r="F119" i="14"/>
  <c r="G119" i="14" s="1"/>
  <c r="F117" i="14"/>
  <c r="G117" i="14" s="1"/>
  <c r="F115" i="14"/>
  <c r="G115" i="14" s="1"/>
  <c r="F113" i="14"/>
  <c r="G113" i="14" s="1"/>
  <c r="F111" i="14"/>
  <c r="G111" i="14" s="1"/>
  <c r="C109" i="14"/>
  <c r="D109" i="14" s="1"/>
  <c r="C106" i="14"/>
  <c r="D106" i="14" s="1"/>
  <c r="C103" i="14"/>
  <c r="D103" i="14" s="1"/>
  <c r="C101" i="14"/>
  <c r="D101" i="14" s="1"/>
  <c r="F96" i="14"/>
  <c r="G96" i="14" s="1"/>
  <c r="F94" i="14"/>
  <c r="G94" i="14" s="1"/>
  <c r="F92" i="14"/>
  <c r="G92" i="14" s="1"/>
  <c r="F90" i="14"/>
  <c r="G90" i="14" s="1"/>
  <c r="F88" i="14"/>
  <c r="G88" i="14" s="1"/>
  <c r="F86" i="14"/>
  <c r="G86" i="14" s="1"/>
  <c r="F83" i="14"/>
  <c r="G83" i="14" s="1"/>
  <c r="F80" i="14"/>
  <c r="G80" i="14" s="1"/>
  <c r="F78" i="14"/>
  <c r="G78" i="14" s="1"/>
  <c r="C76" i="14"/>
  <c r="D76" i="14" s="1"/>
  <c r="F71" i="14"/>
  <c r="G71" i="14" s="1"/>
  <c r="F67" i="14"/>
  <c r="G67" i="14" s="1"/>
  <c r="F65" i="14"/>
  <c r="G65" i="14" s="1"/>
  <c r="F63" i="14"/>
  <c r="G63" i="14" s="1"/>
  <c r="F61" i="14"/>
  <c r="G61" i="14" s="1"/>
  <c r="F59" i="14"/>
  <c r="G59" i="14" s="1"/>
  <c r="C56" i="14"/>
  <c r="D56" i="14" s="1"/>
  <c r="C54" i="14"/>
  <c r="D54" i="14" s="1"/>
  <c r="C52" i="14"/>
  <c r="D52" i="14" s="1"/>
  <c r="C49" i="14"/>
  <c r="D49" i="14" s="1"/>
  <c r="C47" i="14"/>
  <c r="D47" i="14" s="1"/>
  <c r="C45" i="14"/>
  <c r="D45" i="14" s="1"/>
  <c r="F42" i="14"/>
  <c r="G42" i="14" s="1"/>
  <c r="C40" i="14"/>
  <c r="D40" i="14" s="1"/>
  <c r="F25" i="14"/>
  <c r="G25" i="14" s="1"/>
  <c r="F34" i="14"/>
  <c r="G34" i="14" s="1"/>
  <c r="C13" i="14"/>
  <c r="D13" i="14" s="1"/>
  <c r="F172" i="14"/>
  <c r="G172" i="14" s="1"/>
  <c r="F98" i="14"/>
  <c r="G98" i="14" s="1"/>
  <c r="C33" i="14"/>
  <c r="D33" i="14" s="1"/>
  <c r="F73" i="14"/>
  <c r="G73" i="14" s="1"/>
  <c r="C73" i="14"/>
  <c r="D73" i="14" s="1"/>
  <c r="F202" i="14"/>
  <c r="G202" i="14" s="1"/>
  <c r="F200" i="14"/>
  <c r="G200" i="14" s="1"/>
  <c r="F198" i="14"/>
  <c r="G198" i="14" s="1"/>
  <c r="C194" i="14"/>
  <c r="D194" i="14" s="1"/>
  <c r="C192" i="14"/>
  <c r="D192" i="14" s="1"/>
  <c r="C190" i="14"/>
  <c r="D190" i="14" s="1"/>
  <c r="C188" i="14"/>
  <c r="D188" i="14" s="1"/>
  <c r="C186" i="14"/>
  <c r="D186" i="14" s="1"/>
  <c r="C184" i="14"/>
  <c r="D184" i="14" s="1"/>
  <c r="C182" i="14"/>
  <c r="D182" i="14" s="1"/>
  <c r="C180" i="14"/>
  <c r="D180" i="14" s="1"/>
  <c r="C178" i="14"/>
  <c r="D178" i="14" s="1"/>
  <c r="C176" i="14"/>
  <c r="D176" i="14" s="1"/>
  <c r="C174" i="14"/>
  <c r="D174" i="14" s="1"/>
  <c r="C172" i="14"/>
  <c r="D172" i="14" s="1"/>
  <c r="C170" i="14"/>
  <c r="D170" i="14" s="1"/>
  <c r="C168" i="14"/>
  <c r="D168" i="14" s="1"/>
  <c r="C166" i="14"/>
  <c r="D166" i="14" s="1"/>
  <c r="F194" i="14"/>
  <c r="G194" i="14" s="1"/>
  <c r="F85" i="14"/>
  <c r="G85" i="14" s="1"/>
  <c r="F135" i="14"/>
  <c r="G135" i="14" s="1"/>
  <c r="F196" i="14"/>
  <c r="G196" i="14" s="1"/>
  <c r="F41" i="14"/>
  <c r="G41" i="14" s="1"/>
  <c r="C51" i="14"/>
  <c r="D51" i="14" s="1"/>
  <c r="F21" i="14"/>
  <c r="G21" i="14" s="1"/>
  <c r="F50" i="14"/>
  <c r="G50" i="14" s="1"/>
  <c r="C81" i="14"/>
  <c r="D81" i="14" s="1"/>
  <c r="C202" i="14"/>
  <c r="D202" i="14" s="1"/>
  <c r="C200" i="14"/>
  <c r="D200" i="14" s="1"/>
  <c r="C198" i="14"/>
  <c r="D198" i="14" s="1"/>
  <c r="C196" i="14"/>
  <c r="D196" i="14" s="1"/>
  <c r="F193" i="14"/>
  <c r="G193" i="14" s="1"/>
  <c r="F191" i="14"/>
  <c r="G191" i="14" s="1"/>
  <c r="F189" i="14"/>
  <c r="G189" i="14" s="1"/>
  <c r="F187" i="14"/>
  <c r="G187" i="14" s="1"/>
  <c r="F185" i="14"/>
  <c r="G185" i="14" s="1"/>
  <c r="F183" i="14"/>
  <c r="G183" i="14" s="1"/>
  <c r="F181" i="14"/>
  <c r="G181" i="14" s="1"/>
  <c r="F179" i="14"/>
  <c r="G179" i="14" s="1"/>
  <c r="F177" i="14"/>
  <c r="G177" i="14" s="1"/>
  <c r="F175" i="14"/>
  <c r="G175" i="14" s="1"/>
  <c r="F173" i="14"/>
  <c r="G173" i="14" s="1"/>
  <c r="F171" i="14"/>
  <c r="G171" i="14" s="1"/>
  <c r="F169" i="14"/>
  <c r="G169" i="14" s="1"/>
  <c r="F167" i="14"/>
  <c r="G167" i="14" s="1"/>
  <c r="F165" i="14"/>
  <c r="G165" i="14" s="1"/>
  <c r="F163" i="14"/>
  <c r="G163" i="14" s="1"/>
  <c r="F161" i="14"/>
  <c r="G161" i="14" s="1"/>
  <c r="F159" i="14"/>
  <c r="G159" i="14" s="1"/>
  <c r="F157" i="14"/>
  <c r="G157" i="14" s="1"/>
  <c r="F155" i="14"/>
  <c r="G155" i="14" s="1"/>
  <c r="F153" i="14"/>
  <c r="G153" i="14" s="1"/>
  <c r="F151" i="14"/>
  <c r="G151" i="14" s="1"/>
  <c r="F149" i="14"/>
  <c r="G149" i="14" s="1"/>
  <c r="F147" i="14"/>
  <c r="G147" i="14" s="1"/>
  <c r="F145" i="14"/>
  <c r="G145" i="14" s="1"/>
  <c r="F143" i="14"/>
  <c r="G143" i="14" s="1"/>
  <c r="F141" i="14"/>
  <c r="G141" i="14" s="1"/>
  <c r="F139" i="14"/>
  <c r="G139" i="14" s="1"/>
  <c r="F137" i="14"/>
  <c r="G137" i="14" s="1"/>
  <c r="F133" i="14"/>
  <c r="G133" i="14" s="1"/>
  <c r="F131" i="14"/>
  <c r="G131" i="14" s="1"/>
  <c r="F129" i="14"/>
  <c r="G129" i="14" s="1"/>
  <c r="F127" i="14"/>
  <c r="G127" i="14" s="1"/>
  <c r="F125" i="14"/>
  <c r="G125" i="14" s="1"/>
  <c r="F123" i="14"/>
  <c r="G123" i="14" s="1"/>
  <c r="F120" i="14"/>
  <c r="G120" i="14" s="1"/>
  <c r="F118" i="14"/>
  <c r="G118" i="14" s="1"/>
  <c r="F116" i="14"/>
  <c r="G116" i="14" s="1"/>
  <c r="F114" i="14"/>
  <c r="G114" i="14" s="1"/>
  <c r="F112" i="14"/>
  <c r="G112" i="14" s="1"/>
  <c r="F110" i="14"/>
  <c r="G110" i="14" s="1"/>
  <c r="C107" i="14"/>
  <c r="D107" i="14" s="1"/>
  <c r="C105" i="14"/>
  <c r="D105" i="14" s="1"/>
  <c r="C102" i="14"/>
  <c r="D102" i="14" s="1"/>
  <c r="C100" i="14"/>
  <c r="D100" i="14" s="1"/>
  <c r="F97" i="14"/>
  <c r="G97" i="14" s="1"/>
  <c r="F95" i="14"/>
  <c r="G95" i="14" s="1"/>
  <c r="F93" i="14"/>
  <c r="G93" i="14" s="1"/>
  <c r="F91" i="14"/>
  <c r="G91" i="14" s="1"/>
  <c r="F89" i="14"/>
  <c r="G89" i="14" s="1"/>
  <c r="F87" i="14"/>
  <c r="G87" i="14" s="1"/>
  <c r="F84" i="14"/>
  <c r="G84" i="14" s="1"/>
  <c r="C82" i="14"/>
  <c r="D82" i="14" s="1"/>
  <c r="F79" i="14"/>
  <c r="G79" i="14" s="1"/>
  <c r="F77" i="14"/>
  <c r="G77" i="14" s="1"/>
  <c r="C75" i="14"/>
  <c r="D75" i="14" s="1"/>
  <c r="F72" i="14"/>
  <c r="G72" i="14" s="1"/>
  <c r="F68" i="14"/>
  <c r="G68" i="14" s="1"/>
  <c r="F66" i="14"/>
  <c r="G66" i="14" s="1"/>
  <c r="F64" i="14"/>
  <c r="G64" i="14" s="1"/>
  <c r="F62" i="14"/>
  <c r="G62" i="14" s="1"/>
  <c r="F60" i="14"/>
  <c r="G60" i="14" s="1"/>
  <c r="C58" i="14"/>
  <c r="D58" i="14" s="1"/>
  <c r="C55" i="14"/>
  <c r="D55" i="14" s="1"/>
  <c r="C53" i="14"/>
  <c r="D53" i="14" s="1"/>
  <c r="C50" i="14"/>
  <c r="D50" i="14" s="1"/>
  <c r="C48" i="14"/>
  <c r="D48" i="14" s="1"/>
  <c r="C46" i="14"/>
  <c r="D46" i="14" s="1"/>
  <c r="F43" i="14"/>
  <c r="G43" i="14" s="1"/>
  <c r="C41" i="14"/>
  <c r="D41" i="14" s="1"/>
  <c r="F7" i="14"/>
  <c r="G7" i="14" s="1"/>
  <c r="F10" i="14"/>
  <c r="G10" i="14" s="1"/>
  <c r="F12" i="14"/>
  <c r="G12" i="14" s="1"/>
  <c r="F14" i="14"/>
  <c r="G14" i="14" s="1"/>
  <c r="F16" i="14"/>
  <c r="G16" i="14" s="1"/>
  <c r="F18" i="14"/>
  <c r="G18" i="14" s="1"/>
  <c r="F20" i="14"/>
  <c r="G20" i="14" s="1"/>
  <c r="F23" i="14"/>
  <c r="G23" i="14" s="1"/>
  <c r="C26" i="14"/>
  <c r="D26" i="14" s="1"/>
  <c r="C28" i="14"/>
  <c r="D28" i="14" s="1"/>
  <c r="F30" i="14"/>
  <c r="G30" i="14" s="1"/>
  <c r="C34" i="14"/>
  <c r="D34" i="14" s="1"/>
  <c r="F37" i="14"/>
  <c r="G37" i="14" s="1"/>
  <c r="F40" i="14"/>
  <c r="G40" i="14" s="1"/>
  <c r="F45" i="14"/>
  <c r="G45" i="14" s="1"/>
  <c r="F49" i="14"/>
  <c r="G49" i="14" s="1"/>
  <c r="F54" i="14"/>
  <c r="G54" i="14" s="1"/>
  <c r="J38" i="6" s="1"/>
  <c r="I28" i="15" s="1"/>
  <c r="C60" i="14"/>
  <c r="D60" i="14" s="1"/>
  <c r="C64" i="14"/>
  <c r="D64" i="14" s="1"/>
  <c r="C68" i="14"/>
  <c r="D68" i="14" s="1"/>
  <c r="F74" i="14"/>
  <c r="G74" i="14" s="1"/>
  <c r="C79" i="14"/>
  <c r="D79" i="14" s="1"/>
  <c r="C84" i="14"/>
  <c r="D84" i="14" s="1"/>
  <c r="C89" i="14"/>
  <c r="D89" i="14" s="1"/>
  <c r="C93" i="14"/>
  <c r="D93" i="14" s="1"/>
  <c r="C97" i="14"/>
  <c r="D97" i="14" s="1"/>
  <c r="F101" i="14"/>
  <c r="G101" i="14" s="1"/>
  <c r="F106" i="14"/>
  <c r="G106" i="14" s="1"/>
  <c r="C112" i="14"/>
  <c r="D112" i="14" s="1"/>
  <c r="C116" i="14"/>
  <c r="D116" i="14" s="1"/>
  <c r="C120" i="14"/>
  <c r="D120" i="14" s="1"/>
  <c r="C125" i="14"/>
  <c r="D125" i="14" s="1"/>
  <c r="C129" i="14"/>
  <c r="D129" i="14" s="1"/>
  <c r="C133" i="14"/>
  <c r="D133" i="14" s="1"/>
  <c r="C137" i="14"/>
  <c r="D137" i="14" s="1"/>
  <c r="C141" i="14"/>
  <c r="D141" i="14" s="1"/>
  <c r="C145" i="14"/>
  <c r="D145" i="14" s="1"/>
  <c r="C149" i="14"/>
  <c r="D149" i="14" s="1"/>
  <c r="C153" i="14"/>
  <c r="D153" i="14" s="1"/>
  <c r="C157" i="14"/>
  <c r="D157" i="14" s="1"/>
  <c r="C161" i="14"/>
  <c r="D161" i="14" s="1"/>
  <c r="C165" i="14"/>
  <c r="D165" i="14" s="1"/>
  <c r="C173" i="14"/>
  <c r="D173" i="14" s="1"/>
  <c r="C181" i="14"/>
  <c r="D181" i="14" s="1"/>
  <c r="C189" i="14"/>
  <c r="D189" i="14" s="1"/>
  <c r="F197" i="14"/>
  <c r="G197" i="14" s="1"/>
  <c r="F31" i="14"/>
  <c r="G31" i="14" s="1"/>
  <c r="F5" i="14"/>
  <c r="G5" i="14" s="1"/>
  <c r="C8" i="14"/>
  <c r="D8" i="14" s="1"/>
  <c r="C11" i="14"/>
  <c r="D11" i="14" s="1"/>
  <c r="C15" i="14"/>
  <c r="D15" i="14" s="1"/>
  <c r="C17" i="14"/>
  <c r="D17" i="14" s="1"/>
  <c r="C19" i="14"/>
  <c r="D19" i="14" s="1"/>
  <c r="C24" i="14"/>
  <c r="D24" i="14" s="1"/>
  <c r="F26" i="14"/>
  <c r="G26" i="14" s="1"/>
  <c r="F28" i="14"/>
  <c r="G28" i="14" s="1"/>
  <c r="C31" i="14"/>
  <c r="D31" i="14" s="1"/>
  <c r="F35" i="14"/>
  <c r="G35" i="14" s="1"/>
  <c r="C38" i="14"/>
  <c r="D38" i="14" s="1"/>
  <c r="C42" i="14"/>
  <c r="D42" i="14" s="1"/>
  <c r="F46" i="14"/>
  <c r="G46" i="14" s="1"/>
  <c r="F51" i="14"/>
  <c r="G51" i="14" s="1"/>
  <c r="F55" i="14"/>
  <c r="G55" i="14" s="1"/>
  <c r="C61" i="14"/>
  <c r="D61" i="14" s="1"/>
  <c r="C65" i="14"/>
  <c r="D65" i="14" s="1"/>
  <c r="F70" i="14"/>
  <c r="G70" i="14" s="1"/>
  <c r="F75" i="14"/>
  <c r="G75" i="14" s="1"/>
  <c r="C80" i="14"/>
  <c r="D80" i="14" s="1"/>
  <c r="C86" i="14"/>
  <c r="D86" i="14" s="1"/>
  <c r="C90" i="14"/>
  <c r="D90" i="14" s="1"/>
  <c r="C94" i="14"/>
  <c r="D94" i="14" s="1"/>
  <c r="C98" i="14"/>
  <c r="D98" i="14" s="1"/>
  <c r="F102" i="14"/>
  <c r="G102" i="14" s="1"/>
  <c r="F107" i="14"/>
  <c r="G107" i="14" s="1"/>
  <c r="C113" i="14"/>
  <c r="D113" i="14" s="1"/>
  <c r="C117" i="14"/>
  <c r="D117" i="14" s="1"/>
  <c r="C121" i="14"/>
  <c r="D121" i="14" s="1"/>
  <c r="C126" i="14"/>
  <c r="D126" i="14" s="1"/>
  <c r="C130" i="14"/>
  <c r="D130" i="14" s="1"/>
  <c r="C134" i="14"/>
  <c r="D134" i="14" s="1"/>
  <c r="C138" i="14"/>
  <c r="D138" i="14" s="1"/>
  <c r="C142" i="14"/>
  <c r="D142" i="14" s="1"/>
  <c r="C146" i="14"/>
  <c r="D146" i="14" s="1"/>
  <c r="C150" i="14"/>
  <c r="D150" i="14" s="1"/>
  <c r="C154" i="14"/>
  <c r="D154" i="14" s="1"/>
  <c r="C158" i="14"/>
  <c r="D158" i="14" s="1"/>
  <c r="C162" i="14"/>
  <c r="D162" i="14" s="1"/>
  <c r="C167" i="14"/>
  <c r="D167" i="14" s="1"/>
  <c r="C175" i="14"/>
  <c r="D175" i="14" s="1"/>
  <c r="C183" i="14"/>
  <c r="D183" i="14" s="1"/>
  <c r="C191" i="14"/>
  <c r="D191" i="14" s="1"/>
  <c r="F199" i="14"/>
  <c r="G199" i="14" s="1"/>
  <c r="F9" i="14"/>
  <c r="G9" i="14" s="1"/>
  <c r="C204" i="14"/>
  <c r="D204" i="14" s="1"/>
  <c r="F6" i="14"/>
  <c r="G6" i="14" s="1"/>
  <c r="G43" i="12"/>
  <c r="C57" i="14"/>
  <c r="D57" i="14" s="1"/>
  <c r="C44" i="14"/>
  <c r="D44" i="14" s="1"/>
  <c r="F57" i="14"/>
  <c r="G57" i="14" s="1"/>
  <c r="C122" i="14"/>
  <c r="D122" i="14" s="1"/>
  <c r="F104" i="14"/>
  <c r="F1006" i="14"/>
  <c r="C9" i="14"/>
  <c r="D9" i="14" s="1"/>
  <c r="F69" i="14"/>
  <c r="G69" i="14" s="1"/>
  <c r="C6" i="14"/>
  <c r="D6" i="14" s="1"/>
  <c r="F22" i="14"/>
  <c r="G22" i="14" s="1"/>
  <c r="C163" i="17"/>
  <c r="D163" i="17" s="1"/>
  <c r="F110" i="27"/>
  <c r="F106" i="27"/>
  <c r="F103" i="27"/>
  <c r="G48" i="12"/>
  <c r="F25" i="17"/>
  <c r="F15" i="37"/>
  <c r="G15" i="37" s="1"/>
  <c r="H15" i="37" s="1"/>
  <c r="X102" i="43"/>
  <c r="C125" i="17"/>
  <c r="D125" i="17" s="1"/>
  <c r="L13" i="36"/>
  <c r="E28" i="42"/>
  <c r="F109" i="43"/>
  <c r="F130" i="43"/>
  <c r="M134" i="43"/>
  <c r="X111" i="43"/>
  <c r="F98" i="27"/>
  <c r="F127" i="27"/>
  <c r="F125" i="27"/>
  <c r="U115" i="27"/>
  <c r="AK72" i="27" s="1"/>
  <c r="F112" i="27"/>
  <c r="U112" i="27"/>
  <c r="AK69" i="27" s="1"/>
  <c r="F109" i="27"/>
  <c r="AF109" i="27"/>
  <c r="G26" i="37"/>
  <c r="H26" i="37" s="1"/>
  <c r="C72" i="17"/>
  <c r="D72" i="17" s="1"/>
  <c r="L12" i="37"/>
  <c r="M117" i="43"/>
  <c r="F132" i="43"/>
  <c r="F126" i="27"/>
  <c r="F124" i="27"/>
  <c r="U121" i="27"/>
  <c r="AK78" i="27" s="1"/>
  <c r="U110" i="27"/>
  <c r="AK67" i="27" s="1"/>
  <c r="C167" i="17"/>
  <c r="D167" i="17" s="1"/>
  <c r="M64" i="17"/>
  <c r="C68" i="17"/>
  <c r="D68" i="17" s="1"/>
  <c r="B15" i="15"/>
  <c r="F101" i="17"/>
  <c r="F82" i="17"/>
  <c r="H157" i="17"/>
  <c r="G167" i="17" s="1"/>
  <c r="H167" i="17" s="1"/>
  <c r="C71" i="17"/>
  <c r="H14" i="44"/>
  <c r="H22" i="44"/>
  <c r="H30" i="44"/>
  <c r="H38" i="44"/>
  <c r="H46" i="44"/>
  <c r="G27" i="37"/>
  <c r="H27" i="37" s="1"/>
  <c r="AB3" i="46"/>
  <c r="I5" i="46" s="1"/>
  <c r="B18" i="46"/>
  <c r="E18" i="46" s="1"/>
  <c r="G18" i="46" s="1"/>
  <c r="J18" i="46" s="1"/>
  <c r="AG89" i="43"/>
  <c r="AD132" i="43" s="1"/>
  <c r="AE132" i="43" s="1"/>
  <c r="AF132" i="43" s="1"/>
  <c r="AB110" i="43"/>
  <c r="AG65" i="27"/>
  <c r="AD115" i="27" s="1"/>
  <c r="AE115" i="27" s="1"/>
  <c r="AF115" i="27" s="1"/>
  <c r="H5" i="17"/>
  <c r="G14" i="17" s="1"/>
  <c r="C52" i="17"/>
  <c r="AG22" i="27"/>
  <c r="AD98" i="27" s="1"/>
  <c r="AE98" i="27" s="1"/>
  <c r="AF98" i="27" s="1"/>
  <c r="AG59" i="43"/>
  <c r="Z111" i="43" s="1"/>
  <c r="AA111" i="43" s="1"/>
  <c r="G7" i="12"/>
  <c r="I51" i="15" s="1"/>
  <c r="G10" i="116" s="1"/>
  <c r="H10" i="116" s="1"/>
  <c r="C127" i="17"/>
  <c r="C166" i="17"/>
  <c r="H14" i="51"/>
  <c r="E87" i="17"/>
  <c r="F87" i="17" s="1"/>
  <c r="F84" i="17"/>
  <c r="AG13" i="27"/>
  <c r="Z93" i="27" s="1"/>
  <c r="AA93" i="27" s="1"/>
  <c r="AB93" i="27" s="1"/>
  <c r="G40" i="12"/>
  <c r="H44" i="12"/>
  <c r="G64" i="12"/>
  <c r="I181" i="15" s="1"/>
  <c r="G65" i="12"/>
  <c r="I183" i="15" s="1"/>
  <c r="H81" i="12"/>
  <c r="V59" i="27"/>
  <c r="Q113" i="27" s="1"/>
  <c r="S113" i="27" s="1"/>
  <c r="U113" i="27" s="1"/>
  <c r="AK70" i="27" s="1"/>
  <c r="L84" i="17"/>
  <c r="M84" i="17" s="1"/>
  <c r="C14" i="37"/>
  <c r="E14" i="37" s="1"/>
  <c r="G14" i="37" s="1"/>
  <c r="H14" i="37" s="1"/>
  <c r="Q97" i="27"/>
  <c r="S97" i="27" s="1"/>
  <c r="U97" i="27" s="1"/>
  <c r="AK54" i="27" s="1"/>
  <c r="M140" i="17"/>
  <c r="M144" i="17" s="1"/>
  <c r="E9" i="42"/>
  <c r="C165" i="17"/>
  <c r="H25" i="17"/>
  <c r="H26" i="17" s="1"/>
  <c r="G110" i="17"/>
  <c r="H110" i="17" s="1"/>
  <c r="F122" i="17"/>
  <c r="F139" i="17"/>
  <c r="E143" i="17" s="1"/>
  <c r="F143" i="17" s="1"/>
  <c r="F12" i="36"/>
  <c r="G12" i="36" s="1"/>
  <c r="H12" i="36" s="1"/>
  <c r="H63" i="17"/>
  <c r="G71" i="17" s="1"/>
  <c r="F111" i="43"/>
  <c r="Q124" i="27"/>
  <c r="S124" i="27" s="1"/>
  <c r="U124" i="27" s="1"/>
  <c r="AK81" i="27" s="1"/>
  <c r="D11" i="43"/>
  <c r="G11" i="43" s="1"/>
  <c r="J11" i="43" s="1"/>
  <c r="D103" i="43" s="1"/>
  <c r="F115" i="43"/>
  <c r="D21" i="43"/>
  <c r="G21" i="43" s="1"/>
  <c r="J21" i="43" s="1"/>
  <c r="D113" i="43" s="1"/>
  <c r="B119" i="43"/>
  <c r="M7" i="17"/>
  <c r="L46" i="17"/>
  <c r="M46" i="17" s="1"/>
  <c r="M120" i="43"/>
  <c r="C33" i="17"/>
  <c r="E40" i="42"/>
  <c r="E32" i="42"/>
  <c r="E24" i="42"/>
  <c r="E16" i="42"/>
  <c r="B116" i="43"/>
  <c r="F108" i="43"/>
  <c r="F114" i="43"/>
  <c r="F117" i="43"/>
  <c r="M122" i="43"/>
  <c r="F126" i="43"/>
  <c r="F128" i="43"/>
  <c r="M130" i="43"/>
  <c r="F134" i="43"/>
  <c r="F136" i="43"/>
  <c r="M138" i="43"/>
  <c r="B101" i="43"/>
  <c r="B123" i="43"/>
  <c r="B137" i="43"/>
  <c r="F120" i="17"/>
  <c r="E127" i="17" s="1"/>
  <c r="AG22" i="43"/>
  <c r="AD101" i="43" s="1"/>
  <c r="AE101" i="43" s="1"/>
  <c r="AF101" i="43" s="1"/>
  <c r="AG80" i="43"/>
  <c r="Z129" i="43" s="1"/>
  <c r="AA129" i="43" s="1"/>
  <c r="AB129" i="43" s="1"/>
  <c r="AG43" i="43"/>
  <c r="AD108" i="43" s="1"/>
  <c r="AE108" i="43" s="1"/>
  <c r="AF108" i="43" s="1"/>
  <c r="V63" i="43"/>
  <c r="Q113" i="43" s="1"/>
  <c r="S113" i="43" s="1"/>
  <c r="H66" i="43"/>
  <c r="I101" i="43" s="1"/>
  <c r="J101" i="43" s="1"/>
  <c r="AJ55" i="43" s="1"/>
  <c r="AG86" i="27"/>
  <c r="AD125" i="27" s="1"/>
  <c r="AE125" i="27" s="1"/>
  <c r="AF125" i="27" s="1"/>
  <c r="AG77" i="27"/>
  <c r="Z128" i="27" s="1"/>
  <c r="AA128" i="27" s="1"/>
  <c r="AB128" i="27" s="1"/>
  <c r="U123" i="27"/>
  <c r="AK80" i="27" s="1"/>
  <c r="U122" i="27"/>
  <c r="AK79" i="27" s="1"/>
  <c r="U119" i="27"/>
  <c r="AK76" i="27" s="1"/>
  <c r="U118" i="27"/>
  <c r="AK75" i="27" s="1"/>
  <c r="U114" i="27"/>
  <c r="AK71" i="27" s="1"/>
  <c r="V36" i="27"/>
  <c r="Q104" i="27" s="1"/>
  <c r="S104" i="27" s="1"/>
  <c r="U104" i="27" s="1"/>
  <c r="AK61" i="27" s="1"/>
  <c r="G29" i="12"/>
  <c r="H78" i="12"/>
  <c r="G75" i="12"/>
  <c r="G73" i="12"/>
  <c r="D218" i="15" s="1"/>
  <c r="I231" i="15" s="1"/>
  <c r="H64" i="12"/>
  <c r="H80" i="12"/>
  <c r="G77" i="12"/>
  <c r="H71" i="12"/>
  <c r="G62" i="12"/>
  <c r="I579" i="15" s="1"/>
  <c r="H60" i="12"/>
  <c r="G41" i="12"/>
  <c r="G38" i="12"/>
  <c r="C218" i="15" s="1"/>
  <c r="I226" i="15" s="1"/>
  <c r="G36" i="12"/>
  <c r="I212" i="15" s="1"/>
  <c r="G33" i="12"/>
  <c r="G81" i="12"/>
  <c r="G78" i="12"/>
  <c r="G76" i="12"/>
  <c r="G58" i="12"/>
  <c r="I577" i="15" s="1"/>
  <c r="G57" i="12"/>
  <c r="G56" i="12"/>
  <c r="G52" i="12"/>
  <c r="Q251" i="15" s="1"/>
  <c r="I273" i="15" s="1"/>
  <c r="H46" i="12"/>
  <c r="G39" i="12"/>
  <c r="H26" i="12"/>
  <c r="G66" i="12"/>
  <c r="H69" i="12"/>
  <c r="G67" i="12"/>
  <c r="I296" i="15" s="1"/>
  <c r="G46" i="12"/>
  <c r="G72" i="12"/>
  <c r="E218" i="15" s="1"/>
  <c r="I236" i="15" s="1"/>
  <c r="H61" i="12"/>
  <c r="G44" i="12"/>
  <c r="H9" i="12"/>
  <c r="H65" i="12"/>
  <c r="H52" i="12"/>
  <c r="H40" i="12"/>
  <c r="H33" i="12"/>
  <c r="G69" i="12"/>
  <c r="O292" i="15" s="1"/>
  <c r="G61" i="12"/>
  <c r="F603" i="15" s="1"/>
  <c r="I603" i="15" s="1"/>
  <c r="H39" i="12"/>
  <c r="H25" i="12"/>
  <c r="G80" i="12"/>
  <c r="G71" i="12"/>
  <c r="O294" i="15" s="1"/>
  <c r="H66" i="12"/>
  <c r="H48" i="12"/>
  <c r="G35" i="12"/>
  <c r="I204" i="15" s="1"/>
  <c r="G32" i="12"/>
  <c r="I53" i="15" s="1"/>
  <c r="G28" i="12"/>
  <c r="I304" i="15" s="1"/>
  <c r="G25" i="12"/>
  <c r="G45" i="12"/>
  <c r="H45" i="12"/>
  <c r="H43" i="12"/>
  <c r="H41" i="12"/>
  <c r="H35" i="12"/>
  <c r="G34" i="12"/>
  <c r="I300" i="15" s="1"/>
  <c r="G30" i="12"/>
  <c r="H29" i="12"/>
  <c r="F28" i="12"/>
  <c r="H28" i="12" s="1"/>
  <c r="G26" i="12"/>
  <c r="G8" i="12"/>
  <c r="G21" i="51"/>
  <c r="H21" i="51" s="1"/>
  <c r="D89" i="17"/>
  <c r="D92" i="17" s="1"/>
  <c r="E407" i="15" s="1"/>
  <c r="E408" i="15" s="1"/>
  <c r="I408" i="15" s="1"/>
  <c r="G68" i="17"/>
  <c r="H68" i="17" s="1"/>
  <c r="G60" i="12"/>
  <c r="G53" i="12"/>
  <c r="R251" i="15" s="1"/>
  <c r="I275" i="15" s="1"/>
  <c r="H32" i="12"/>
  <c r="D93" i="17"/>
  <c r="D95" i="17"/>
  <c r="E406" i="15"/>
  <c r="D94" i="17"/>
  <c r="M49" i="17"/>
  <c r="M48" i="17"/>
  <c r="H141" i="17"/>
  <c r="D108" i="17"/>
  <c r="D111" i="17" s="1"/>
  <c r="E418" i="15" s="1"/>
  <c r="E419" i="15" s="1"/>
  <c r="I419" i="15" s="1"/>
  <c r="G108" i="17"/>
  <c r="E48" i="42"/>
  <c r="H102" i="17"/>
  <c r="M102" i="43"/>
  <c r="G109" i="17"/>
  <c r="H103" i="17"/>
  <c r="D107" i="17"/>
  <c r="E420" i="15" s="1"/>
  <c r="I421" i="15" s="1"/>
  <c r="M121" i="43"/>
  <c r="M101" i="43"/>
  <c r="G105" i="17"/>
  <c r="H105" i="17" s="1"/>
  <c r="C144" i="17"/>
  <c r="D144" i="17" s="1"/>
  <c r="C30" i="17"/>
  <c r="D30" i="17" s="1"/>
  <c r="M110" i="43"/>
  <c r="H65" i="17"/>
  <c r="E46" i="42"/>
  <c r="E42" i="42"/>
  <c r="E38" i="42"/>
  <c r="E34" i="42"/>
  <c r="E30" i="42"/>
  <c r="E26" i="42"/>
  <c r="E22" i="42"/>
  <c r="E18" i="42"/>
  <c r="E14" i="42"/>
  <c r="E10" i="42"/>
  <c r="M119" i="43"/>
  <c r="M106" i="43"/>
  <c r="X121" i="43"/>
  <c r="M124" i="43"/>
  <c r="M128" i="43"/>
  <c r="M132" i="43"/>
  <c r="M136" i="43"/>
  <c r="M140" i="43"/>
  <c r="AB119" i="43"/>
  <c r="B100" i="43"/>
  <c r="B103" i="43"/>
  <c r="B121" i="43"/>
  <c r="B127" i="43"/>
  <c r="B133" i="43"/>
  <c r="B139" i="43"/>
  <c r="C32" i="17"/>
  <c r="C14" i="17"/>
  <c r="C15" i="36"/>
  <c r="E15" i="36" s="1"/>
  <c r="G15" i="36" s="1"/>
  <c r="H15" i="36" s="1"/>
  <c r="E13" i="36"/>
  <c r="G13" i="36" s="1"/>
  <c r="H13" i="36" s="1"/>
  <c r="I109" i="27"/>
  <c r="I94" i="27"/>
  <c r="J94" i="27" s="1"/>
  <c r="AJ52" i="27" s="1"/>
  <c r="I121" i="27"/>
  <c r="J121" i="27" s="1"/>
  <c r="AJ79" i="27" s="1"/>
  <c r="I114" i="27"/>
  <c r="J114" i="27" s="1"/>
  <c r="AJ72" i="27" s="1"/>
  <c r="I93" i="27"/>
  <c r="J93" i="27" s="1"/>
  <c r="AJ51" i="27" s="1"/>
  <c r="I96" i="27"/>
  <c r="J96" i="27" s="1"/>
  <c r="AJ54" i="27" s="1"/>
  <c r="I124" i="27"/>
  <c r="I115" i="27"/>
  <c r="J115" i="27" s="1"/>
  <c r="AJ73" i="27" s="1"/>
  <c r="I92" i="27"/>
  <c r="J92" i="27" s="1"/>
  <c r="AJ50" i="27" s="1"/>
  <c r="I126" i="27"/>
  <c r="I118" i="27"/>
  <c r="J118" i="27" s="1"/>
  <c r="AJ76" i="27" s="1"/>
  <c r="I104" i="27"/>
  <c r="J104" i="27" s="1"/>
  <c r="AJ62" i="27" s="1"/>
  <c r="I111" i="27"/>
  <c r="J111" i="27" s="1"/>
  <c r="AJ69" i="27" s="1"/>
  <c r="I127" i="27"/>
  <c r="I120" i="27"/>
  <c r="J120" i="27" s="1"/>
  <c r="AJ78" i="27" s="1"/>
  <c r="I106" i="27"/>
  <c r="I103" i="27"/>
  <c r="Z138" i="43"/>
  <c r="AA138" i="43" s="1"/>
  <c r="Z137" i="43"/>
  <c r="AA137" i="43" s="1"/>
  <c r="AB137" i="43" s="1"/>
  <c r="AD107" i="43"/>
  <c r="AE107" i="43" s="1"/>
  <c r="AF107" i="43" s="1"/>
  <c r="I105" i="43"/>
  <c r="I122" i="43"/>
  <c r="J122" i="43" s="1"/>
  <c r="AJ76" i="43" s="1"/>
  <c r="Q105" i="27"/>
  <c r="S105" i="27" s="1"/>
  <c r="U105" i="27" s="1"/>
  <c r="AK62" i="27" s="1"/>
  <c r="C5" i="14"/>
  <c r="C1006" i="14"/>
  <c r="V17" i="43"/>
  <c r="Q101" i="43" s="1"/>
  <c r="S101" i="43" s="1"/>
  <c r="U101" i="43" s="1"/>
  <c r="AK54" i="43" s="1"/>
  <c r="D141" i="17"/>
  <c r="AG13" i="43"/>
  <c r="Z101" i="43" s="1"/>
  <c r="AA101" i="43" s="1"/>
  <c r="G24" i="36"/>
  <c r="H24" i="36" s="1"/>
  <c r="X107" i="43"/>
  <c r="AB107" i="43" s="1"/>
  <c r="M113" i="43"/>
  <c r="G147" i="17"/>
  <c r="G148" i="17"/>
  <c r="H148" i="17" s="1"/>
  <c r="AI53" i="27"/>
  <c r="Q99" i="27"/>
  <c r="S99" i="27" s="1"/>
  <c r="U99" i="27" s="1"/>
  <c r="AK56" i="27" s="1"/>
  <c r="Q93" i="27"/>
  <c r="S93" i="27" s="1"/>
  <c r="U93" i="27" s="1"/>
  <c r="AK50" i="27" s="1"/>
  <c r="D159" i="17"/>
  <c r="D161" i="17" s="1"/>
  <c r="E47" i="42"/>
  <c r="G125" i="17"/>
  <c r="H125" i="17" s="1"/>
  <c r="H120" i="17"/>
  <c r="H121" i="17" s="1"/>
  <c r="H84" i="17"/>
  <c r="H85" i="17" s="1"/>
  <c r="AD126" i="43"/>
  <c r="AE126" i="43" s="1"/>
  <c r="AF126" i="43" s="1"/>
  <c r="AD136" i="43"/>
  <c r="AE136" i="43" s="1"/>
  <c r="AF136" i="43" s="1"/>
  <c r="AD133" i="43"/>
  <c r="AE133" i="43" s="1"/>
  <c r="AF133" i="43" s="1"/>
  <c r="M47" i="17"/>
  <c r="AB116" i="43"/>
  <c r="Q127" i="27"/>
  <c r="S127" i="27" s="1"/>
  <c r="U127" i="27" s="1"/>
  <c r="AK84" i="27" s="1"/>
  <c r="B107" i="43"/>
  <c r="B126" i="43"/>
  <c r="B134" i="43"/>
  <c r="C11" i="17"/>
  <c r="D11" i="17" s="1"/>
  <c r="X118" i="43"/>
  <c r="AB118" i="43" s="1"/>
  <c r="G49" i="17"/>
  <c r="H49" i="17" s="1"/>
  <c r="C48" i="17"/>
  <c r="D48" i="17" s="1"/>
  <c r="D19" i="43"/>
  <c r="G19" i="43" s="1"/>
  <c r="J19" i="43" s="1"/>
  <c r="D111" i="43" s="1"/>
  <c r="X101" i="43"/>
  <c r="E45" i="42"/>
  <c r="E43" i="42"/>
  <c r="E41" i="42"/>
  <c r="E39" i="42"/>
  <c r="E37" i="42"/>
  <c r="E35" i="42"/>
  <c r="E33" i="42"/>
  <c r="E31" i="42"/>
  <c r="E29" i="42"/>
  <c r="E27" i="42"/>
  <c r="E25" i="42"/>
  <c r="E23" i="42"/>
  <c r="E21" i="42"/>
  <c r="E19" i="42"/>
  <c r="E17" i="42"/>
  <c r="E15" i="42"/>
  <c r="E13" i="42"/>
  <c r="D36" i="43"/>
  <c r="G36" i="43" s="1"/>
  <c r="J36" i="43" s="1"/>
  <c r="D128" i="43" s="1"/>
  <c r="D44" i="43"/>
  <c r="G44" i="43" s="1"/>
  <c r="J44" i="43" s="1"/>
  <c r="D136" i="43" s="1"/>
  <c r="C143" i="17"/>
  <c r="D143" i="17" s="1"/>
  <c r="X109" i="43"/>
  <c r="AB109" i="43" s="1"/>
  <c r="D32" i="43"/>
  <c r="G32" i="43" s="1"/>
  <c r="J32" i="43" s="1"/>
  <c r="D124" i="43" s="1"/>
  <c r="D40" i="43"/>
  <c r="G40" i="43" s="1"/>
  <c r="J40" i="43" s="1"/>
  <c r="D132" i="43" s="1"/>
  <c r="X123" i="43"/>
  <c r="X131" i="43"/>
  <c r="X139" i="43"/>
  <c r="F22" i="36"/>
  <c r="G22" i="36" s="1"/>
  <c r="H22" i="36" s="1"/>
  <c r="B117" i="43"/>
  <c r="B122" i="43"/>
  <c r="B138" i="43"/>
  <c r="AG34" i="43"/>
  <c r="Z103" i="43" s="1"/>
  <c r="AA103" i="43" s="1"/>
  <c r="AB103" i="43" s="1"/>
  <c r="V82" i="43"/>
  <c r="Q128" i="43" s="1"/>
  <c r="S128" i="43" s="1"/>
  <c r="V36" i="43"/>
  <c r="Q109" i="43" s="1"/>
  <c r="S109" i="43" s="1"/>
  <c r="U109" i="43" s="1"/>
  <c r="AK62" i="43" s="1"/>
  <c r="AG68" i="43"/>
  <c r="AD116" i="43" s="1"/>
  <c r="AE116" i="43" s="1"/>
  <c r="AF116" i="43" s="1"/>
  <c r="AG43" i="27"/>
  <c r="AD107" i="27" s="1"/>
  <c r="AE107" i="27" s="1"/>
  <c r="AF107" i="27" s="1"/>
  <c r="AG34" i="27"/>
  <c r="Z100" i="27" s="1"/>
  <c r="AA100" i="27" s="1"/>
  <c r="H76" i="12"/>
  <c r="M11" i="17"/>
  <c r="H8" i="12"/>
  <c r="G59" i="12"/>
  <c r="I578" i="15" s="1"/>
  <c r="D88" i="17"/>
  <c r="E409" i="15" s="1"/>
  <c r="I409" i="15" s="1"/>
  <c r="C10" i="17"/>
  <c r="D10" i="17" s="1"/>
  <c r="C67" i="17"/>
  <c r="D67" i="17" s="1"/>
  <c r="C162" i="17"/>
  <c r="D162" i="17" s="1"/>
  <c r="D164" i="17" s="1"/>
  <c r="E440" i="15" s="1"/>
  <c r="I441" i="15" s="1"/>
  <c r="H75" i="12"/>
  <c r="G70" i="12"/>
  <c r="I286" i="15" s="1"/>
  <c r="H70" i="12"/>
  <c r="F59" i="12"/>
  <c r="H59" i="12" s="1"/>
  <c r="M104" i="17"/>
  <c r="M106" i="17"/>
  <c r="M105" i="17"/>
  <c r="M28" i="17"/>
  <c r="M30" i="17"/>
  <c r="D4" i="116"/>
  <c r="F31" i="95"/>
  <c r="G31" i="95" s="1"/>
  <c r="K133" i="11"/>
  <c r="G13" i="34" s="1"/>
  <c r="D2" i="112"/>
  <c r="C2" i="95"/>
  <c r="D3" i="112"/>
  <c r="D3" i="108" s="1"/>
  <c r="A2" i="117"/>
  <c r="G146" i="17"/>
  <c r="H140" i="17"/>
  <c r="X96" i="27"/>
  <c r="AB96" i="27" s="1"/>
  <c r="B12" i="28"/>
  <c r="Z136" i="43"/>
  <c r="AA136" i="43" s="1"/>
  <c r="I99" i="27"/>
  <c r="J99" i="27" s="1"/>
  <c r="AJ57" i="27" s="1"/>
  <c r="I102" i="27"/>
  <c r="J102" i="27" s="1"/>
  <c r="AJ60" i="27" s="1"/>
  <c r="I113" i="27"/>
  <c r="J113" i="27" s="1"/>
  <c r="AJ71" i="27" s="1"/>
  <c r="I117" i="27"/>
  <c r="J117" i="27" s="1"/>
  <c r="AJ75" i="27" s="1"/>
  <c r="I122" i="27"/>
  <c r="J122" i="27" s="1"/>
  <c r="AJ80" i="27" s="1"/>
  <c r="I125" i="27"/>
  <c r="J125" i="27" s="1"/>
  <c r="AJ83" i="27" s="1"/>
  <c r="I95" i="27"/>
  <c r="J95" i="27" s="1"/>
  <c r="AJ53" i="27" s="1"/>
  <c r="I98" i="27"/>
  <c r="I100" i="27"/>
  <c r="J100" i="27" s="1"/>
  <c r="AJ58" i="27" s="1"/>
  <c r="I108" i="27"/>
  <c r="J108" i="27" s="1"/>
  <c r="AJ66" i="27" s="1"/>
  <c r="I116" i="27"/>
  <c r="J116" i="27" s="1"/>
  <c r="AJ74" i="27" s="1"/>
  <c r="I119" i="27"/>
  <c r="J119" i="27" s="1"/>
  <c r="AJ77" i="27" s="1"/>
  <c r="I123" i="27"/>
  <c r="J123" i="27" s="1"/>
  <c r="AJ81" i="27" s="1"/>
  <c r="I97" i="27"/>
  <c r="J97" i="27" s="1"/>
  <c r="AJ55" i="27" s="1"/>
  <c r="I105" i="27"/>
  <c r="J105" i="27" s="1"/>
  <c r="AJ63" i="27" s="1"/>
  <c r="I107" i="27"/>
  <c r="J107" i="27" s="1"/>
  <c r="AJ65" i="27" s="1"/>
  <c r="I110" i="27"/>
  <c r="J110" i="27" s="1"/>
  <c r="AJ68" i="27" s="1"/>
  <c r="I101" i="27"/>
  <c r="J101" i="27" s="1"/>
  <c r="AJ59" i="27" s="1"/>
  <c r="E14" i="17"/>
  <c r="G129" i="17"/>
  <c r="H129" i="17" s="1"/>
  <c r="D64" i="17"/>
  <c r="D66" i="17" s="1"/>
  <c r="E396" i="15" s="1"/>
  <c r="Q126" i="27"/>
  <c r="S126" i="27" s="1"/>
  <c r="U126" i="27" s="1"/>
  <c r="AK83" i="27" s="1"/>
  <c r="Q128" i="27"/>
  <c r="S128" i="27" s="1"/>
  <c r="U128" i="27" s="1"/>
  <c r="AK85" i="27" s="1"/>
  <c r="M104" i="43"/>
  <c r="C146" i="17"/>
  <c r="C15" i="17"/>
  <c r="D15" i="17" s="1"/>
  <c r="D8" i="17"/>
  <c r="B113" i="43"/>
  <c r="B115" i="43"/>
  <c r="X120" i="43"/>
  <c r="AB120" i="43" s="1"/>
  <c r="D17" i="43"/>
  <c r="G17" i="43" s="1"/>
  <c r="J17" i="43" s="1"/>
  <c r="D109" i="43" s="1"/>
  <c r="G89" i="17"/>
  <c r="G53" i="17"/>
  <c r="H53" i="17" s="1"/>
  <c r="C53" i="17"/>
  <c r="D53" i="17" s="1"/>
  <c r="C49" i="17"/>
  <c r="D49" i="17" s="1"/>
  <c r="H44" i="17"/>
  <c r="H45" i="17" s="1"/>
  <c r="H47" i="17" s="1"/>
  <c r="F158" i="17"/>
  <c r="E166" i="17" s="1"/>
  <c r="X117" i="43"/>
  <c r="AB117" i="43" s="1"/>
  <c r="B118" i="43"/>
  <c r="D13" i="43"/>
  <c r="G13" i="43" s="1"/>
  <c r="J13" i="43" s="1"/>
  <c r="D105" i="43" s="1"/>
  <c r="F110" i="43"/>
  <c r="F107" i="43"/>
  <c r="F116" i="43"/>
  <c r="F112" i="43"/>
  <c r="AB108" i="43"/>
  <c r="F120" i="43"/>
  <c r="F121" i="43"/>
  <c r="X122" i="43"/>
  <c r="F123" i="43"/>
  <c r="X124" i="43"/>
  <c r="F125" i="43"/>
  <c r="X126" i="43"/>
  <c r="F127" i="43"/>
  <c r="X128" i="43"/>
  <c r="F129" i="43"/>
  <c r="X130" i="43"/>
  <c r="F131" i="43"/>
  <c r="X132" i="43"/>
  <c r="F133" i="43"/>
  <c r="X134" i="43"/>
  <c r="F135" i="43"/>
  <c r="X136" i="43"/>
  <c r="F137" i="43"/>
  <c r="X138" i="43"/>
  <c r="F139" i="43"/>
  <c r="X140" i="43"/>
  <c r="D22" i="43"/>
  <c r="G22" i="43" s="1"/>
  <c r="J22" i="43" s="1"/>
  <c r="D114" i="43" s="1"/>
  <c r="B105" i="43"/>
  <c r="B109" i="43"/>
  <c r="B120" i="43"/>
  <c r="B125" i="43"/>
  <c r="B129" i="43"/>
  <c r="B131" i="43"/>
  <c r="B135" i="43"/>
  <c r="U120" i="27"/>
  <c r="AK77" i="27" s="1"/>
  <c r="G22" i="51"/>
  <c r="H22" i="51" s="1"/>
  <c r="L19" i="6"/>
  <c r="K16" i="15" s="1"/>
  <c r="C108" i="14"/>
  <c r="D108" i="14" s="1"/>
  <c r="C69" i="14"/>
  <c r="D69" i="14" s="1"/>
  <c r="C99" i="14"/>
  <c r="D99" i="14" s="1"/>
  <c r="C30" i="14"/>
  <c r="D30" i="14" s="1"/>
  <c r="C70" i="14"/>
  <c r="D70" i="14" s="1"/>
  <c r="C85" i="14"/>
  <c r="D85" i="14" s="1"/>
  <c r="C83" i="14"/>
  <c r="D83" i="14" s="1"/>
  <c r="C77" i="14"/>
  <c r="D77" i="14" s="1"/>
  <c r="F108" i="14"/>
  <c r="G108" i="14" s="1"/>
  <c r="F103" i="14"/>
  <c r="G103" i="14" s="1"/>
  <c r="F204" i="14"/>
  <c r="G204" i="14" s="1"/>
  <c r="I492" i="15"/>
  <c r="I493" i="15"/>
  <c r="I459" i="15"/>
  <c r="H133" i="11"/>
  <c r="E13" i="34" s="1"/>
  <c r="D4" i="108"/>
  <c r="D4" i="110"/>
  <c r="D4" i="109"/>
  <c r="J52" i="6"/>
  <c r="I41" i="15" s="1"/>
  <c r="J51" i="6"/>
  <c r="I349" i="15" s="1"/>
  <c r="J56" i="6"/>
  <c r="H97" i="11"/>
  <c r="G16" i="36"/>
  <c r="H16" i="36" s="1"/>
  <c r="F10" i="15"/>
  <c r="E165" i="15" s="1"/>
  <c r="F14" i="15"/>
  <c r="G23" i="36"/>
  <c r="H23" i="36" s="1"/>
  <c r="E70" i="17"/>
  <c r="F31" i="15"/>
  <c r="Q95" i="27"/>
  <c r="S95" i="27" s="1"/>
  <c r="U95" i="27" s="1"/>
  <c r="AK52" i="27" s="1"/>
  <c r="Q98" i="27"/>
  <c r="S98" i="27" s="1"/>
  <c r="U98" i="27" s="1"/>
  <c r="AK55" i="27" s="1"/>
  <c r="Q96" i="27"/>
  <c r="S96" i="27" s="1"/>
  <c r="U96" i="27" s="1"/>
  <c r="AK53" i="27" s="1"/>
  <c r="I112" i="27"/>
  <c r="AD102" i="43"/>
  <c r="AE102" i="43" s="1"/>
  <c r="AF102" i="43" s="1"/>
  <c r="AD128" i="43"/>
  <c r="AE128" i="43" s="1"/>
  <c r="AF128" i="43" s="1"/>
  <c r="AD130" i="43"/>
  <c r="AE130" i="43" s="1"/>
  <c r="AF130" i="43" s="1"/>
  <c r="AD134" i="43"/>
  <c r="AE134" i="43" s="1"/>
  <c r="AF134" i="43" s="1"/>
  <c r="AD140" i="43"/>
  <c r="AE140" i="43" s="1"/>
  <c r="AF140" i="43" s="1"/>
  <c r="AD125" i="43"/>
  <c r="AE125" i="43" s="1"/>
  <c r="AF125" i="43" s="1"/>
  <c r="AD127" i="43"/>
  <c r="AE127" i="43" s="1"/>
  <c r="AF127" i="43" s="1"/>
  <c r="AD131" i="43"/>
  <c r="AE131" i="43" s="1"/>
  <c r="AF131" i="43" s="1"/>
  <c r="AD137" i="43"/>
  <c r="AE137" i="43" s="1"/>
  <c r="AF137" i="43" s="1"/>
  <c r="AB114" i="43"/>
  <c r="X95" i="27"/>
  <c r="AB95" i="27" s="1"/>
  <c r="B11" i="28"/>
  <c r="B54" i="28"/>
  <c r="D45" i="17"/>
  <c r="D47" i="17" s="1"/>
  <c r="D56" i="17" s="1"/>
  <c r="D7" i="17"/>
  <c r="D140" i="17"/>
  <c r="U116" i="27"/>
  <c r="AK73" i="27" s="1"/>
  <c r="U24" i="46"/>
  <c r="G127" i="17"/>
  <c r="M29" i="17"/>
  <c r="E106" i="17"/>
  <c r="F106" i="17" s="1"/>
  <c r="E109" i="17"/>
  <c r="E89" i="17"/>
  <c r="C129" i="17"/>
  <c r="D129" i="17" s="1"/>
  <c r="E48" i="17"/>
  <c r="F48" i="17" s="1"/>
  <c r="E90" i="17"/>
  <c r="E108" i="17"/>
  <c r="G90" i="17"/>
  <c r="E68" i="17"/>
  <c r="F68" i="17" s="1"/>
  <c r="G91" i="17"/>
  <c r="H91" i="17" s="1"/>
  <c r="D26" i="17"/>
  <c r="D28" i="17" s="1"/>
  <c r="D37" i="17" s="1"/>
  <c r="C128" i="17"/>
  <c r="C124" i="17"/>
  <c r="D124" i="17" s="1"/>
  <c r="D121" i="17"/>
  <c r="D123" i="17" s="1"/>
  <c r="D16" i="28"/>
  <c r="G16" i="28" s="1"/>
  <c r="D17" i="29" s="1"/>
  <c r="D17" i="28"/>
  <c r="G17" i="28" s="1"/>
  <c r="D18" i="29" s="1"/>
  <c r="D18" i="28"/>
  <c r="D20" i="28"/>
  <c r="G20" i="28" s="1"/>
  <c r="D21" i="29" s="1"/>
  <c r="D23" i="28"/>
  <c r="D25" i="28"/>
  <c r="G25" i="28" s="1"/>
  <c r="D26" i="29" s="1"/>
  <c r="D28" i="28"/>
  <c r="D30" i="28"/>
  <c r="G30" i="28" s="1"/>
  <c r="D31" i="29" s="1"/>
  <c r="D32" i="28"/>
  <c r="G32" i="28" s="1"/>
  <c r="D33" i="29" s="1"/>
  <c r="D33" i="28"/>
  <c r="G33" i="28" s="1"/>
  <c r="D34" i="29" s="1"/>
  <c r="D35" i="28"/>
  <c r="G35" i="28" s="1"/>
  <c r="D36" i="29" s="1"/>
  <c r="D38" i="28"/>
  <c r="G38" i="28" s="1"/>
  <c r="D39" i="29" s="1"/>
  <c r="D40" i="28"/>
  <c r="G40" i="28" s="1"/>
  <c r="D41" i="29" s="1"/>
  <c r="D42" i="28"/>
  <c r="G42" i="28" s="1"/>
  <c r="D43" i="29" s="1"/>
  <c r="D44" i="28"/>
  <c r="D12" i="28"/>
  <c r="D15" i="28"/>
  <c r="G15" i="28" s="1"/>
  <c r="D16" i="29" s="1"/>
  <c r="D10" i="28"/>
  <c r="G10" i="28" s="1"/>
  <c r="D11" i="29" s="1"/>
  <c r="D19" i="28"/>
  <c r="G19" i="28" s="1"/>
  <c r="D20" i="29" s="1"/>
  <c r="D21" i="28"/>
  <c r="D22" i="28"/>
  <c r="G22" i="28" s="1"/>
  <c r="D23" i="29" s="1"/>
  <c r="D24" i="28"/>
  <c r="G24" i="28" s="1"/>
  <c r="D25" i="29" s="1"/>
  <c r="D26" i="28"/>
  <c r="D27" i="28"/>
  <c r="D29" i="28"/>
  <c r="D31" i="28"/>
  <c r="D34" i="28"/>
  <c r="D36" i="28"/>
  <c r="G36" i="28" s="1"/>
  <c r="D37" i="29" s="1"/>
  <c r="D37" i="28"/>
  <c r="G37" i="28" s="1"/>
  <c r="D38" i="29" s="1"/>
  <c r="D39" i="28"/>
  <c r="G39" i="28" s="1"/>
  <c r="D40" i="29" s="1"/>
  <c r="D41" i="28"/>
  <c r="D43" i="28"/>
  <c r="D13" i="28"/>
  <c r="G13" i="28" s="1"/>
  <c r="D14" i="29" s="1"/>
  <c r="D14" i="28"/>
  <c r="G14" i="28" s="1"/>
  <c r="D15" i="29" s="1"/>
  <c r="D11" i="28"/>
  <c r="G11" i="28" s="1"/>
  <c r="D12" i="29" s="1"/>
  <c r="D9" i="28"/>
  <c r="G9" i="28" s="1"/>
  <c r="D10" i="29" s="1"/>
  <c r="E86" i="17"/>
  <c r="F86" i="17" s="1"/>
  <c r="C51" i="17"/>
  <c r="D51" i="17" s="1"/>
  <c r="H34" i="12"/>
  <c r="AB105" i="43"/>
  <c r="H57" i="12"/>
  <c r="H123" i="17"/>
  <c r="H132" i="17" s="1"/>
  <c r="G13" i="17"/>
  <c r="H13" i="17" s="1"/>
  <c r="G11" i="17"/>
  <c r="H11" i="17" s="1"/>
  <c r="F83" i="17"/>
  <c r="E91" i="17"/>
  <c r="F91" i="17" s="1"/>
  <c r="G86" i="17"/>
  <c r="H86" i="17" s="1"/>
  <c r="H88" i="17" s="1"/>
  <c r="E72" i="17"/>
  <c r="F72" i="17" s="1"/>
  <c r="C147" i="17"/>
  <c r="E144" i="17"/>
  <c r="F144" i="17" s="1"/>
  <c r="AB106" i="43"/>
  <c r="H67" i="12"/>
  <c r="H109" i="11"/>
  <c r="C4" i="95"/>
  <c r="H5" i="95" s="1"/>
  <c r="L4" i="95" s="1"/>
  <c r="L10" i="51"/>
  <c r="L16" i="51"/>
  <c r="L18" i="51"/>
  <c r="L12" i="51"/>
  <c r="L17" i="51"/>
  <c r="L22" i="51"/>
  <c r="L8" i="51"/>
  <c r="L15" i="51"/>
  <c r="L23" i="51"/>
  <c r="L25" i="51"/>
  <c r="E26" i="36"/>
  <c r="F26" i="36"/>
  <c r="E11" i="17"/>
  <c r="F11" i="17" s="1"/>
  <c r="F8" i="17"/>
  <c r="F9" i="17" s="1"/>
  <c r="F17" i="17" s="1"/>
  <c r="AD126" i="27"/>
  <c r="AE126" i="27" s="1"/>
  <c r="AF126" i="27" s="1"/>
  <c r="AD128" i="27"/>
  <c r="AE128" i="27" s="1"/>
  <c r="AF128" i="27" s="1"/>
  <c r="Z124" i="27"/>
  <c r="AA124" i="27" s="1"/>
  <c r="Z126" i="27"/>
  <c r="AA126" i="27" s="1"/>
  <c r="M159" i="17"/>
  <c r="L160" i="17"/>
  <c r="M160" i="17" s="1"/>
  <c r="E105" i="17"/>
  <c r="F105" i="17" s="1"/>
  <c r="F102" i="17"/>
  <c r="F104" i="17" s="1"/>
  <c r="AD106" i="43"/>
  <c r="AE106" i="43" s="1"/>
  <c r="AF106" i="43" s="1"/>
  <c r="AD103" i="43"/>
  <c r="AE103" i="43" s="1"/>
  <c r="AF103" i="43" s="1"/>
  <c r="G15" i="17"/>
  <c r="H15" i="17" s="1"/>
  <c r="G10" i="17"/>
  <c r="H10" i="17" s="1"/>
  <c r="AD105" i="43"/>
  <c r="AE105" i="43" s="1"/>
  <c r="AF105" i="43" s="1"/>
  <c r="E110" i="17"/>
  <c r="F110" i="17" s="1"/>
  <c r="Q117" i="43"/>
  <c r="S117" i="43" s="1"/>
  <c r="U117" i="43" s="1"/>
  <c r="AK70" i="43" s="1"/>
  <c r="E71" i="17"/>
  <c r="F64" i="17"/>
  <c r="F66" i="17" s="1"/>
  <c r="C29" i="17"/>
  <c r="D29" i="17" s="1"/>
  <c r="D31" i="17" s="1"/>
  <c r="C70" i="17"/>
  <c r="D70" i="17" s="1"/>
  <c r="AB104" i="43"/>
  <c r="AB112" i="43"/>
  <c r="U22" i="46"/>
  <c r="U18" i="46"/>
  <c r="H56" i="12"/>
  <c r="H58" i="12"/>
  <c r="H62" i="12"/>
  <c r="H107" i="17"/>
  <c r="I56" i="15"/>
  <c r="H77" i="12"/>
  <c r="D9" i="42"/>
  <c r="G9" i="42" s="1"/>
  <c r="D10" i="44" s="1"/>
  <c r="D60" i="44" s="1"/>
  <c r="D43" i="42"/>
  <c r="D39" i="42"/>
  <c r="D35" i="42"/>
  <c r="D31" i="42"/>
  <c r="G31" i="42" s="1"/>
  <c r="D32" i="44" s="1"/>
  <c r="D82" i="44" s="1"/>
  <c r="D27" i="42"/>
  <c r="D21" i="42"/>
  <c r="D17" i="42"/>
  <c r="D13" i="42"/>
  <c r="D48" i="42"/>
  <c r="D46" i="42"/>
  <c r="D42" i="42"/>
  <c r="D38" i="42"/>
  <c r="D34" i="42"/>
  <c r="D30" i="42"/>
  <c r="D26" i="42"/>
  <c r="D22" i="42"/>
  <c r="D18" i="42"/>
  <c r="D14" i="42"/>
  <c r="D12" i="42"/>
  <c r="G12" i="42" s="1"/>
  <c r="D13" i="44" s="1"/>
  <c r="D63" i="44" s="1"/>
  <c r="D10" i="42"/>
  <c r="G10" i="42" s="1"/>
  <c r="D11" i="44" s="1"/>
  <c r="D61" i="44" s="1"/>
  <c r="D45" i="42"/>
  <c r="D41" i="42"/>
  <c r="G41" i="42" s="1"/>
  <c r="D42" i="44" s="1"/>
  <c r="D92" i="44" s="1"/>
  <c r="D37" i="42"/>
  <c r="D33" i="42"/>
  <c r="D29" i="42"/>
  <c r="G29" i="42" s="1"/>
  <c r="D30" i="44" s="1"/>
  <c r="D80" i="44" s="1"/>
  <c r="D25" i="42"/>
  <c r="D23" i="42"/>
  <c r="D19" i="42"/>
  <c r="D15" i="42"/>
  <c r="D11" i="42"/>
  <c r="G11" i="42" s="1"/>
  <c r="D12" i="44" s="1"/>
  <c r="D62" i="44" s="1"/>
  <c r="D47" i="42"/>
  <c r="D44" i="42"/>
  <c r="G44" i="42" s="1"/>
  <c r="D45" i="44" s="1"/>
  <c r="D95" i="44" s="1"/>
  <c r="D40" i="42"/>
  <c r="D36" i="42"/>
  <c r="G36" i="42" s="1"/>
  <c r="D37" i="44" s="1"/>
  <c r="D87" i="44" s="1"/>
  <c r="D32" i="42"/>
  <c r="G32" i="42" s="1"/>
  <c r="D33" i="44" s="1"/>
  <c r="D83" i="44" s="1"/>
  <c r="D28" i="42"/>
  <c r="D24" i="42"/>
  <c r="D20" i="42"/>
  <c r="G20" i="42" s="1"/>
  <c r="D21" i="44" s="1"/>
  <c r="D71" i="44" s="1"/>
  <c r="D16" i="42"/>
  <c r="E67" i="17"/>
  <c r="F67" i="17" s="1"/>
  <c r="M85" i="17"/>
  <c r="G22" i="37"/>
  <c r="H22" i="37" s="1"/>
  <c r="C13" i="17"/>
  <c r="D13" i="17" s="1"/>
  <c r="L27" i="51"/>
  <c r="L21" i="51"/>
  <c r="L26" i="51"/>
  <c r="L28" i="51"/>
  <c r="L9" i="51"/>
  <c r="L14" i="51"/>
  <c r="L7" i="51"/>
  <c r="L19" i="51"/>
  <c r="L11" i="51"/>
  <c r="L20" i="51"/>
  <c r="H80" i="11"/>
  <c r="H112" i="11"/>
  <c r="I452" i="15"/>
  <c r="F27" i="15"/>
  <c r="E83" i="15" s="1"/>
  <c r="J18" i="6"/>
  <c r="I15" i="15" s="1"/>
  <c r="I320" i="15" s="1"/>
  <c r="J12" i="6"/>
  <c r="I9" i="15" s="1"/>
  <c r="I129" i="15" s="1"/>
  <c r="E149" i="15"/>
  <c r="E32" i="17"/>
  <c r="E33" i="17"/>
  <c r="H15" i="46"/>
  <c r="J16" i="46"/>
  <c r="M87" i="17"/>
  <c r="F16" i="37"/>
  <c r="C21" i="37"/>
  <c r="AD135" i="43"/>
  <c r="AE135" i="43" s="1"/>
  <c r="AF135" i="43" s="1"/>
  <c r="H53" i="12"/>
  <c r="H7" i="12"/>
  <c r="H36" i="12"/>
  <c r="H73" i="12"/>
  <c r="H38" i="12"/>
  <c r="G53" i="6"/>
  <c r="H72" i="12"/>
  <c r="H30" i="12"/>
  <c r="E34" i="17"/>
  <c r="F34" i="17" s="1"/>
  <c r="E30" i="17"/>
  <c r="F30" i="17" s="1"/>
  <c r="F27" i="17"/>
  <c r="F26" i="17"/>
  <c r="E29" i="17"/>
  <c r="F29" i="17" s="1"/>
  <c r="G20" i="51"/>
  <c r="H20" i="51" s="1"/>
  <c r="G19" i="51"/>
  <c r="H19" i="51" s="1"/>
  <c r="G18" i="51"/>
  <c r="H18" i="51" s="1"/>
  <c r="G54" i="6"/>
  <c r="J16" i="6"/>
  <c r="I13" i="15" s="1"/>
  <c r="I196" i="15" s="1"/>
  <c r="J13" i="6"/>
  <c r="I10" i="15" s="1"/>
  <c r="I165" i="15" s="1"/>
  <c r="I166" i="15" s="1"/>
  <c r="G42" i="11" s="1"/>
  <c r="J17" i="6"/>
  <c r="M123" i="17" l="1"/>
  <c r="M124" i="17"/>
  <c r="I109" i="43"/>
  <c r="AD96" i="27"/>
  <c r="AE96" i="27" s="1"/>
  <c r="AF96" i="27" s="1"/>
  <c r="AD139" i="43"/>
  <c r="AE139" i="43" s="1"/>
  <c r="AF139" i="43" s="1"/>
  <c r="G124" i="17"/>
  <c r="H124" i="17" s="1"/>
  <c r="F140" i="17"/>
  <c r="F142" i="17" s="1"/>
  <c r="F152" i="17" s="1"/>
  <c r="Q139" i="43"/>
  <c r="S139" i="43" s="1"/>
  <c r="U139" i="43" s="1"/>
  <c r="AK92" i="43" s="1"/>
  <c r="AD99" i="27"/>
  <c r="AE99" i="27" s="1"/>
  <c r="AF99" i="27" s="1"/>
  <c r="G25" i="42"/>
  <c r="D26" i="44" s="1"/>
  <c r="D76" i="44" s="1"/>
  <c r="H28" i="17"/>
  <c r="Q116" i="43"/>
  <c r="S116" i="43" s="1"/>
  <c r="U116" i="43" s="1"/>
  <c r="AK69" i="43" s="1"/>
  <c r="G43" i="28"/>
  <c r="D44" i="29" s="1"/>
  <c r="F107" i="17"/>
  <c r="AD104" i="43"/>
  <c r="AE104" i="43" s="1"/>
  <c r="AF104" i="43" s="1"/>
  <c r="AG104" i="43" s="1"/>
  <c r="AL57" i="43" s="1"/>
  <c r="F159" i="17"/>
  <c r="F161" i="17" s="1"/>
  <c r="AD109" i="43"/>
  <c r="AE109" i="43" s="1"/>
  <c r="AF109" i="43" s="1"/>
  <c r="AD110" i="43"/>
  <c r="AE110" i="43" s="1"/>
  <c r="AF110" i="43" s="1"/>
  <c r="AG110" i="43" s="1"/>
  <c r="AL63" i="43" s="1"/>
  <c r="D112" i="17"/>
  <c r="G34" i="28"/>
  <c r="D35" i="29" s="1"/>
  <c r="G18" i="42"/>
  <c r="D19" i="44" s="1"/>
  <c r="D69" i="44" s="1"/>
  <c r="D126" i="17"/>
  <c r="E430" i="15" s="1"/>
  <c r="I431" i="15" s="1"/>
  <c r="F45" i="17"/>
  <c r="F47" i="17" s="1"/>
  <c r="F56" i="17" s="1"/>
  <c r="E51" i="17"/>
  <c r="F51" i="17" s="1"/>
  <c r="F54" i="17" s="1"/>
  <c r="E49" i="17"/>
  <c r="F49" i="17" s="1"/>
  <c r="E52" i="17"/>
  <c r="H8" i="17"/>
  <c r="G21" i="28"/>
  <c r="D22" i="29" s="1"/>
  <c r="AD97" i="27"/>
  <c r="AE97" i="27" s="1"/>
  <c r="AF97" i="27" s="1"/>
  <c r="G42" i="42"/>
  <c r="D43" i="44" s="1"/>
  <c r="D93" i="44" s="1"/>
  <c r="Q115" i="43"/>
  <c r="S115" i="43" s="1"/>
  <c r="U115" i="43" s="1"/>
  <c r="AK68" i="43" s="1"/>
  <c r="AD103" i="27"/>
  <c r="AE103" i="27" s="1"/>
  <c r="AF103" i="27" s="1"/>
  <c r="E53" i="17"/>
  <c r="F53" i="17" s="1"/>
  <c r="G26" i="42"/>
  <c r="D27" i="44" s="1"/>
  <c r="D77" i="44" s="1"/>
  <c r="D127" i="17"/>
  <c r="G40" i="42"/>
  <c r="D41" i="44" s="1"/>
  <c r="D91" i="44" s="1"/>
  <c r="G48" i="42"/>
  <c r="D49" i="44" s="1"/>
  <c r="D99" i="44" s="1"/>
  <c r="AD122" i="43"/>
  <c r="AE122" i="43" s="1"/>
  <c r="AF122" i="43" s="1"/>
  <c r="AD138" i="43"/>
  <c r="AE138" i="43" s="1"/>
  <c r="AF138" i="43" s="1"/>
  <c r="AD121" i="43"/>
  <c r="AE121" i="43" s="1"/>
  <c r="AF121" i="43" s="1"/>
  <c r="H104" i="17"/>
  <c r="H142" i="17"/>
  <c r="H150" i="17" s="1"/>
  <c r="F145" i="17"/>
  <c r="AD116" i="27"/>
  <c r="AE116" i="27" s="1"/>
  <c r="AF116" i="27" s="1"/>
  <c r="F121" i="17"/>
  <c r="F123" i="17" s="1"/>
  <c r="F132" i="17" s="1"/>
  <c r="AD123" i="27"/>
  <c r="AE123" i="27" s="1"/>
  <c r="AF123" i="27" s="1"/>
  <c r="AD122" i="27"/>
  <c r="AE122" i="27" s="1"/>
  <c r="AF122" i="27" s="1"/>
  <c r="G12" i="28"/>
  <c r="D13" i="29" s="1"/>
  <c r="E128" i="17"/>
  <c r="F127" i="17" s="1"/>
  <c r="F130" i="17" s="1"/>
  <c r="Q110" i="43"/>
  <c r="S110" i="43" s="1"/>
  <c r="U110" i="43" s="1"/>
  <c r="AK63" i="43" s="1"/>
  <c r="D69" i="17"/>
  <c r="E399" i="15" s="1"/>
  <c r="I400" i="15" s="1"/>
  <c r="G70" i="17"/>
  <c r="H70" i="17" s="1"/>
  <c r="H73" i="17" s="1"/>
  <c r="AD129" i="43"/>
  <c r="AE129" i="43" s="1"/>
  <c r="AF129" i="43" s="1"/>
  <c r="AG129" i="43" s="1"/>
  <c r="AL82" i="43" s="1"/>
  <c r="D38" i="17"/>
  <c r="G34" i="42"/>
  <c r="D35" i="44" s="1"/>
  <c r="D85" i="44" s="1"/>
  <c r="AD124" i="43"/>
  <c r="AE124" i="43" s="1"/>
  <c r="AF124" i="43" s="1"/>
  <c r="J109" i="27"/>
  <c r="AJ67" i="27" s="1"/>
  <c r="J106" i="27"/>
  <c r="AJ64" i="27" s="1"/>
  <c r="D165" i="17"/>
  <c r="D168" i="17" s="1"/>
  <c r="E438" i="15" s="1"/>
  <c r="E439" i="15" s="1"/>
  <c r="I439" i="15" s="1"/>
  <c r="Q107" i="27"/>
  <c r="S107" i="27" s="1"/>
  <c r="U107" i="27" s="1"/>
  <c r="AK64" i="27" s="1"/>
  <c r="D36" i="17"/>
  <c r="Q102" i="27"/>
  <c r="S102" i="27" s="1"/>
  <c r="U102" i="27" s="1"/>
  <c r="AK59" i="27" s="1"/>
  <c r="F150" i="17"/>
  <c r="H7" i="17"/>
  <c r="G128" i="17"/>
  <c r="G27" i="28"/>
  <c r="D28" i="29" s="1"/>
  <c r="G33" i="17"/>
  <c r="AD127" i="27"/>
  <c r="AE127" i="27" s="1"/>
  <c r="AF127" i="27" s="1"/>
  <c r="U113" i="43"/>
  <c r="AK66" i="43" s="1"/>
  <c r="F151" i="17"/>
  <c r="E124" i="17"/>
  <c r="F124" i="17" s="1"/>
  <c r="F126" i="17" s="1"/>
  <c r="G17" i="42"/>
  <c r="D18" i="44" s="1"/>
  <c r="D68" i="44" s="1"/>
  <c r="F88" i="17"/>
  <c r="AD123" i="43"/>
  <c r="AE123" i="43" s="1"/>
  <c r="AF123" i="43" s="1"/>
  <c r="I107" i="43"/>
  <c r="J107" i="43" s="1"/>
  <c r="AJ61" i="43" s="1"/>
  <c r="G67" i="17"/>
  <c r="H67" i="17" s="1"/>
  <c r="H69" i="17" s="1"/>
  <c r="J105" i="43"/>
  <c r="AJ59" i="43" s="1"/>
  <c r="G22" i="42"/>
  <c r="D23" i="44" s="1"/>
  <c r="D73" i="44" s="1"/>
  <c r="G38" i="42"/>
  <c r="D39" i="44" s="1"/>
  <c r="D89" i="44" s="1"/>
  <c r="G41" i="28"/>
  <c r="D42" i="29" s="1"/>
  <c r="G29" i="28"/>
  <c r="D30" i="29" s="1"/>
  <c r="G26" i="28"/>
  <c r="D27" i="29" s="1"/>
  <c r="G28" i="28"/>
  <c r="D29" i="29" s="1"/>
  <c r="G27" i="11"/>
  <c r="H27" i="11" s="1"/>
  <c r="G20" i="116"/>
  <c r="H20" i="116" s="1"/>
  <c r="I14" i="15"/>
  <c r="I198" i="15" s="1"/>
  <c r="J11" i="6"/>
  <c r="I8" i="15" s="1"/>
  <c r="I111" i="15" s="1"/>
  <c r="I301" i="15"/>
  <c r="G11" i="116"/>
  <c r="H11" i="116" s="1"/>
  <c r="E8" i="36"/>
  <c r="G8" i="36" s="1"/>
  <c r="H8" i="36" s="1"/>
  <c r="I135" i="43"/>
  <c r="G13" i="42"/>
  <c r="D14" i="44" s="1"/>
  <c r="D64" i="44" s="1"/>
  <c r="AB111" i="43"/>
  <c r="G37" i="42"/>
  <c r="D38" i="44" s="1"/>
  <c r="D88" i="44" s="1"/>
  <c r="H126" i="17"/>
  <c r="Q114" i="43"/>
  <c r="S114" i="43" s="1"/>
  <c r="U114" i="43" s="1"/>
  <c r="AK67" i="43" s="1"/>
  <c r="Q111" i="43"/>
  <c r="S111" i="43" s="1"/>
  <c r="U111" i="43" s="1"/>
  <c r="AK64" i="43" s="1"/>
  <c r="E146" i="17"/>
  <c r="Q112" i="43"/>
  <c r="S112" i="43" s="1"/>
  <c r="U112" i="43" s="1"/>
  <c r="AK65" i="43" s="1"/>
  <c r="H146" i="17"/>
  <c r="H149" i="17" s="1"/>
  <c r="G45" i="42"/>
  <c r="D46" i="44" s="1"/>
  <c r="D96" i="44" s="1"/>
  <c r="Q118" i="43"/>
  <c r="S118" i="43" s="1"/>
  <c r="U118" i="43" s="1"/>
  <c r="AK71" i="43" s="1"/>
  <c r="J40" i="6"/>
  <c r="I29" i="15" s="1"/>
  <c r="I321" i="15" s="1"/>
  <c r="I155" i="15" s="1"/>
  <c r="A12" i="6"/>
  <c r="A8" i="15"/>
  <c r="Q102" i="43"/>
  <c r="S102" i="43" s="1"/>
  <c r="U102" i="43" s="1"/>
  <c r="AK55" i="43" s="1"/>
  <c r="Q120" i="43"/>
  <c r="S120" i="43" s="1"/>
  <c r="U120" i="43" s="1"/>
  <c r="AK73" i="43" s="1"/>
  <c r="Q119" i="43"/>
  <c r="S119" i="43" s="1"/>
  <c r="U119" i="43" s="1"/>
  <c r="AK72" i="43" s="1"/>
  <c r="Q104" i="43"/>
  <c r="S104" i="43" s="1"/>
  <c r="Z125" i="27"/>
  <c r="AA125" i="27" s="1"/>
  <c r="Z124" i="43"/>
  <c r="AA124" i="43" s="1"/>
  <c r="G21" i="42"/>
  <c r="D22" i="44" s="1"/>
  <c r="D72" i="44" s="1"/>
  <c r="G28" i="42"/>
  <c r="D29" i="44" s="1"/>
  <c r="D79" i="44" s="1"/>
  <c r="J124" i="27"/>
  <c r="AJ82" i="27" s="1"/>
  <c r="Q105" i="43"/>
  <c r="S105" i="43" s="1"/>
  <c r="U105" i="43" s="1"/>
  <c r="AK58" i="43" s="1"/>
  <c r="AG116" i="43"/>
  <c r="AL69" i="43" s="1"/>
  <c r="Z127" i="27"/>
  <c r="AA127" i="27" s="1"/>
  <c r="Z123" i="43"/>
  <c r="AA123" i="43" s="1"/>
  <c r="AB123" i="43" s="1"/>
  <c r="B14" i="29"/>
  <c r="X97" i="27" s="1"/>
  <c r="AB97" i="27" s="1"/>
  <c r="AG97" i="27" s="1"/>
  <c r="AL54" i="27" s="1"/>
  <c r="AN54" i="27" s="1"/>
  <c r="C14" i="29" s="1"/>
  <c r="F14" i="29" s="1"/>
  <c r="G14" i="29" s="1"/>
  <c r="Q107" i="43"/>
  <c r="S107" i="43" s="1"/>
  <c r="U107" i="43" s="1"/>
  <c r="AK60" i="43" s="1"/>
  <c r="F70" i="17"/>
  <c r="F73" i="17" s="1"/>
  <c r="I137" i="43"/>
  <c r="J137" i="43" s="1"/>
  <c r="AJ91" i="43" s="1"/>
  <c r="I121" i="43"/>
  <c r="J121" i="43" s="1"/>
  <c r="AJ75" i="43" s="1"/>
  <c r="J36" i="6"/>
  <c r="I26" i="15" s="1"/>
  <c r="I251" i="15"/>
  <c r="I270" i="15"/>
  <c r="I55" i="15"/>
  <c r="I57" i="15" s="1"/>
  <c r="G12" i="116" s="1"/>
  <c r="H12" i="116" s="1"/>
  <c r="I102" i="15"/>
  <c r="I86" i="15"/>
  <c r="F626" i="15"/>
  <c r="I626" i="15" s="1"/>
  <c r="F635" i="15"/>
  <c r="I635" i="15" s="1"/>
  <c r="I319" i="15"/>
  <c r="E457" i="15" s="1"/>
  <c r="E494" i="15" s="1"/>
  <c r="I494" i="15" s="1"/>
  <c r="I91" i="15"/>
  <c r="I92" i="15" s="1"/>
  <c r="I93" i="15" s="1"/>
  <c r="I95" i="15" s="1"/>
  <c r="P259" i="15"/>
  <c r="O253" i="15"/>
  <c r="I420" i="15"/>
  <c r="I508" i="15"/>
  <c r="I509" i="15" s="1"/>
  <c r="G20" i="11"/>
  <c r="J37" i="6"/>
  <c r="I27" i="15" s="1"/>
  <c r="G44" i="28"/>
  <c r="D45" i="29" s="1"/>
  <c r="G18" i="28"/>
  <c r="D19" i="29" s="1"/>
  <c r="G31" i="28"/>
  <c r="D32" i="29" s="1"/>
  <c r="G23" i="28"/>
  <c r="D24" i="29" s="1"/>
  <c r="G23" i="42"/>
  <c r="D24" i="44" s="1"/>
  <c r="D74" i="44" s="1"/>
  <c r="G14" i="42"/>
  <c r="D15" i="44" s="1"/>
  <c r="D65" i="44" s="1"/>
  <c r="G30" i="42"/>
  <c r="D31" i="44" s="1"/>
  <c r="D81" i="44" s="1"/>
  <c r="G46" i="42"/>
  <c r="D47" i="44" s="1"/>
  <c r="D97" i="44" s="1"/>
  <c r="G39" i="42"/>
  <c r="D40" i="44" s="1"/>
  <c r="D90" i="44" s="1"/>
  <c r="G24" i="42"/>
  <c r="D25" i="44" s="1"/>
  <c r="D75" i="44" s="1"/>
  <c r="G15" i="42"/>
  <c r="D16" i="44" s="1"/>
  <c r="D66" i="44" s="1"/>
  <c r="D3" i="109"/>
  <c r="AG108" i="43"/>
  <c r="AL61" i="43" s="1"/>
  <c r="AD105" i="27"/>
  <c r="AE105" i="27" s="1"/>
  <c r="AF105" i="27" s="1"/>
  <c r="Q126" i="43"/>
  <c r="S126" i="43" s="1"/>
  <c r="U126" i="43" s="1"/>
  <c r="AK79" i="43" s="1"/>
  <c r="AG109" i="43"/>
  <c r="AL62" i="43" s="1"/>
  <c r="AB101" i="43"/>
  <c r="AG101" i="43" s="1"/>
  <c r="AL54" i="43" s="1"/>
  <c r="G162" i="17"/>
  <c r="H162" i="17" s="1"/>
  <c r="H160" i="17"/>
  <c r="Z102" i="43"/>
  <c r="AA102" i="43" s="1"/>
  <c r="AB102" i="43" s="1"/>
  <c r="Q123" i="43"/>
  <c r="S123" i="43" s="1"/>
  <c r="U123" i="43" s="1"/>
  <c r="AK76" i="43" s="1"/>
  <c r="AD124" i="27"/>
  <c r="AE124" i="27" s="1"/>
  <c r="AF124" i="27" s="1"/>
  <c r="Z121" i="43"/>
  <c r="AA121" i="43" s="1"/>
  <c r="U104" i="43"/>
  <c r="AK57" i="43" s="1"/>
  <c r="Q131" i="43"/>
  <c r="S131" i="43" s="1"/>
  <c r="U131" i="43" s="1"/>
  <c r="AK84" i="43" s="1"/>
  <c r="Q134" i="43"/>
  <c r="S134" i="43" s="1"/>
  <c r="U134" i="43" s="1"/>
  <c r="AK87" i="43" s="1"/>
  <c r="I113" i="43"/>
  <c r="J113" i="43" s="1"/>
  <c r="AJ67" i="43" s="1"/>
  <c r="I103" i="43"/>
  <c r="J103" i="43" s="1"/>
  <c r="AJ57" i="43" s="1"/>
  <c r="I111" i="43"/>
  <c r="G32" i="17"/>
  <c r="H108" i="17"/>
  <c r="H111" i="17" s="1"/>
  <c r="AD120" i="27"/>
  <c r="AE120" i="27" s="1"/>
  <c r="AF120" i="27" s="1"/>
  <c r="Q127" i="43"/>
  <c r="S127" i="43" s="1"/>
  <c r="U127" i="43" s="1"/>
  <c r="AK80" i="43" s="1"/>
  <c r="Q130" i="43"/>
  <c r="S130" i="43" s="1"/>
  <c r="U130" i="43" s="1"/>
  <c r="AK83" i="43" s="1"/>
  <c r="D145" i="17"/>
  <c r="D113" i="17"/>
  <c r="E417" i="15"/>
  <c r="D130" i="17"/>
  <c r="E428" i="15" s="1"/>
  <c r="E429" i="15" s="1"/>
  <c r="I429" i="15" s="1"/>
  <c r="Q135" i="43"/>
  <c r="S135" i="43" s="1"/>
  <c r="U135" i="43" s="1"/>
  <c r="AK88" i="43" s="1"/>
  <c r="Q138" i="43"/>
  <c r="S138" i="43" s="1"/>
  <c r="U138" i="43" s="1"/>
  <c r="AK91" i="43" s="1"/>
  <c r="Q122" i="43"/>
  <c r="S122" i="43" s="1"/>
  <c r="U122" i="43" s="1"/>
  <c r="AK75" i="43" s="1"/>
  <c r="H38" i="17"/>
  <c r="H37" i="17"/>
  <c r="H36" i="17"/>
  <c r="I410" i="15"/>
  <c r="G27" i="42"/>
  <c r="D28" i="44" s="1"/>
  <c r="D78" i="44" s="1"/>
  <c r="G43" i="42"/>
  <c r="D44" i="44" s="1"/>
  <c r="D94" i="44" s="1"/>
  <c r="I440" i="15"/>
  <c r="H127" i="17"/>
  <c r="H130" i="17" s="1"/>
  <c r="F50" i="17"/>
  <c r="D57" i="17"/>
  <c r="D142" i="17"/>
  <c r="Q136" i="17" s="1"/>
  <c r="J112" i="27"/>
  <c r="AJ70" i="27" s="1"/>
  <c r="J55" i="6"/>
  <c r="I44" i="15" s="1"/>
  <c r="D3" i="110"/>
  <c r="AB124" i="43"/>
  <c r="D50" i="17"/>
  <c r="AD110" i="27"/>
  <c r="AE110" i="27" s="1"/>
  <c r="AF110" i="27" s="1"/>
  <c r="J98" i="27"/>
  <c r="AJ56" i="27" s="1"/>
  <c r="Z134" i="43"/>
  <c r="AA134" i="43" s="1"/>
  <c r="AG96" i="27"/>
  <c r="AL53" i="27" s="1"/>
  <c r="AN53" i="27" s="1"/>
  <c r="C13" i="29" s="1"/>
  <c r="AG107" i="43"/>
  <c r="AL60" i="43" s="1"/>
  <c r="AD100" i="27"/>
  <c r="AE100" i="27" s="1"/>
  <c r="AF100" i="27" s="1"/>
  <c r="D12" i="17"/>
  <c r="G29" i="17"/>
  <c r="H29" i="17" s="1"/>
  <c r="H31" i="17" s="1"/>
  <c r="Q101" i="27"/>
  <c r="S101" i="27" s="1"/>
  <c r="U101" i="27" s="1"/>
  <c r="AK58" i="27" s="1"/>
  <c r="Q103" i="27"/>
  <c r="S103" i="27" s="1"/>
  <c r="U103" i="27" s="1"/>
  <c r="AK60" i="27" s="1"/>
  <c r="I100" i="43"/>
  <c r="J100" i="43" s="1"/>
  <c r="AJ54" i="43" s="1"/>
  <c r="AN54" i="43" s="1"/>
  <c r="C10" i="44" s="1"/>
  <c r="I115" i="43"/>
  <c r="J115" i="43" s="1"/>
  <c r="AJ69" i="43" s="1"/>
  <c r="AN69" i="43" s="1"/>
  <c r="C25" i="44" s="1"/>
  <c r="I110" i="43"/>
  <c r="J110" i="43" s="1"/>
  <c r="AJ64" i="43" s="1"/>
  <c r="I133" i="43"/>
  <c r="J133" i="43" s="1"/>
  <c r="AJ87" i="43" s="1"/>
  <c r="I119" i="43"/>
  <c r="J119" i="43" s="1"/>
  <c r="AJ73" i="43" s="1"/>
  <c r="I136" i="43"/>
  <c r="J136" i="43" s="1"/>
  <c r="AJ90" i="43" s="1"/>
  <c r="I104" i="43"/>
  <c r="J104" i="43" s="1"/>
  <c r="AJ58" i="43" s="1"/>
  <c r="I116" i="43"/>
  <c r="J116" i="43" s="1"/>
  <c r="AJ70" i="43" s="1"/>
  <c r="I131" i="43"/>
  <c r="J131" i="43" s="1"/>
  <c r="AJ85" i="43" s="1"/>
  <c r="I112" i="43"/>
  <c r="J112" i="43" s="1"/>
  <c r="AJ66" i="43" s="1"/>
  <c r="Z139" i="43"/>
  <c r="AA139" i="43" s="1"/>
  <c r="AB139" i="43" s="1"/>
  <c r="AG139" i="43" s="1"/>
  <c r="AL92" i="43" s="1"/>
  <c r="Z135" i="43"/>
  <c r="AA135" i="43" s="1"/>
  <c r="AB135" i="43" s="1"/>
  <c r="AG135" i="43" s="1"/>
  <c r="AL88" i="43" s="1"/>
  <c r="J127" i="27"/>
  <c r="AJ85" i="27" s="1"/>
  <c r="J126" i="27"/>
  <c r="AJ84" i="27" s="1"/>
  <c r="G166" i="17"/>
  <c r="AD113" i="27"/>
  <c r="AE113" i="27" s="1"/>
  <c r="AF113" i="27" s="1"/>
  <c r="E13" i="17"/>
  <c r="F13" i="17" s="1"/>
  <c r="AD114" i="43"/>
  <c r="AE114" i="43" s="1"/>
  <c r="AF114" i="43" s="1"/>
  <c r="AG114" i="43" s="1"/>
  <c r="AL67" i="43" s="1"/>
  <c r="Q103" i="17"/>
  <c r="Q105" i="17" s="1"/>
  <c r="S105" i="17" s="1"/>
  <c r="G19" i="42"/>
  <c r="D20" i="44" s="1"/>
  <c r="D70" i="44" s="1"/>
  <c r="G33" i="42"/>
  <c r="D34" i="44" s="1"/>
  <c r="D84" i="44" s="1"/>
  <c r="AD108" i="27"/>
  <c r="AE108" i="27" s="1"/>
  <c r="AF108" i="27" s="1"/>
  <c r="D9" i="17"/>
  <c r="D18" i="17" s="1"/>
  <c r="AG137" i="43"/>
  <c r="AL90" i="43" s="1"/>
  <c r="J135" i="43"/>
  <c r="AJ89" i="43" s="1"/>
  <c r="AD114" i="27"/>
  <c r="AE114" i="27" s="1"/>
  <c r="AF114" i="27" s="1"/>
  <c r="E15" i="17"/>
  <c r="F15" i="17" s="1"/>
  <c r="Z130" i="43"/>
  <c r="AA130" i="43" s="1"/>
  <c r="AD102" i="27"/>
  <c r="AE102" i="27" s="1"/>
  <c r="AF102" i="27" s="1"/>
  <c r="AD117" i="27"/>
  <c r="AE117" i="27" s="1"/>
  <c r="AF117" i="27" s="1"/>
  <c r="Q108" i="27"/>
  <c r="S108" i="27" s="1"/>
  <c r="U108" i="27" s="1"/>
  <c r="AK65" i="27" s="1"/>
  <c r="Q100" i="27"/>
  <c r="S100" i="27" s="1"/>
  <c r="U100" i="27" s="1"/>
  <c r="AK57" i="27" s="1"/>
  <c r="I132" i="43"/>
  <c r="J132" i="43" s="1"/>
  <c r="AJ86" i="43" s="1"/>
  <c r="I138" i="43"/>
  <c r="J138" i="43" s="1"/>
  <c r="AJ92" i="43" s="1"/>
  <c r="I117" i="43"/>
  <c r="J117" i="43" s="1"/>
  <c r="AJ71" i="43" s="1"/>
  <c r="I129" i="43"/>
  <c r="J129" i="43" s="1"/>
  <c r="AJ83" i="43" s="1"/>
  <c r="I108" i="43"/>
  <c r="J108" i="43" s="1"/>
  <c r="AJ62" i="43" s="1"/>
  <c r="I128" i="43"/>
  <c r="I134" i="43"/>
  <c r="J134" i="43" s="1"/>
  <c r="AJ88" i="43" s="1"/>
  <c r="I106" i="43"/>
  <c r="J106" i="43" s="1"/>
  <c r="AJ60" i="43" s="1"/>
  <c r="I127" i="43"/>
  <c r="J127" i="43" s="1"/>
  <c r="AJ81" i="43" s="1"/>
  <c r="I118" i="43"/>
  <c r="J118" i="43" s="1"/>
  <c r="AJ72" i="43" s="1"/>
  <c r="Z122" i="43"/>
  <c r="AA122" i="43" s="1"/>
  <c r="AB122" i="43" s="1"/>
  <c r="AG122" i="43" s="1"/>
  <c r="AL75" i="43" s="1"/>
  <c r="Z140" i="43"/>
  <c r="AA140" i="43" s="1"/>
  <c r="AB140" i="43" s="1"/>
  <c r="AG140" i="43" s="1"/>
  <c r="AL93" i="43" s="1"/>
  <c r="J103" i="27"/>
  <c r="AJ61" i="27" s="1"/>
  <c r="D32" i="17"/>
  <c r="D35" i="17" s="1"/>
  <c r="AD121" i="27"/>
  <c r="AE121" i="27" s="1"/>
  <c r="AF121" i="27" s="1"/>
  <c r="H131" i="17"/>
  <c r="G16" i="42"/>
  <c r="D17" i="44" s="1"/>
  <c r="D67" i="44" s="1"/>
  <c r="G47" i="42"/>
  <c r="D48" i="44" s="1"/>
  <c r="D98" i="44" s="1"/>
  <c r="G35" i="42"/>
  <c r="D36" i="44" s="1"/>
  <c r="D86" i="44" s="1"/>
  <c r="C205" i="14"/>
  <c r="C206" i="14" s="1"/>
  <c r="Q98" i="17"/>
  <c r="F85" i="17"/>
  <c r="Q79" i="17" s="1"/>
  <c r="G48" i="17"/>
  <c r="H48" i="17" s="1"/>
  <c r="H50" i="17" s="1"/>
  <c r="AB138" i="43"/>
  <c r="AG138" i="43" s="1"/>
  <c r="AL91" i="43" s="1"/>
  <c r="AD118" i="27"/>
  <c r="AE118" i="27" s="1"/>
  <c r="AF118" i="27" s="1"/>
  <c r="J109" i="43"/>
  <c r="AJ63" i="43" s="1"/>
  <c r="AD119" i="27"/>
  <c r="AE119" i="27" s="1"/>
  <c r="AF119" i="27" s="1"/>
  <c r="AD111" i="27"/>
  <c r="AE111" i="27" s="1"/>
  <c r="AF111" i="27" s="1"/>
  <c r="AD112" i="27"/>
  <c r="AE112" i="27" s="1"/>
  <c r="AF112" i="27" s="1"/>
  <c r="Q106" i="27"/>
  <c r="S106" i="27" s="1"/>
  <c r="U106" i="27" s="1"/>
  <c r="AK63" i="27" s="1"/>
  <c r="I124" i="43"/>
  <c r="J124" i="43" s="1"/>
  <c r="AJ78" i="43" s="1"/>
  <c r="I130" i="43"/>
  <c r="J130" i="43" s="1"/>
  <c r="AJ84" i="43" s="1"/>
  <c r="I102" i="43"/>
  <c r="J102" i="43" s="1"/>
  <c r="AJ56" i="43" s="1"/>
  <c r="I125" i="43"/>
  <c r="J125" i="43" s="1"/>
  <c r="AJ79" i="43" s="1"/>
  <c r="I114" i="43"/>
  <c r="J114" i="43" s="1"/>
  <c r="AJ68" i="43" s="1"/>
  <c r="I120" i="43"/>
  <c r="J120" i="43" s="1"/>
  <c r="AJ74" i="43" s="1"/>
  <c r="I126" i="43"/>
  <c r="J126" i="43" s="1"/>
  <c r="AJ80" i="43" s="1"/>
  <c r="I139" i="43"/>
  <c r="J139" i="43" s="1"/>
  <c r="AJ93" i="43" s="1"/>
  <c r="I123" i="43"/>
  <c r="J123" i="43" s="1"/>
  <c r="AJ77" i="43" s="1"/>
  <c r="AB121" i="43"/>
  <c r="AG121" i="43" s="1"/>
  <c r="AL74" i="43" s="1"/>
  <c r="E10" i="17"/>
  <c r="F10" i="17" s="1"/>
  <c r="F12" i="17" s="1"/>
  <c r="G143" i="17"/>
  <c r="H143" i="17" s="1"/>
  <c r="H145" i="17" s="1"/>
  <c r="G8" i="11"/>
  <c r="H8" i="11" s="1"/>
  <c r="I158" i="15"/>
  <c r="G128" i="14"/>
  <c r="D5" i="14"/>
  <c r="E573" i="15" s="1"/>
  <c r="I573" i="15" s="1"/>
  <c r="F205" i="14"/>
  <c r="G205" i="14" s="1"/>
  <c r="I160" i="15"/>
  <c r="I143" i="15"/>
  <c r="J39" i="6"/>
  <c r="G104" i="14"/>
  <c r="D131" i="17"/>
  <c r="E427" i="15"/>
  <c r="D133" i="17"/>
  <c r="D132" i="17"/>
  <c r="J14" i="6"/>
  <c r="I11" i="15" s="1"/>
  <c r="I197" i="15" s="1"/>
  <c r="AD111" i="43"/>
  <c r="AE111" i="43" s="1"/>
  <c r="AF111" i="43" s="1"/>
  <c r="AG111" i="43" s="1"/>
  <c r="AL64" i="43" s="1"/>
  <c r="Q106" i="43"/>
  <c r="S106" i="43" s="1"/>
  <c r="U106" i="43" s="1"/>
  <c r="AK59" i="43" s="1"/>
  <c r="U128" i="43"/>
  <c r="AK81" i="43" s="1"/>
  <c r="Z128" i="43"/>
  <c r="AA128" i="43" s="1"/>
  <c r="AB128" i="43" s="1"/>
  <c r="AG128" i="43" s="1"/>
  <c r="AL81" i="43" s="1"/>
  <c r="Z126" i="43"/>
  <c r="AA126" i="43" s="1"/>
  <c r="AB126" i="43" s="1"/>
  <c r="AG126" i="43" s="1"/>
  <c r="AL79" i="43" s="1"/>
  <c r="Z127" i="43"/>
  <c r="AA127" i="43" s="1"/>
  <c r="AB127" i="43" s="1"/>
  <c r="AG127" i="43" s="1"/>
  <c r="AL80" i="43" s="1"/>
  <c r="Z125" i="43"/>
  <c r="AA125" i="43" s="1"/>
  <c r="AB125" i="43" s="1"/>
  <c r="AG125" i="43" s="1"/>
  <c r="AL78" i="43" s="1"/>
  <c r="Q109" i="27"/>
  <c r="S109" i="27" s="1"/>
  <c r="U109" i="27" s="1"/>
  <c r="AK66" i="27" s="1"/>
  <c r="AG102" i="43"/>
  <c r="AL55" i="43" s="1"/>
  <c r="AN55" i="43" s="1"/>
  <c r="C11" i="44" s="1"/>
  <c r="I40" i="15"/>
  <c r="F69" i="17"/>
  <c r="F11" i="15"/>
  <c r="AG103" i="43"/>
  <c r="AL56" i="43" s="1"/>
  <c r="D146" i="17"/>
  <c r="D149" i="17" s="1"/>
  <c r="H89" i="17"/>
  <c r="H92" i="17" s="1"/>
  <c r="AD113" i="43"/>
  <c r="AE113" i="43" s="1"/>
  <c r="AF113" i="43" s="1"/>
  <c r="AG113" i="43" s="1"/>
  <c r="AL66" i="43" s="1"/>
  <c r="Z132" i="43"/>
  <c r="AA132" i="43" s="1"/>
  <c r="AB132" i="43" s="1"/>
  <c r="AG132" i="43" s="1"/>
  <c r="AL85" i="43" s="1"/>
  <c r="Z133" i="43"/>
  <c r="AA133" i="43" s="1"/>
  <c r="AB133" i="43" s="1"/>
  <c r="AG133" i="43" s="1"/>
  <c r="AL86" i="43" s="1"/>
  <c r="Z131" i="43"/>
  <c r="AA131" i="43" s="1"/>
  <c r="AB131" i="43" s="1"/>
  <c r="AG131" i="43" s="1"/>
  <c r="AL84" i="43" s="1"/>
  <c r="F171" i="17"/>
  <c r="F169" i="17"/>
  <c r="F170" i="17"/>
  <c r="AD120" i="43"/>
  <c r="AE120" i="43" s="1"/>
  <c r="AF120" i="43" s="1"/>
  <c r="AG120" i="43" s="1"/>
  <c r="AL73" i="43" s="1"/>
  <c r="AD119" i="43"/>
  <c r="AE119" i="43" s="1"/>
  <c r="AF119" i="43" s="1"/>
  <c r="AG119" i="43" s="1"/>
  <c r="AL72" i="43" s="1"/>
  <c r="Q137" i="43"/>
  <c r="S137" i="43" s="1"/>
  <c r="U137" i="43" s="1"/>
  <c r="AK90" i="43" s="1"/>
  <c r="Q129" i="43"/>
  <c r="S129" i="43" s="1"/>
  <c r="U129" i="43" s="1"/>
  <c r="AK82" i="43" s="1"/>
  <c r="Q140" i="43"/>
  <c r="S140" i="43" s="1"/>
  <c r="U140" i="43" s="1"/>
  <c r="AK93" i="43" s="1"/>
  <c r="Q132" i="43"/>
  <c r="S132" i="43" s="1"/>
  <c r="U132" i="43" s="1"/>
  <c r="AK85" i="43" s="1"/>
  <c r="Q124" i="43"/>
  <c r="S124" i="43" s="1"/>
  <c r="U124" i="43" s="1"/>
  <c r="AK77" i="43" s="1"/>
  <c r="AD93" i="27"/>
  <c r="AE93" i="27" s="1"/>
  <c r="AF93" i="27" s="1"/>
  <c r="AG93" i="27" s="1"/>
  <c r="AL50" i="27" s="1"/>
  <c r="AN50" i="27" s="1"/>
  <c r="C10" i="29" s="1"/>
  <c r="F10" i="29" s="1"/>
  <c r="G10" i="29" s="1"/>
  <c r="G163" i="17"/>
  <c r="H163" i="17" s="1"/>
  <c r="H164" i="17" s="1"/>
  <c r="H159" i="17"/>
  <c r="H161" i="17" s="1"/>
  <c r="G165" i="17"/>
  <c r="H165" i="17" s="1"/>
  <c r="H168" i="17" s="1"/>
  <c r="AD101" i="27"/>
  <c r="AE101" i="27" s="1"/>
  <c r="AF101" i="27" s="1"/>
  <c r="AD112" i="43"/>
  <c r="AE112" i="43" s="1"/>
  <c r="AF112" i="43" s="1"/>
  <c r="AG112" i="43" s="1"/>
  <c r="AL65" i="43" s="1"/>
  <c r="AD115" i="43"/>
  <c r="AE115" i="43" s="1"/>
  <c r="AF115" i="43" s="1"/>
  <c r="AG115" i="43" s="1"/>
  <c r="AL68" i="43" s="1"/>
  <c r="AD118" i="43"/>
  <c r="AE118" i="43" s="1"/>
  <c r="AF118" i="43" s="1"/>
  <c r="AG118" i="43" s="1"/>
  <c r="AL71" i="43" s="1"/>
  <c r="Q121" i="43"/>
  <c r="S121" i="43" s="1"/>
  <c r="U121" i="43" s="1"/>
  <c r="AK74" i="43" s="1"/>
  <c r="Q133" i="43"/>
  <c r="S133" i="43" s="1"/>
  <c r="U133" i="43" s="1"/>
  <c r="AK86" i="43" s="1"/>
  <c r="Q125" i="43"/>
  <c r="S125" i="43" s="1"/>
  <c r="U125" i="43" s="1"/>
  <c r="AK78" i="43" s="1"/>
  <c r="Q136" i="43"/>
  <c r="S136" i="43" s="1"/>
  <c r="U136" i="43" s="1"/>
  <c r="AK89" i="43" s="1"/>
  <c r="AD95" i="27"/>
  <c r="AE95" i="27" s="1"/>
  <c r="AF95" i="27" s="1"/>
  <c r="AG95" i="27" s="1"/>
  <c r="AL52" i="27" s="1"/>
  <c r="AN52" i="27" s="1"/>
  <c r="C12" i="29" s="1"/>
  <c r="F12" i="29" s="1"/>
  <c r="G12" i="29" s="1"/>
  <c r="M67" i="17"/>
  <c r="M66" i="17"/>
  <c r="M68" i="17"/>
  <c r="AD117" i="43"/>
  <c r="AE117" i="43" s="1"/>
  <c r="AF117" i="43" s="1"/>
  <c r="AG117" i="43" s="1"/>
  <c r="AL70" i="43" s="1"/>
  <c r="AD94" i="27"/>
  <c r="AE94" i="27" s="1"/>
  <c r="AF94" i="27" s="1"/>
  <c r="AG94" i="27" s="1"/>
  <c r="AL51" i="27" s="1"/>
  <c r="AN51" i="27" s="1"/>
  <c r="C11" i="29" s="1"/>
  <c r="F11" i="29" s="1"/>
  <c r="G11" i="29" s="1"/>
  <c r="H12" i="17"/>
  <c r="AG106" i="43"/>
  <c r="AL59" i="43" s="1"/>
  <c r="F108" i="17"/>
  <c r="F111" i="17" s="1"/>
  <c r="F89" i="17"/>
  <c r="F92" i="17" s="1"/>
  <c r="M9" i="17"/>
  <c r="M10" i="17"/>
  <c r="H64" i="17"/>
  <c r="H66" i="17" s="1"/>
  <c r="M142" i="17"/>
  <c r="M143" i="17"/>
  <c r="H16" i="17"/>
  <c r="H133" i="17"/>
  <c r="AD106" i="27"/>
  <c r="AE106" i="27" s="1"/>
  <c r="AF106" i="27" s="1"/>
  <c r="AD104" i="27"/>
  <c r="AE104" i="27" s="1"/>
  <c r="AF104" i="27" s="1"/>
  <c r="Q103" i="43"/>
  <c r="S103" i="43" s="1"/>
  <c r="U103" i="43" s="1"/>
  <c r="AK56" i="43" s="1"/>
  <c r="Q108" i="43"/>
  <c r="S108" i="43" s="1"/>
  <c r="U108" i="43" s="1"/>
  <c r="AK61" i="43" s="1"/>
  <c r="E147" i="17"/>
  <c r="I305" i="15"/>
  <c r="O251" i="15"/>
  <c r="O254" i="15"/>
  <c r="I169" i="15"/>
  <c r="O257" i="15"/>
  <c r="O252" i="15"/>
  <c r="O259" i="15"/>
  <c r="O256" i="15"/>
  <c r="O255" i="15"/>
  <c r="I254" i="15"/>
  <c r="O258" i="15"/>
  <c r="P255" i="15"/>
  <c r="P258" i="15"/>
  <c r="I208" i="15"/>
  <c r="O293" i="15"/>
  <c r="P256" i="15"/>
  <c r="P252" i="15"/>
  <c r="P253" i="15"/>
  <c r="I256" i="15"/>
  <c r="I315" i="15" s="1"/>
  <c r="P257" i="15"/>
  <c r="P254" i="15"/>
  <c r="G9" i="11"/>
  <c r="I168" i="15"/>
  <c r="P251" i="15"/>
  <c r="AG128" i="27"/>
  <c r="AL85" i="27" s="1"/>
  <c r="D55" i="17"/>
  <c r="J128" i="43"/>
  <c r="AJ82" i="43" s="1"/>
  <c r="J111" i="43"/>
  <c r="AJ65" i="43" s="1"/>
  <c r="AN62" i="43"/>
  <c r="C18" i="44" s="1"/>
  <c r="C68" i="44" s="1"/>
  <c r="H95" i="17"/>
  <c r="G52" i="17"/>
  <c r="G51" i="17"/>
  <c r="H113" i="17"/>
  <c r="H112" i="17"/>
  <c r="H114" i="17"/>
  <c r="D2" i="110"/>
  <c r="D2" i="108"/>
  <c r="D2" i="109"/>
  <c r="BB31" i="95"/>
  <c r="AV31" i="95"/>
  <c r="BE31" i="95"/>
  <c r="AY31" i="95"/>
  <c r="AS31" i="95"/>
  <c r="U31" i="95"/>
  <c r="AG31" i="95"/>
  <c r="BK31" i="95"/>
  <c r="R31" i="95"/>
  <c r="AD31" i="95"/>
  <c r="AP31" i="95"/>
  <c r="BN31" i="95"/>
  <c r="L31" i="95"/>
  <c r="O31" i="95"/>
  <c r="AA31" i="95"/>
  <c r="AM31" i="95"/>
  <c r="BQ31" i="95"/>
  <c r="X31" i="95"/>
  <c r="AJ31" i="95"/>
  <c r="BH31" i="95"/>
  <c r="BT31" i="95"/>
  <c r="H5" i="46"/>
  <c r="B20" i="46" s="1"/>
  <c r="E20" i="46" s="1"/>
  <c r="G20" i="46" s="1"/>
  <c r="J20" i="46" s="1"/>
  <c r="J23" i="46" s="1"/>
  <c r="J24" i="46" s="1"/>
  <c r="AB134" i="43"/>
  <c r="AG134" i="43" s="1"/>
  <c r="AL87" i="43" s="1"/>
  <c r="AB136" i="43"/>
  <c r="AG136" i="43" s="1"/>
  <c r="AL89" i="43" s="1"/>
  <c r="E165" i="17"/>
  <c r="F165" i="17" s="1"/>
  <c r="E162" i="17"/>
  <c r="F162" i="17" s="1"/>
  <c r="AB130" i="43"/>
  <c r="AG130" i="43" s="1"/>
  <c r="AL83" i="43" s="1"/>
  <c r="I357" i="15"/>
  <c r="I389" i="15"/>
  <c r="I45" i="15"/>
  <c r="I60" i="15"/>
  <c r="I71" i="15"/>
  <c r="I78" i="15"/>
  <c r="I110" i="15"/>
  <c r="I112" i="15" s="1"/>
  <c r="I113" i="15" s="1"/>
  <c r="I67" i="15"/>
  <c r="I74" i="15"/>
  <c r="I103" i="15"/>
  <c r="I106" i="15"/>
  <c r="I107" i="15" s="1"/>
  <c r="I182" i="15"/>
  <c r="AG105" i="43"/>
  <c r="AL58" i="43" s="1"/>
  <c r="AN58" i="43" s="1"/>
  <c r="C14" i="44" s="1"/>
  <c r="C64" i="44" s="1"/>
  <c r="F19" i="17"/>
  <c r="D16" i="17"/>
  <c r="F18" i="17"/>
  <c r="F13" i="29"/>
  <c r="G13" i="29" s="1"/>
  <c r="D73" i="17"/>
  <c r="E397" i="15" s="1"/>
  <c r="Q41" i="17"/>
  <c r="H56" i="17"/>
  <c r="H55" i="17"/>
  <c r="D75" i="17"/>
  <c r="F32" i="17"/>
  <c r="F35" i="17" s="1"/>
  <c r="I144" i="15"/>
  <c r="I173" i="15"/>
  <c r="I123" i="15"/>
  <c r="I159" i="15"/>
  <c r="I114" i="15"/>
  <c r="I119" i="15"/>
  <c r="I128" i="15"/>
  <c r="I130" i="15" s="1"/>
  <c r="I131" i="15" s="1"/>
  <c r="I133" i="15" s="1"/>
  <c r="I148" i="15"/>
  <c r="I64" i="15"/>
  <c r="Q84" i="17"/>
  <c r="D74" i="17"/>
  <c r="D76" i="17"/>
  <c r="I137" i="15"/>
  <c r="I120" i="15"/>
  <c r="I174" i="15"/>
  <c r="L2" i="95"/>
  <c r="I167" i="15"/>
  <c r="I302" i="15" s="1"/>
  <c r="F75" i="17"/>
  <c r="F76" i="17"/>
  <c r="F74" i="17"/>
  <c r="M163" i="17"/>
  <c r="M162" i="17"/>
  <c r="M161" i="17"/>
  <c r="F28" i="17"/>
  <c r="F36" i="17" s="1"/>
  <c r="G26" i="36"/>
  <c r="H26" i="36" s="1"/>
  <c r="H93" i="17"/>
  <c r="H94" i="17"/>
  <c r="F112" i="17"/>
  <c r="F113" i="17"/>
  <c r="F114" i="17"/>
  <c r="H151" i="17"/>
  <c r="H152" i="17"/>
  <c r="H57" i="17"/>
  <c r="F15" i="15"/>
  <c r="I149" i="15"/>
  <c r="F42" i="15"/>
  <c r="J53" i="6"/>
  <c r="D54" i="17"/>
  <c r="D171" i="17"/>
  <c r="D169" i="17"/>
  <c r="D170" i="17"/>
  <c r="F21" i="37"/>
  <c r="E21" i="37"/>
  <c r="F43" i="15"/>
  <c r="J54" i="6"/>
  <c r="F30" i="15"/>
  <c r="F31" i="17"/>
  <c r="Q27" i="17"/>
  <c r="Q122" i="17" l="1"/>
  <c r="Q124" i="17" s="1"/>
  <c r="S124" i="17" s="1"/>
  <c r="Q120" i="17"/>
  <c r="S120" i="17" s="1"/>
  <c r="B15" i="29"/>
  <c r="Q117" i="17"/>
  <c r="B56" i="28"/>
  <c r="H32" i="17"/>
  <c r="H35" i="17" s="1"/>
  <c r="I430" i="15"/>
  <c r="I399" i="15"/>
  <c r="Q65" i="17"/>
  <c r="AN72" i="43"/>
  <c r="C28" i="44" s="1"/>
  <c r="Q8" i="17"/>
  <c r="F146" i="17"/>
  <c r="F149" i="17" s="1"/>
  <c r="AN92" i="43"/>
  <c r="C48" i="44" s="1"/>
  <c r="H9" i="11"/>
  <c r="AG123" i="43"/>
  <c r="AL76" i="43" s="1"/>
  <c r="AN76" i="43" s="1"/>
  <c r="C32" i="44" s="1"/>
  <c r="F32" i="44" s="1"/>
  <c r="AG124" i="43"/>
  <c r="AL77" i="43" s="1"/>
  <c r="AN59" i="43"/>
  <c r="C15" i="44" s="1"/>
  <c r="F15" i="44" s="1"/>
  <c r="F65" i="44" s="1"/>
  <c r="F55" i="17"/>
  <c r="Q42" i="17" s="1"/>
  <c r="F57" i="17"/>
  <c r="Q45" i="17" s="1"/>
  <c r="S45" i="17" s="1"/>
  <c r="F93" i="17"/>
  <c r="F94" i="17"/>
  <c r="H9" i="17"/>
  <c r="H18" i="17" s="1"/>
  <c r="Q6" i="17" s="1"/>
  <c r="S6" i="17" s="1"/>
  <c r="D17" i="17"/>
  <c r="AN84" i="43"/>
  <c r="C40" i="44" s="1"/>
  <c r="F40" i="44" s="1"/>
  <c r="G40" i="44" s="1"/>
  <c r="F95" i="17"/>
  <c r="D19" i="17"/>
  <c r="Q66" i="17"/>
  <c r="S66" i="17" s="1"/>
  <c r="AN63" i="43"/>
  <c r="C19" i="44" s="1"/>
  <c r="F19" i="44" s="1"/>
  <c r="G19" i="44" s="1"/>
  <c r="G69" i="44" s="1"/>
  <c r="I69" i="44" s="1"/>
  <c r="I308" i="15"/>
  <c r="S103" i="17"/>
  <c r="AN60" i="43"/>
  <c r="C16" i="44" s="1"/>
  <c r="F16" i="44" s="1"/>
  <c r="F66" i="44" s="1"/>
  <c r="F131" i="17"/>
  <c r="Q118" i="17" s="1"/>
  <c r="F133" i="17"/>
  <c r="Q121" i="17" s="1"/>
  <c r="S121" i="17" s="1"/>
  <c r="AN57" i="43"/>
  <c r="C13" i="44" s="1"/>
  <c r="I264" i="15"/>
  <c r="I265" i="15" s="1"/>
  <c r="I245" i="15"/>
  <c r="I246" i="15" s="1"/>
  <c r="G43" i="11"/>
  <c r="G29" i="116"/>
  <c r="H29" i="116" s="1"/>
  <c r="I325" i="15"/>
  <c r="E490" i="15" s="1"/>
  <c r="I222" i="15"/>
  <c r="I200" i="15" s="1"/>
  <c r="J9" i="6"/>
  <c r="I6" i="15" s="1"/>
  <c r="I61" i="15" s="1"/>
  <c r="I62" i="15" s="1"/>
  <c r="I63" i="15" s="1"/>
  <c r="I65" i="15" s="1"/>
  <c r="J10" i="6"/>
  <c r="I7" i="15" s="1"/>
  <c r="I99" i="15" s="1"/>
  <c r="I223" i="15"/>
  <c r="F206" i="14"/>
  <c r="F207" i="14" s="1"/>
  <c r="F208" i="14" s="1"/>
  <c r="I326" i="15"/>
  <c r="I567" i="15" s="1"/>
  <c r="I568" i="15" s="1"/>
  <c r="I457" i="15"/>
  <c r="E9" i="36"/>
  <c r="G9" i="36" s="1"/>
  <c r="H9" i="36" s="1"/>
  <c r="I324" i="15"/>
  <c r="I417" i="15" s="1"/>
  <c r="E8" i="37"/>
  <c r="G8" i="37" s="1"/>
  <c r="H8" i="37" s="1"/>
  <c r="E8" i="51"/>
  <c r="G8" i="51" s="1"/>
  <c r="H8" i="51" s="1"/>
  <c r="I323" i="15"/>
  <c r="E456" i="15" s="1"/>
  <c r="I456" i="15" s="1"/>
  <c r="D205" i="14"/>
  <c r="I179" i="15"/>
  <c r="I322" i="15"/>
  <c r="I327" i="15"/>
  <c r="I293" i="15"/>
  <c r="I294" i="15" s="1"/>
  <c r="I295" i="15" s="1"/>
  <c r="I297" i="15" s="1"/>
  <c r="G21" i="11" s="1"/>
  <c r="H21" i="11" s="1"/>
  <c r="F25" i="44"/>
  <c r="F75" i="44" s="1"/>
  <c r="C75" i="44"/>
  <c r="AN61" i="43"/>
  <c r="C17" i="44" s="1"/>
  <c r="F17" i="44" s="1"/>
  <c r="F67" i="44" s="1"/>
  <c r="A13" i="6"/>
  <c r="A9" i="15"/>
  <c r="Q123" i="17"/>
  <c r="S123" i="17" s="1"/>
  <c r="Q142" i="17"/>
  <c r="S142" i="17" s="1"/>
  <c r="AN66" i="43"/>
  <c r="C22" i="44" s="1"/>
  <c r="F22" i="44" s="1"/>
  <c r="F37" i="17"/>
  <c r="Q25" i="17" s="1"/>
  <c r="S25" i="17" s="1"/>
  <c r="AN67" i="43"/>
  <c r="C23" i="44" s="1"/>
  <c r="F38" i="17"/>
  <c r="Q26" i="17" s="1"/>
  <c r="S26" i="17" s="1"/>
  <c r="S122" i="17"/>
  <c r="AN91" i="43"/>
  <c r="C47" i="44" s="1"/>
  <c r="C97" i="44" s="1"/>
  <c r="AI54" i="27"/>
  <c r="B13" i="28"/>
  <c r="I271" i="15"/>
  <c r="I252" i="15"/>
  <c r="I318" i="15"/>
  <c r="I83" i="15"/>
  <c r="I84" i="15" s="1"/>
  <c r="I85" i="15" s="1"/>
  <c r="I88" i="15" s="1"/>
  <c r="G16" i="11" s="1"/>
  <c r="H16" i="11" s="1"/>
  <c r="F14" i="44"/>
  <c r="F64" i="44" s="1"/>
  <c r="AN64" i="43"/>
  <c r="C20" i="44" s="1"/>
  <c r="F20" i="44" s="1"/>
  <c r="AN83" i="43"/>
  <c r="C39" i="44" s="1"/>
  <c r="F39" i="44" s="1"/>
  <c r="G39" i="44" s="1"/>
  <c r="F18" i="44"/>
  <c r="G18" i="44" s="1"/>
  <c r="AN71" i="43"/>
  <c r="C27" i="44" s="1"/>
  <c r="AN80" i="43"/>
  <c r="C36" i="44" s="1"/>
  <c r="F36" i="44" s="1"/>
  <c r="C63" i="44"/>
  <c r="F13" i="44"/>
  <c r="F63" i="44" s="1"/>
  <c r="AN82" i="43"/>
  <c r="C38" i="44" s="1"/>
  <c r="F38" i="44" s="1"/>
  <c r="AN89" i="43"/>
  <c r="C45" i="44" s="1"/>
  <c r="F45" i="44" s="1"/>
  <c r="G45" i="44" s="1"/>
  <c r="AN56" i="43"/>
  <c r="C12" i="44" s="1"/>
  <c r="Q102" i="17"/>
  <c r="S102" i="17" s="1"/>
  <c r="AN75" i="43"/>
  <c r="C31" i="44" s="1"/>
  <c r="F31" i="44" s="1"/>
  <c r="G31" i="44" s="1"/>
  <c r="AN77" i="43"/>
  <c r="C33" i="44" s="1"/>
  <c r="C83" i="44" s="1"/>
  <c r="C65" i="44"/>
  <c r="Q22" i="17"/>
  <c r="Q28" i="17"/>
  <c r="Q30" i="17" s="1"/>
  <c r="S30" i="17" s="1"/>
  <c r="Q99" i="17"/>
  <c r="S99" i="17" s="1"/>
  <c r="Q85" i="17"/>
  <c r="Q141" i="17"/>
  <c r="AN74" i="43"/>
  <c r="C30" i="44" s="1"/>
  <c r="C80" i="44" s="1"/>
  <c r="AN73" i="43"/>
  <c r="C29" i="44" s="1"/>
  <c r="C79" i="44" s="1"/>
  <c r="AN81" i="43"/>
  <c r="C37" i="44" s="1"/>
  <c r="C87" i="44" s="1"/>
  <c r="AN68" i="43"/>
  <c r="C24" i="44" s="1"/>
  <c r="C74" i="44" s="1"/>
  <c r="I381" i="15"/>
  <c r="F16" i="17"/>
  <c r="Q9" i="17"/>
  <c r="F10" i="44"/>
  <c r="F60" i="44" s="1"/>
  <c r="C60" i="44"/>
  <c r="E437" i="15"/>
  <c r="D150" i="17"/>
  <c r="Q137" i="17" s="1"/>
  <c r="AN87" i="43"/>
  <c r="C43" i="44" s="1"/>
  <c r="C93" i="44" s="1"/>
  <c r="AN85" i="27"/>
  <c r="C45" i="29" s="1"/>
  <c r="F45" i="29" s="1"/>
  <c r="G45" i="29" s="1"/>
  <c r="AN70" i="43"/>
  <c r="C26" i="44" s="1"/>
  <c r="AN93" i="43"/>
  <c r="C49" i="44" s="1"/>
  <c r="F49" i="44" s="1"/>
  <c r="D151" i="17"/>
  <c r="Q139" i="17" s="1"/>
  <c r="S139" i="17" s="1"/>
  <c r="B57" i="28"/>
  <c r="B14" i="28"/>
  <c r="B16" i="29"/>
  <c r="AN78" i="43"/>
  <c r="C34" i="44" s="1"/>
  <c r="C84" i="44" s="1"/>
  <c r="Q80" i="17"/>
  <c r="Q81" i="17" s="1"/>
  <c r="S81" i="17" s="1"/>
  <c r="Q46" i="17"/>
  <c r="S46" i="17" s="1"/>
  <c r="AN85" i="43"/>
  <c r="C41" i="44" s="1"/>
  <c r="C91" i="44" s="1"/>
  <c r="D152" i="17"/>
  <c r="Q140" i="17" s="1"/>
  <c r="S140" i="17" s="1"/>
  <c r="AN79" i="43"/>
  <c r="C35" i="44" s="1"/>
  <c r="C85" i="44" s="1"/>
  <c r="Q23" i="17"/>
  <c r="S23" i="17" s="1"/>
  <c r="Q101" i="17"/>
  <c r="S101" i="17" s="1"/>
  <c r="Q44" i="17"/>
  <c r="S44" i="17" s="1"/>
  <c r="Q104" i="17"/>
  <c r="Q106" i="17" s="1"/>
  <c r="S106" i="17" s="1"/>
  <c r="AN88" i="43"/>
  <c r="C44" i="44" s="1"/>
  <c r="F44" i="44" s="1"/>
  <c r="G44" i="44" s="1"/>
  <c r="G25" i="44"/>
  <c r="G75" i="44" s="1"/>
  <c r="I75" i="44" s="1"/>
  <c r="F12" i="15"/>
  <c r="J15" i="6"/>
  <c r="I12" i="15" s="1"/>
  <c r="AN90" i="43"/>
  <c r="C46" i="44" s="1"/>
  <c r="C96" i="44" s="1"/>
  <c r="AN65" i="43"/>
  <c r="C21" i="44" s="1"/>
  <c r="F21" i="44" s="1"/>
  <c r="Q83" i="17"/>
  <c r="S83" i="17" s="1"/>
  <c r="Q82" i="17"/>
  <c r="S82" i="17" s="1"/>
  <c r="C78" i="44"/>
  <c r="F28" i="44"/>
  <c r="H171" i="17"/>
  <c r="Q159" i="17" s="1"/>
  <c r="S159" i="17" s="1"/>
  <c r="H169" i="17"/>
  <c r="Q156" i="17" s="1"/>
  <c r="H170" i="17"/>
  <c r="Q158" i="17" s="1"/>
  <c r="S158" i="17" s="1"/>
  <c r="Q155" i="17"/>
  <c r="H74" i="17"/>
  <c r="Q61" i="17" s="1"/>
  <c r="Q62" i="17" s="1"/>
  <c r="S62" i="17" s="1"/>
  <c r="Q60" i="17"/>
  <c r="H75" i="17"/>
  <c r="Q63" i="17" s="1"/>
  <c r="S63" i="17" s="1"/>
  <c r="H76" i="17"/>
  <c r="Q64" i="17" s="1"/>
  <c r="S64" i="17" s="1"/>
  <c r="I170" i="15"/>
  <c r="G21" i="116" s="1"/>
  <c r="H21" i="116" s="1"/>
  <c r="AN86" i="43"/>
  <c r="C42" i="44" s="1"/>
  <c r="I150" i="15"/>
  <c r="I151" i="15" s="1"/>
  <c r="F48" i="44"/>
  <c r="C98" i="44"/>
  <c r="S104" i="17"/>
  <c r="I121" i="15"/>
  <c r="I122" i="15" s="1"/>
  <c r="I124" i="15" s="1"/>
  <c r="H51" i="17"/>
  <c r="F164" i="17"/>
  <c r="Q160" i="17"/>
  <c r="G17" i="11"/>
  <c r="H17" i="11" s="1"/>
  <c r="G16" i="116"/>
  <c r="H16" i="116" s="1"/>
  <c r="F168" i="17"/>
  <c r="Q161" i="17"/>
  <c r="BW31" i="95"/>
  <c r="BY31" i="95" s="1"/>
  <c r="I115" i="15"/>
  <c r="G22" i="11" s="1"/>
  <c r="H22" i="11" s="1"/>
  <c r="I175" i="15"/>
  <c r="I176" i="15" s="1"/>
  <c r="E398" i="15"/>
  <c r="I398" i="15" s="1"/>
  <c r="Q86" i="17"/>
  <c r="S86" i="17" s="1"/>
  <c r="S84" i="17"/>
  <c r="BV12" i="95"/>
  <c r="BV13" i="95"/>
  <c r="BV14" i="95"/>
  <c r="BV20" i="95"/>
  <c r="BV17" i="95"/>
  <c r="S8" i="17"/>
  <c r="Q10" i="17"/>
  <c r="S10" i="17" s="1"/>
  <c r="C207" i="14"/>
  <c r="D206" i="14"/>
  <c r="Q67" i="17"/>
  <c r="S67" i="17" s="1"/>
  <c r="S65" i="17"/>
  <c r="I98" i="15"/>
  <c r="F7" i="51"/>
  <c r="G7" i="51" s="1"/>
  <c r="H7" i="51" s="1"/>
  <c r="I136" i="15"/>
  <c r="I138" i="15" s="1"/>
  <c r="I139" i="15" s="1"/>
  <c r="I141" i="15" s="1"/>
  <c r="I142" i="15" s="1"/>
  <c r="F7" i="37"/>
  <c r="G7" i="37" s="1"/>
  <c r="H7" i="37" s="1"/>
  <c r="F7" i="36"/>
  <c r="G7" i="36" s="1"/>
  <c r="H7" i="36" s="1"/>
  <c r="F16" i="15"/>
  <c r="J19" i="6"/>
  <c r="I16" i="15" s="1"/>
  <c r="I199" i="15" s="1"/>
  <c r="G21" i="37"/>
  <c r="H21" i="37" s="1"/>
  <c r="F24" i="44"/>
  <c r="C61" i="44"/>
  <c r="F11" i="44"/>
  <c r="I42" i="15"/>
  <c r="I365" i="15"/>
  <c r="Q29" i="17"/>
  <c r="S29" i="17" s="1"/>
  <c r="S27" i="17"/>
  <c r="I43" i="15"/>
  <c r="I373" i="15"/>
  <c r="H20" i="11"/>
  <c r="C67" i="44" l="1"/>
  <c r="C90" i="44"/>
  <c r="H17" i="17"/>
  <c r="Q4" i="17" s="1"/>
  <c r="G15" i="44"/>
  <c r="X98" i="27"/>
  <c r="AB98" i="27" s="1"/>
  <c r="AG98" i="27" s="1"/>
  <c r="AL55" i="27" s="1"/>
  <c r="AN55" i="27" s="1"/>
  <c r="C15" i="29" s="1"/>
  <c r="F15" i="29" s="1"/>
  <c r="G15" i="29" s="1"/>
  <c r="AI55" i="27"/>
  <c r="F68" i="44"/>
  <c r="G13" i="44"/>
  <c r="G63" i="44" s="1"/>
  <c r="I63" i="44" s="1"/>
  <c r="C95" i="44"/>
  <c r="C82" i="44"/>
  <c r="Q68" i="17"/>
  <c r="S68" i="17" s="1"/>
  <c r="Q144" i="17"/>
  <c r="S144" i="17" s="1"/>
  <c r="Q125" i="17"/>
  <c r="S125" i="17" s="1"/>
  <c r="H19" i="17"/>
  <c r="Q7" i="17" s="1"/>
  <c r="S7" i="17" s="1"/>
  <c r="Q3" i="17"/>
  <c r="Q5" i="17"/>
  <c r="S5" i="17" s="1"/>
  <c r="S4" i="17"/>
  <c r="F72" i="44"/>
  <c r="G22" i="44"/>
  <c r="G72" i="44" s="1"/>
  <c r="I72" i="44" s="1"/>
  <c r="G14" i="44"/>
  <c r="G64" i="44" s="1"/>
  <c r="I64" i="44" s="1"/>
  <c r="C99" i="44"/>
  <c r="C66" i="44"/>
  <c r="C69" i="44"/>
  <c r="F34" i="44"/>
  <c r="F84" i="44" s="1"/>
  <c r="C72" i="44"/>
  <c r="C89" i="44"/>
  <c r="C70" i="44"/>
  <c r="S28" i="17"/>
  <c r="F89" i="44"/>
  <c r="G207" i="14"/>
  <c r="G206" i="14"/>
  <c r="S118" i="17"/>
  <c r="Q119" i="17"/>
  <c r="S119" i="17" s="1"/>
  <c r="E467" i="15"/>
  <c r="I467" i="15" s="1"/>
  <c r="C86" i="44"/>
  <c r="F47" i="44"/>
  <c r="Q24" i="17"/>
  <c r="S24" i="17" s="1"/>
  <c r="F33" i="44"/>
  <c r="F83" i="44" s="1"/>
  <c r="E499" i="15"/>
  <c r="I499" i="15" s="1"/>
  <c r="E449" i="15"/>
  <c r="I449" i="15" s="1"/>
  <c r="G10" i="44"/>
  <c r="G60" i="44" s="1"/>
  <c r="I60" i="44" s="1"/>
  <c r="H42" i="11"/>
  <c r="G28" i="116"/>
  <c r="H28" i="116" s="1"/>
  <c r="I68" i="15"/>
  <c r="I69" i="15" s="1"/>
  <c r="I70" i="15" s="1"/>
  <c r="I72" i="15" s="1"/>
  <c r="G13" i="11" s="1"/>
  <c r="H13" i="11" s="1"/>
  <c r="I75" i="15"/>
  <c r="I76" i="15" s="1"/>
  <c r="I77" i="15" s="1"/>
  <c r="I79" i="15" s="1"/>
  <c r="G14" i="11" s="1"/>
  <c r="H14" i="11" s="1"/>
  <c r="I100" i="15"/>
  <c r="I101" i="15" s="1"/>
  <c r="I104" i="15" s="1"/>
  <c r="I437" i="15"/>
  <c r="E10" i="37"/>
  <c r="G10" i="37" s="1"/>
  <c r="H10" i="37" s="1"/>
  <c r="E10" i="51"/>
  <c r="G10" i="51" s="1"/>
  <c r="H10" i="51" s="1"/>
  <c r="E11" i="36"/>
  <c r="G11" i="36" s="1"/>
  <c r="H11" i="36" s="1"/>
  <c r="E9" i="37"/>
  <c r="G9" i="37" s="1"/>
  <c r="H9" i="37" s="1"/>
  <c r="E10" i="36"/>
  <c r="G10" i="36" s="1"/>
  <c r="H10" i="36" s="1"/>
  <c r="I391" i="15"/>
  <c r="I392" i="15" s="1"/>
  <c r="I393" i="15" s="1"/>
  <c r="E9" i="51"/>
  <c r="G9" i="51" s="1"/>
  <c r="H9" i="51" s="1"/>
  <c r="I427" i="15"/>
  <c r="I396" i="15"/>
  <c r="E495" i="15"/>
  <c r="I495" i="15" s="1"/>
  <c r="I406" i="15"/>
  <c r="I359" i="15"/>
  <c r="I360" i="15" s="1"/>
  <c r="I361" i="15" s="1"/>
  <c r="G37" i="116" s="1"/>
  <c r="H37" i="116" s="1"/>
  <c r="I367" i="15"/>
  <c r="I368" i="15" s="1"/>
  <c r="I369" i="15" s="1"/>
  <c r="I571" i="15"/>
  <c r="I574" i="15" s="1"/>
  <c r="I581" i="15" s="1"/>
  <c r="I582" i="15" s="1"/>
  <c r="I583" i="15" s="1"/>
  <c r="I375" i="15"/>
  <c r="I376" i="15" s="1"/>
  <c r="I377" i="15" s="1"/>
  <c r="I383" i="15"/>
  <c r="I384" i="15" s="1"/>
  <c r="I385" i="15" s="1"/>
  <c r="G58" i="11" s="1"/>
  <c r="H58" i="11" s="1"/>
  <c r="I351" i="15"/>
  <c r="I352" i="15" s="1"/>
  <c r="I353" i="15" s="1"/>
  <c r="G36" i="116" s="1"/>
  <c r="H36" i="116" s="1"/>
  <c r="F35" i="44"/>
  <c r="F85" i="44" s="1"/>
  <c r="F37" i="44"/>
  <c r="G37" i="44" s="1"/>
  <c r="G87" i="44" s="1"/>
  <c r="I87" i="44" s="1"/>
  <c r="F23" i="44"/>
  <c r="C73" i="44"/>
  <c r="F69" i="44"/>
  <c r="F30" i="44"/>
  <c r="A14" i="6"/>
  <c r="A10" i="15"/>
  <c r="F90" i="44"/>
  <c r="S80" i="17"/>
  <c r="G17" i="44"/>
  <c r="G67" i="44" s="1"/>
  <c r="I67" i="44" s="1"/>
  <c r="G16" i="44"/>
  <c r="G66" i="44" s="1"/>
  <c r="I66" i="44" s="1"/>
  <c r="F95" i="44"/>
  <c r="I250" i="15"/>
  <c r="I269" i="15"/>
  <c r="C81" i="44"/>
  <c r="I161" i="15"/>
  <c r="G25" i="11" s="1"/>
  <c r="H25" i="11" s="1"/>
  <c r="I184" i="15"/>
  <c r="G26" i="11" s="1"/>
  <c r="H26" i="11" s="1"/>
  <c r="I145" i="15"/>
  <c r="G24" i="11"/>
  <c r="H24" i="11" s="1"/>
  <c r="F41" i="44"/>
  <c r="G41" i="44" s="1"/>
  <c r="G91" i="44" s="1"/>
  <c r="I91" i="44" s="1"/>
  <c r="F27" i="44"/>
  <c r="C77" i="44"/>
  <c r="F81" i="44"/>
  <c r="C88" i="44"/>
  <c r="F43" i="44"/>
  <c r="G43" i="44" s="1"/>
  <c r="Q100" i="17"/>
  <c r="S100" i="17" s="1"/>
  <c r="C94" i="44"/>
  <c r="C62" i="44"/>
  <c r="F12" i="44"/>
  <c r="Q48" i="17"/>
  <c r="S48" i="17" s="1"/>
  <c r="F29" i="44"/>
  <c r="Q87" i="17"/>
  <c r="S87" i="17" s="1"/>
  <c r="S85" i="17"/>
  <c r="F46" i="44"/>
  <c r="Q143" i="17"/>
  <c r="S143" i="17" s="1"/>
  <c r="S141" i="17"/>
  <c r="G49" i="44"/>
  <c r="G99" i="44" s="1"/>
  <c r="I99" i="44" s="1"/>
  <c r="F99" i="44"/>
  <c r="X99" i="27"/>
  <c r="AB99" i="27" s="1"/>
  <c r="AG99" i="27" s="1"/>
  <c r="AL56" i="27" s="1"/>
  <c r="AN56" i="27" s="1"/>
  <c r="C16" i="29" s="1"/>
  <c r="F16" i="29" s="1"/>
  <c r="G16" i="29" s="1"/>
  <c r="B17" i="29"/>
  <c r="B58" i="28"/>
  <c r="B15" i="28"/>
  <c r="AI56" i="27"/>
  <c r="S137" i="17"/>
  <c r="Q138" i="17"/>
  <c r="S138" i="17" s="1"/>
  <c r="F94" i="44"/>
  <c r="C71" i="44"/>
  <c r="C76" i="44"/>
  <c r="F26" i="44"/>
  <c r="S61" i="17"/>
  <c r="Q11" i="17"/>
  <c r="S11" i="17" s="1"/>
  <c r="S9" i="17"/>
  <c r="S42" i="17"/>
  <c r="Q43" i="17"/>
  <c r="S43" i="17" s="1"/>
  <c r="G36" i="44"/>
  <c r="F86" i="44"/>
  <c r="S156" i="17"/>
  <c r="Q157" i="17"/>
  <c r="S157" i="17" s="1"/>
  <c r="G28" i="44"/>
  <c r="F78" i="44"/>
  <c r="G21" i="44"/>
  <c r="F71" i="44"/>
  <c r="C92" i="44"/>
  <c r="F42" i="44"/>
  <c r="F82" i="44"/>
  <c r="G32" i="44"/>
  <c r="G48" i="44"/>
  <c r="F98" i="44"/>
  <c r="G38" i="44"/>
  <c r="F88" i="44"/>
  <c r="H54" i="17"/>
  <c r="Q47" i="17"/>
  <c r="S161" i="17"/>
  <c r="Q163" i="17"/>
  <c r="S163" i="17" s="1"/>
  <c r="Q162" i="17"/>
  <c r="S162" i="17" s="1"/>
  <c r="S160" i="17"/>
  <c r="G14" i="116"/>
  <c r="H14" i="116" s="1"/>
  <c r="G19" i="116"/>
  <c r="H19" i="116" s="1"/>
  <c r="G12" i="11"/>
  <c r="H12" i="11" s="1"/>
  <c r="E454" i="15"/>
  <c r="I454" i="15" s="1"/>
  <c r="C208" i="14"/>
  <c r="D207" i="14"/>
  <c r="G81" i="44"/>
  <c r="I81" i="44" s="1"/>
  <c r="F61" i="44"/>
  <c r="G11" i="44"/>
  <c r="G24" i="44"/>
  <c r="F74" i="44"/>
  <c r="G94" i="44"/>
  <c r="I94" i="44" s="1"/>
  <c r="G68" i="44"/>
  <c r="I68" i="44" s="1"/>
  <c r="F70" i="44"/>
  <c r="G20" i="44"/>
  <c r="G65" i="44"/>
  <c r="I65" i="44" s="1"/>
  <c r="G89" i="44"/>
  <c r="I89" i="44" s="1"/>
  <c r="G95" i="44"/>
  <c r="I95" i="44" s="1"/>
  <c r="G90" i="44"/>
  <c r="I90" i="44" s="1"/>
  <c r="F209" i="14"/>
  <c r="G208" i="14"/>
  <c r="E503" i="15"/>
  <c r="I503" i="15" s="1"/>
  <c r="I490" i="15"/>
  <c r="G34" i="44" l="1"/>
  <c r="G84" i="44" s="1"/>
  <c r="I84" i="44" s="1"/>
  <c r="G35" i="44"/>
  <c r="G85" i="44" s="1"/>
  <c r="I85" i="44" s="1"/>
  <c r="F91" i="44"/>
  <c r="G33" i="44"/>
  <c r="G83" i="44" s="1"/>
  <c r="I83" i="44" s="1"/>
  <c r="G47" i="44"/>
  <c r="G97" i="44" s="1"/>
  <c r="I97" i="44" s="1"/>
  <c r="F97" i="44"/>
  <c r="F87" i="44"/>
  <c r="G48" i="11"/>
  <c r="H48" i="11" s="1"/>
  <c r="G30" i="116"/>
  <c r="H30" i="116" s="1"/>
  <c r="A15" i="6"/>
  <c r="A11" i="15"/>
  <c r="F80" i="44"/>
  <c r="G30" i="44"/>
  <c r="G80" i="44" s="1"/>
  <c r="I80" i="44" s="1"/>
  <c r="F73" i="44"/>
  <c r="G23" i="44"/>
  <c r="G73" i="44" s="1"/>
  <c r="I73" i="44" s="1"/>
  <c r="F93" i="44"/>
  <c r="G27" i="44"/>
  <c r="G77" i="44" s="1"/>
  <c r="I77" i="44" s="1"/>
  <c r="F77" i="44"/>
  <c r="G12" i="44"/>
  <c r="G62" i="44" s="1"/>
  <c r="I62" i="44" s="1"/>
  <c r="F62" i="44"/>
  <c r="G29" i="44"/>
  <c r="F79" i="44"/>
  <c r="F96" i="44"/>
  <c r="G46" i="44"/>
  <c r="X100" i="27"/>
  <c r="AB100" i="27" s="1"/>
  <c r="AG100" i="27" s="1"/>
  <c r="AL57" i="27" s="1"/>
  <c r="AN57" i="27" s="1"/>
  <c r="C17" i="29" s="1"/>
  <c r="F17" i="29" s="1"/>
  <c r="G17" i="29" s="1"/>
  <c r="B16" i="28"/>
  <c r="B18" i="29"/>
  <c r="AI57" i="27"/>
  <c r="B59" i="28"/>
  <c r="G26" i="44"/>
  <c r="F76" i="44"/>
  <c r="G86" i="44"/>
  <c r="I86" i="44" s="1"/>
  <c r="G78" i="44"/>
  <c r="I78" i="44" s="1"/>
  <c r="G71" i="44"/>
  <c r="I71" i="44" s="1"/>
  <c r="F92" i="44"/>
  <c r="G42" i="44"/>
  <c r="G88" i="44"/>
  <c r="I88" i="44" s="1"/>
  <c r="G98" i="44"/>
  <c r="I98" i="44" s="1"/>
  <c r="G82" i="44"/>
  <c r="I82" i="44" s="1"/>
  <c r="S47" i="17"/>
  <c r="Q49" i="17"/>
  <c r="S49" i="17" s="1"/>
  <c r="G93" i="44"/>
  <c r="I93" i="44" s="1"/>
  <c r="G38" i="116"/>
  <c r="H38" i="116" s="1"/>
  <c r="G17" i="116"/>
  <c r="H17" i="116" s="1"/>
  <c r="G39" i="116"/>
  <c r="H39" i="116" s="1"/>
  <c r="D208" i="14"/>
  <c r="C209" i="14"/>
  <c r="G70" i="44"/>
  <c r="I70" i="44" s="1"/>
  <c r="G61" i="44"/>
  <c r="I61" i="44" s="1"/>
  <c r="G74" i="44"/>
  <c r="I74" i="44" s="1"/>
  <c r="G209" i="14"/>
  <c r="F210" i="14"/>
  <c r="A16" i="6" l="1"/>
  <c r="A12" i="15"/>
  <c r="G79" i="44"/>
  <c r="I79" i="44" s="1"/>
  <c r="G96" i="44"/>
  <c r="I96" i="44" s="1"/>
  <c r="B19" i="29"/>
  <c r="AI58" i="27"/>
  <c r="X101" i="27"/>
  <c r="AB101" i="27" s="1"/>
  <c r="AG101" i="27" s="1"/>
  <c r="AL58" i="27" s="1"/>
  <c r="AN58" i="27" s="1"/>
  <c r="C18" i="29" s="1"/>
  <c r="F18" i="29" s="1"/>
  <c r="G18" i="29" s="1"/>
  <c r="B60" i="28"/>
  <c r="B17" i="28"/>
  <c r="G76" i="44"/>
  <c r="I76" i="44" s="1"/>
  <c r="G92" i="44"/>
  <c r="I92" i="44" s="1"/>
  <c r="E12" i="34"/>
  <c r="C210" i="14"/>
  <c r="D209" i="14"/>
  <c r="G210" i="14"/>
  <c r="F211" i="14"/>
  <c r="A17" i="6" l="1"/>
  <c r="A13" i="15"/>
  <c r="B18" i="28"/>
  <c r="B20" i="29"/>
  <c r="AI59" i="27"/>
  <c r="B61" i="28"/>
  <c r="X102" i="27"/>
  <c r="AB102" i="27" s="1"/>
  <c r="AG102" i="27" s="1"/>
  <c r="AL59" i="27" s="1"/>
  <c r="AN59" i="27" s="1"/>
  <c r="C19" i="29" s="1"/>
  <c r="F19" i="29" s="1"/>
  <c r="G19" i="29" s="1"/>
  <c r="D210" i="14"/>
  <c r="C211" i="14"/>
  <c r="G211" i="14"/>
  <c r="F212" i="14"/>
  <c r="A18" i="6" l="1"/>
  <c r="A14" i="15"/>
  <c r="B62" i="28"/>
  <c r="B21" i="29"/>
  <c r="B19" i="28"/>
  <c r="AI60" i="27"/>
  <c r="X103" i="27"/>
  <c r="AB103" i="27" s="1"/>
  <c r="AG103" i="27" s="1"/>
  <c r="AL60" i="27" s="1"/>
  <c r="AN60" i="27" s="1"/>
  <c r="C20" i="29" s="1"/>
  <c r="F20" i="29" s="1"/>
  <c r="G20" i="29" s="1"/>
  <c r="C212" i="14"/>
  <c r="D211" i="14"/>
  <c r="G212" i="14"/>
  <c r="F213" i="14"/>
  <c r="A19" i="6" l="1"/>
  <c r="A15" i="15"/>
  <c r="X104" i="27"/>
  <c r="AB104" i="27" s="1"/>
  <c r="AG104" i="27" s="1"/>
  <c r="AL61" i="27" s="1"/>
  <c r="AN61" i="27" s="1"/>
  <c r="C21" i="29" s="1"/>
  <c r="F21" i="29" s="1"/>
  <c r="G21" i="29" s="1"/>
  <c r="B63" i="28"/>
  <c r="B20" i="28"/>
  <c r="AI61" i="27"/>
  <c r="B22" i="29"/>
  <c r="D212" i="14"/>
  <c r="C213" i="14"/>
  <c r="F214" i="14"/>
  <c r="G213" i="14"/>
  <c r="A20" i="6" l="1"/>
  <c r="A16" i="15"/>
  <c r="X105" i="27"/>
  <c r="AB105" i="27" s="1"/>
  <c r="AG105" i="27" s="1"/>
  <c r="AL62" i="27" s="1"/>
  <c r="AN62" i="27" s="1"/>
  <c r="C22" i="29" s="1"/>
  <c r="F22" i="29" s="1"/>
  <c r="G22" i="29" s="1"/>
  <c r="B21" i="28"/>
  <c r="AI62" i="27"/>
  <c r="B64" i="28"/>
  <c r="B23" i="29"/>
  <c r="D213" i="14"/>
  <c r="C214" i="14"/>
  <c r="G214" i="14"/>
  <c r="F215" i="14"/>
  <c r="A21" i="6" l="1"/>
  <c r="A17" i="15"/>
  <c r="B22" i="28"/>
  <c r="B65" i="28"/>
  <c r="X106" i="27"/>
  <c r="AB106" i="27" s="1"/>
  <c r="AG106" i="27" s="1"/>
  <c r="AL63" i="27" s="1"/>
  <c r="AN63" i="27" s="1"/>
  <c r="C23" i="29" s="1"/>
  <c r="F23" i="29" s="1"/>
  <c r="G23" i="29" s="1"/>
  <c r="AI63" i="27"/>
  <c r="B24" i="29"/>
  <c r="D214" i="14"/>
  <c r="C215" i="14"/>
  <c r="G215" i="14"/>
  <c r="F216" i="14"/>
  <c r="A22" i="6" l="1"/>
  <c r="A18" i="15"/>
  <c r="B23" i="28"/>
  <c r="AI64" i="27"/>
  <c r="B66" i="28"/>
  <c r="X107" i="27"/>
  <c r="AB107" i="27" s="1"/>
  <c r="AG107" i="27" s="1"/>
  <c r="AL64" i="27" s="1"/>
  <c r="AN64" i="27" s="1"/>
  <c r="C24" i="29" s="1"/>
  <c r="F24" i="29" s="1"/>
  <c r="G24" i="29" s="1"/>
  <c r="B25" i="29"/>
  <c r="C216" i="14"/>
  <c r="D215" i="14"/>
  <c r="G216" i="14"/>
  <c r="F217" i="14"/>
  <c r="A23" i="6" l="1"/>
  <c r="A19" i="15"/>
  <c r="B26" i="29"/>
  <c r="AI65" i="27"/>
  <c r="X108" i="27"/>
  <c r="AB108" i="27" s="1"/>
  <c r="AG108" i="27" s="1"/>
  <c r="AL65" i="27" s="1"/>
  <c r="AN65" i="27" s="1"/>
  <c r="C25" i="29" s="1"/>
  <c r="F25" i="29" s="1"/>
  <c r="G25" i="29" s="1"/>
  <c r="B24" i="28"/>
  <c r="B67" i="28"/>
  <c r="D216" i="14"/>
  <c r="C217" i="14"/>
  <c r="G217" i="14"/>
  <c r="F218" i="14"/>
  <c r="A24" i="6" l="1"/>
  <c r="A20" i="15"/>
  <c r="B25" i="28"/>
  <c r="AI66" i="27"/>
  <c r="X109" i="27"/>
  <c r="AB109" i="27" s="1"/>
  <c r="AG109" i="27" s="1"/>
  <c r="AL66" i="27" s="1"/>
  <c r="AN66" i="27" s="1"/>
  <c r="C26" i="29" s="1"/>
  <c r="F26" i="29" s="1"/>
  <c r="G26" i="29" s="1"/>
  <c r="B68" i="28"/>
  <c r="B27" i="29"/>
  <c r="C218" i="14"/>
  <c r="D217" i="14"/>
  <c r="G218" i="14"/>
  <c r="F219" i="14"/>
  <c r="A25" i="6" l="1"/>
  <c r="A21" i="15"/>
  <c r="B28" i="29"/>
  <c r="B26" i="28"/>
  <c r="AI67" i="27"/>
  <c r="B69" i="28"/>
  <c r="X110" i="27"/>
  <c r="AB110" i="27" s="1"/>
  <c r="AG110" i="27" s="1"/>
  <c r="AL67" i="27" s="1"/>
  <c r="AN67" i="27" s="1"/>
  <c r="C27" i="29" s="1"/>
  <c r="F27" i="29" s="1"/>
  <c r="G27" i="29" s="1"/>
  <c r="C219" i="14"/>
  <c r="D218" i="14"/>
  <c r="F220" i="14"/>
  <c r="G219" i="14"/>
  <c r="A26" i="6" l="1"/>
  <c r="A22" i="15"/>
  <c r="X111" i="27"/>
  <c r="AB111" i="27" s="1"/>
  <c r="AG111" i="27" s="1"/>
  <c r="AL68" i="27" s="1"/>
  <c r="AN68" i="27" s="1"/>
  <c r="C28" i="29" s="1"/>
  <c r="F28" i="29" s="1"/>
  <c r="G28" i="29" s="1"/>
  <c r="B27" i="28"/>
  <c r="B70" i="28"/>
  <c r="B29" i="29"/>
  <c r="AI68" i="27"/>
  <c r="D219" i="14"/>
  <c r="C220" i="14"/>
  <c r="G220" i="14"/>
  <c r="F221" i="14"/>
  <c r="A27" i="6" l="1"/>
  <c r="A23" i="15"/>
  <c r="AI69" i="27"/>
  <c r="B71" i="28"/>
  <c r="B28" i="28"/>
  <c r="B30" i="29"/>
  <c r="X112" i="27"/>
  <c r="AB112" i="27" s="1"/>
  <c r="AG112" i="27" s="1"/>
  <c r="AL69" i="27" s="1"/>
  <c r="AN69" i="27" s="1"/>
  <c r="C29" i="29" s="1"/>
  <c r="F29" i="29" s="1"/>
  <c r="G29" i="29" s="1"/>
  <c r="D220" i="14"/>
  <c r="C221" i="14"/>
  <c r="G221" i="14"/>
  <c r="F222" i="14"/>
  <c r="A29" i="6" l="1"/>
  <c r="A24" i="15"/>
  <c r="X113" i="27"/>
  <c r="AB113" i="27" s="1"/>
  <c r="AG113" i="27" s="1"/>
  <c r="AL70" i="27" s="1"/>
  <c r="AN70" i="27" s="1"/>
  <c r="C30" i="29" s="1"/>
  <c r="F30" i="29" s="1"/>
  <c r="G30" i="29" s="1"/>
  <c r="AI70" i="27"/>
  <c r="B72" i="28"/>
  <c r="B29" i="28"/>
  <c r="B31" i="29"/>
  <c r="D221" i="14"/>
  <c r="C222" i="14"/>
  <c r="G222" i="14"/>
  <c r="F223" i="14"/>
  <c r="A30" i="6" l="1"/>
  <c r="A26" i="15"/>
  <c r="B73" i="28"/>
  <c r="B30" i="28"/>
  <c r="AI71" i="27"/>
  <c r="X114" i="27"/>
  <c r="AB114" i="27" s="1"/>
  <c r="AG114" i="27" s="1"/>
  <c r="AL71" i="27" s="1"/>
  <c r="AN71" i="27" s="1"/>
  <c r="C31" i="29" s="1"/>
  <c r="F31" i="29" s="1"/>
  <c r="G31" i="29" s="1"/>
  <c r="B32" i="29"/>
  <c r="C223" i="14"/>
  <c r="D222" i="14"/>
  <c r="G223" i="14"/>
  <c r="F224" i="14"/>
  <c r="A31" i="6" l="1"/>
  <c r="A27" i="15"/>
  <c r="X115" i="27"/>
  <c r="AB115" i="27" s="1"/>
  <c r="AG115" i="27" s="1"/>
  <c r="AL72" i="27" s="1"/>
  <c r="AN72" i="27" s="1"/>
  <c r="C32" i="29" s="1"/>
  <c r="F32" i="29" s="1"/>
  <c r="G32" i="29" s="1"/>
  <c r="B74" i="28"/>
  <c r="B33" i="29"/>
  <c r="B31" i="28"/>
  <c r="AI72" i="27"/>
  <c r="C224" i="14"/>
  <c r="D223" i="14"/>
  <c r="F225" i="14"/>
  <c r="G224" i="14"/>
  <c r="A32" i="6" l="1"/>
  <c r="A28" i="15"/>
  <c r="B75" i="28"/>
  <c r="B32" i="28"/>
  <c r="B34" i="29"/>
  <c r="X116" i="27"/>
  <c r="AB116" i="27" s="1"/>
  <c r="AG116" i="27" s="1"/>
  <c r="AL73" i="27" s="1"/>
  <c r="AN73" i="27" s="1"/>
  <c r="C33" i="29" s="1"/>
  <c r="F33" i="29" s="1"/>
  <c r="G33" i="29" s="1"/>
  <c r="AI73" i="27"/>
  <c r="D224" i="14"/>
  <c r="C225" i="14"/>
  <c r="F226" i="14"/>
  <c r="G225" i="14"/>
  <c r="A33" i="6" l="1"/>
  <c r="A29" i="15"/>
  <c r="X117" i="27"/>
  <c r="AB117" i="27" s="1"/>
  <c r="AG117" i="27" s="1"/>
  <c r="AL74" i="27" s="1"/>
  <c r="AN74" i="27" s="1"/>
  <c r="C34" i="29" s="1"/>
  <c r="F34" i="29" s="1"/>
  <c r="G34" i="29" s="1"/>
  <c r="AI74" i="27"/>
  <c r="B33" i="28"/>
  <c r="B35" i="29"/>
  <c r="B76" i="28"/>
  <c r="C226" i="14"/>
  <c r="D225" i="14"/>
  <c r="F227" i="14"/>
  <c r="G226" i="14"/>
  <c r="A34" i="6" l="1"/>
  <c r="A30" i="15"/>
  <c r="AI75" i="27"/>
  <c r="B34" i="28"/>
  <c r="B77" i="28"/>
  <c r="X118" i="27"/>
  <c r="AB118" i="27" s="1"/>
  <c r="AG118" i="27" s="1"/>
  <c r="AL75" i="27" s="1"/>
  <c r="AN75" i="27" s="1"/>
  <c r="C35" i="29" s="1"/>
  <c r="F35" i="29" s="1"/>
  <c r="G35" i="29" s="1"/>
  <c r="B36" i="29"/>
  <c r="C227" i="14"/>
  <c r="D226" i="14"/>
  <c r="F228" i="14"/>
  <c r="G227" i="14"/>
  <c r="A35" i="6" l="1"/>
  <c r="A31" i="15"/>
  <c r="B35" i="28"/>
  <c r="B78" i="28"/>
  <c r="B37" i="29"/>
  <c r="X119" i="27"/>
  <c r="AB119" i="27" s="1"/>
  <c r="AG119" i="27" s="1"/>
  <c r="AL76" i="27" s="1"/>
  <c r="AN76" i="27" s="1"/>
  <c r="C36" i="29" s="1"/>
  <c r="F36" i="29" s="1"/>
  <c r="G36" i="29" s="1"/>
  <c r="AI76" i="27"/>
  <c r="D227" i="14"/>
  <c r="C228" i="14"/>
  <c r="G228" i="14"/>
  <c r="F229" i="14"/>
  <c r="A36" i="6" l="1"/>
  <c r="A32" i="15"/>
  <c r="B36" i="28"/>
  <c r="X120" i="27"/>
  <c r="AB120" i="27" s="1"/>
  <c r="AG120" i="27" s="1"/>
  <c r="AL77" i="27" s="1"/>
  <c r="AN77" i="27" s="1"/>
  <c r="C37" i="29" s="1"/>
  <c r="F37" i="29" s="1"/>
  <c r="G37" i="29" s="1"/>
  <c r="B79" i="28"/>
  <c r="B38" i="29"/>
  <c r="AI77" i="27"/>
  <c r="D228" i="14"/>
  <c r="C229" i="14"/>
  <c r="G229" i="14"/>
  <c r="F230" i="14"/>
  <c r="A37" i="6" l="1"/>
  <c r="A33" i="15"/>
  <c r="AI78" i="27"/>
  <c r="B37" i="28"/>
  <c r="B80" i="28"/>
  <c r="B39" i="29"/>
  <c r="X121" i="27"/>
  <c r="AB121" i="27" s="1"/>
  <c r="AG121" i="27" s="1"/>
  <c r="AL78" i="27" s="1"/>
  <c r="AN78" i="27" s="1"/>
  <c r="C38" i="29" s="1"/>
  <c r="F38" i="29" s="1"/>
  <c r="G38" i="29" s="1"/>
  <c r="C230" i="14"/>
  <c r="D229" i="14"/>
  <c r="F231" i="14"/>
  <c r="G230" i="14"/>
  <c r="A38" i="6" l="1"/>
  <c r="A34" i="15"/>
  <c r="X122" i="27"/>
  <c r="AB122" i="27" s="1"/>
  <c r="AG122" i="27" s="1"/>
  <c r="AL79" i="27" s="1"/>
  <c r="AN79" i="27" s="1"/>
  <c r="C39" i="29" s="1"/>
  <c r="F39" i="29" s="1"/>
  <c r="G39" i="29" s="1"/>
  <c r="AI79" i="27"/>
  <c r="B38" i="28"/>
  <c r="B81" i="28"/>
  <c r="B40" i="29"/>
  <c r="C231" i="14"/>
  <c r="D230" i="14"/>
  <c r="G231" i="14"/>
  <c r="F232" i="14"/>
  <c r="A39" i="6" l="1"/>
  <c r="A35" i="15"/>
  <c r="AI80" i="27"/>
  <c r="X123" i="27"/>
  <c r="AB123" i="27" s="1"/>
  <c r="AG123" i="27" s="1"/>
  <c r="AL80" i="27" s="1"/>
  <c r="AN80" i="27" s="1"/>
  <c r="C40" i="29" s="1"/>
  <c r="F40" i="29" s="1"/>
  <c r="G40" i="29" s="1"/>
  <c r="B41" i="29"/>
  <c r="B39" i="28"/>
  <c r="B82" i="28"/>
  <c r="C232" i="14"/>
  <c r="D231" i="14"/>
  <c r="G232" i="14"/>
  <c r="F233" i="14"/>
  <c r="A40" i="6" l="1"/>
  <c r="A36" i="15"/>
  <c r="X124" i="27"/>
  <c r="AB124" i="27" s="1"/>
  <c r="AG124" i="27" s="1"/>
  <c r="AL81" i="27" s="1"/>
  <c r="AN81" i="27" s="1"/>
  <c r="C41" i="29" s="1"/>
  <c r="F41" i="29" s="1"/>
  <c r="G41" i="29" s="1"/>
  <c r="B42" i="29"/>
  <c r="AI81" i="27"/>
  <c r="B83" i="28"/>
  <c r="B40" i="28"/>
  <c r="C233" i="14"/>
  <c r="D232" i="14"/>
  <c r="F234" i="14"/>
  <c r="G233" i="14"/>
  <c r="A41" i="6" l="1"/>
  <c r="A37" i="15"/>
  <c r="X125" i="27"/>
  <c r="AB125" i="27" s="1"/>
  <c r="AG125" i="27" s="1"/>
  <c r="AL82" i="27" s="1"/>
  <c r="AN82" i="27" s="1"/>
  <c r="C42" i="29" s="1"/>
  <c r="F42" i="29" s="1"/>
  <c r="G42" i="29" s="1"/>
  <c r="B41" i="28"/>
  <c r="B43" i="29"/>
  <c r="B84" i="28"/>
  <c r="AI82" i="27"/>
  <c r="D233" i="14"/>
  <c r="C234" i="14"/>
  <c r="F235" i="14"/>
  <c r="G234" i="14"/>
  <c r="A42" i="6" l="1"/>
  <c r="A38" i="15"/>
  <c r="B42" i="28"/>
  <c r="X126" i="27"/>
  <c r="AB126" i="27" s="1"/>
  <c r="AG126" i="27" s="1"/>
  <c r="AL83" i="27" s="1"/>
  <c r="AN83" i="27" s="1"/>
  <c r="C43" i="29" s="1"/>
  <c r="F43" i="29" s="1"/>
  <c r="G43" i="29" s="1"/>
  <c r="B44" i="29"/>
  <c r="B85" i="28"/>
  <c r="AI83" i="27"/>
  <c r="D234" i="14"/>
  <c r="C235" i="14"/>
  <c r="G235" i="14"/>
  <c r="F236" i="14"/>
  <c r="A43" i="6" l="1"/>
  <c r="A39" i="15"/>
  <c r="B43" i="28"/>
  <c r="X127" i="27"/>
  <c r="AB127" i="27" s="1"/>
  <c r="AG127" i="27" s="1"/>
  <c r="AL84" i="27" s="1"/>
  <c r="AN84" i="27" s="1"/>
  <c r="C44" i="29" s="1"/>
  <c r="F44" i="29" s="1"/>
  <c r="G44" i="29" s="1"/>
  <c r="B86" i="28"/>
  <c r="AI84" i="27"/>
  <c r="C236" i="14"/>
  <c r="D235" i="14"/>
  <c r="G236" i="14"/>
  <c r="F237" i="14"/>
  <c r="A44" i="6" l="1"/>
  <c r="A40" i="15"/>
  <c r="C237" i="14"/>
  <c r="D236" i="14"/>
  <c r="G237" i="14"/>
  <c r="F238" i="14"/>
  <c r="A45" i="6" l="1"/>
  <c r="A41" i="15"/>
  <c r="C238" i="14"/>
  <c r="D237" i="14"/>
  <c r="G238" i="14"/>
  <c r="F239" i="14"/>
  <c r="A46" i="6" l="1"/>
  <c r="A42" i="15"/>
  <c r="C239" i="14"/>
  <c r="D238" i="14"/>
  <c r="F240" i="14"/>
  <c r="G239" i="14"/>
  <c r="A47" i="6" l="1"/>
  <c r="A43" i="15"/>
  <c r="C240" i="14"/>
  <c r="D239" i="14"/>
  <c r="F241" i="14"/>
  <c r="G240" i="14"/>
  <c r="A48" i="6" l="1"/>
  <c r="A44" i="15"/>
  <c r="D240" i="14"/>
  <c r="C241" i="14"/>
  <c r="F242" i="14"/>
  <c r="G241" i="14"/>
  <c r="A49" i="6" l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45" i="15"/>
  <c r="D241" i="14"/>
  <c r="C242" i="14"/>
  <c r="F243" i="14"/>
  <c r="G242" i="14"/>
  <c r="D242" i="14" l="1"/>
  <c r="C243" i="14"/>
  <c r="G243" i="14"/>
  <c r="F244" i="14"/>
  <c r="D243" i="14" l="1"/>
  <c r="C244" i="14"/>
  <c r="G244" i="14"/>
  <c r="F245" i="14"/>
  <c r="C245" i="14" l="1"/>
  <c r="D244" i="14"/>
  <c r="F246" i="14"/>
  <c r="G245" i="14"/>
  <c r="C246" i="14" l="1"/>
  <c r="D245" i="14"/>
  <c r="G246" i="14"/>
  <c r="F247" i="14"/>
  <c r="C247" i="14" l="1"/>
  <c r="D246" i="14"/>
  <c r="G247" i="14"/>
  <c r="F248" i="14"/>
  <c r="C248" i="14" l="1"/>
  <c r="D247" i="14"/>
  <c r="G248" i="14"/>
  <c r="F249" i="14"/>
  <c r="D248" i="14" l="1"/>
  <c r="C249" i="14"/>
  <c r="F250" i="14"/>
  <c r="G249" i="14"/>
  <c r="D249" i="14" l="1"/>
  <c r="C250" i="14"/>
  <c r="F251" i="14"/>
  <c r="G250" i="14"/>
  <c r="D250" i="14" l="1"/>
  <c r="C251" i="14"/>
  <c r="F252" i="14"/>
  <c r="G251" i="14"/>
  <c r="D251" i="14" l="1"/>
  <c r="C252" i="14"/>
  <c r="G252" i="14"/>
  <c r="F253" i="14"/>
  <c r="C253" i="14" l="1"/>
  <c r="D252" i="14"/>
  <c r="F254" i="14"/>
  <c r="G253" i="14"/>
  <c r="C254" i="14" l="1"/>
  <c r="D253" i="14"/>
  <c r="F255" i="14"/>
  <c r="G254" i="14"/>
  <c r="D254" i="14" l="1"/>
  <c r="C255" i="14"/>
  <c r="F256" i="14"/>
  <c r="G255" i="14"/>
  <c r="D255" i="14" l="1"/>
  <c r="C256" i="14"/>
  <c r="F257" i="14"/>
  <c r="G256" i="14"/>
  <c r="C257" i="14" l="1"/>
  <c r="D256" i="14"/>
  <c r="F258" i="14"/>
  <c r="G257" i="14"/>
  <c r="C258" i="14" l="1"/>
  <c r="D257" i="14"/>
  <c r="F259" i="14"/>
  <c r="G258" i="14"/>
  <c r="C259" i="14" l="1"/>
  <c r="D258" i="14"/>
  <c r="G259" i="14"/>
  <c r="F260" i="14"/>
  <c r="D259" i="14" l="1"/>
  <c r="C260" i="14"/>
  <c r="F261" i="14"/>
  <c r="G260" i="14"/>
  <c r="C261" i="14" l="1"/>
  <c r="D260" i="14"/>
  <c r="G261" i="14"/>
  <c r="F262" i="14"/>
  <c r="D261" i="14" l="1"/>
  <c r="C262" i="14"/>
  <c r="G262" i="14"/>
  <c r="F263" i="14"/>
  <c r="C263" i="14" l="1"/>
  <c r="D262" i="14"/>
  <c r="F264" i="14"/>
  <c r="G263" i="14"/>
  <c r="D263" i="14" l="1"/>
  <c r="C264" i="14"/>
  <c r="F265" i="14"/>
  <c r="G264" i="14"/>
  <c r="D264" i="14" l="1"/>
  <c r="C265" i="14"/>
  <c r="F266" i="14"/>
  <c r="G265" i="14"/>
  <c r="D265" i="14" l="1"/>
  <c r="C266" i="14"/>
  <c r="G266" i="14"/>
  <c r="F267" i="14"/>
  <c r="D266" i="14" l="1"/>
  <c r="C267" i="14"/>
  <c r="G267" i="14"/>
  <c r="F268" i="14"/>
  <c r="D267" i="14" l="1"/>
  <c r="C268" i="14"/>
  <c r="G268" i="14"/>
  <c r="F269" i="14"/>
  <c r="D268" i="14" l="1"/>
  <c r="C269" i="14"/>
  <c r="F270" i="14"/>
  <c r="G269" i="14"/>
  <c r="D269" i="14" l="1"/>
  <c r="C270" i="14"/>
  <c r="G270" i="14"/>
  <c r="F271" i="14"/>
  <c r="C271" i="14" l="1"/>
  <c r="D270" i="14"/>
  <c r="F272" i="14"/>
  <c r="G271" i="14"/>
  <c r="C272" i="14" l="1"/>
  <c r="D271" i="14"/>
  <c r="F273" i="14"/>
  <c r="G272" i="14"/>
  <c r="D272" i="14" l="1"/>
  <c r="C273" i="14"/>
  <c r="G273" i="14"/>
  <c r="F274" i="14"/>
  <c r="C274" i="14" l="1"/>
  <c r="D273" i="14"/>
  <c r="G274" i="14"/>
  <c r="F275" i="14"/>
  <c r="C275" i="14" l="1"/>
  <c r="D274" i="14"/>
  <c r="F276" i="14"/>
  <c r="G275" i="14"/>
  <c r="D275" i="14" l="1"/>
  <c r="C276" i="14"/>
  <c r="G276" i="14"/>
  <c r="F277" i="14"/>
  <c r="D276" i="14" l="1"/>
  <c r="C277" i="14"/>
  <c r="F278" i="14"/>
  <c r="G277" i="14"/>
  <c r="C278" i="14" l="1"/>
  <c r="D277" i="14"/>
  <c r="F279" i="14"/>
  <c r="G278" i="14"/>
  <c r="C279" i="14" l="1"/>
  <c r="D278" i="14"/>
  <c r="F280" i="14"/>
  <c r="G279" i="14"/>
  <c r="C280" i="14" l="1"/>
  <c r="D279" i="14"/>
  <c r="F281" i="14"/>
  <c r="G280" i="14"/>
  <c r="C281" i="14" l="1"/>
  <c r="D280" i="14"/>
  <c r="F282" i="14"/>
  <c r="G281" i="14"/>
  <c r="C282" i="14" l="1"/>
  <c r="D281" i="14"/>
  <c r="F283" i="14"/>
  <c r="G282" i="14"/>
  <c r="D282" i="14" l="1"/>
  <c r="C283" i="14"/>
  <c r="G283" i="14"/>
  <c r="F284" i="14"/>
  <c r="D283" i="14" l="1"/>
  <c r="C284" i="14"/>
  <c r="F285" i="14"/>
  <c r="G284" i="14"/>
  <c r="C285" i="14" l="1"/>
  <c r="D284" i="14"/>
  <c r="G285" i="14"/>
  <c r="F286" i="14"/>
  <c r="D285" i="14" l="1"/>
  <c r="C286" i="14"/>
  <c r="F287" i="14"/>
  <c r="G286" i="14"/>
  <c r="C287" i="14" l="1"/>
  <c r="D286" i="14"/>
  <c r="G287" i="14"/>
  <c r="F288" i="14"/>
  <c r="D287" i="14" l="1"/>
  <c r="C288" i="14"/>
  <c r="F289" i="14"/>
  <c r="G288" i="14"/>
  <c r="D288" i="14" l="1"/>
  <c r="C289" i="14"/>
  <c r="G289" i="14"/>
  <c r="F290" i="14"/>
  <c r="C290" i="14" l="1"/>
  <c r="D289" i="14"/>
  <c r="G290" i="14"/>
  <c r="F291" i="14"/>
  <c r="D290" i="14" l="1"/>
  <c r="C291" i="14"/>
  <c r="G291" i="14"/>
  <c r="F292" i="14"/>
  <c r="D291" i="14" l="1"/>
  <c r="C292" i="14"/>
  <c r="G292" i="14"/>
  <c r="F293" i="14"/>
  <c r="D292" i="14" l="1"/>
  <c r="C293" i="14"/>
  <c r="G293" i="14"/>
  <c r="F294" i="14"/>
  <c r="D293" i="14" l="1"/>
  <c r="C294" i="14"/>
  <c r="G294" i="14"/>
  <c r="F295" i="14"/>
  <c r="C295" i="14" l="1"/>
  <c r="D294" i="14"/>
  <c r="F296" i="14"/>
  <c r="G295" i="14"/>
  <c r="C296" i="14" l="1"/>
  <c r="D295" i="14"/>
  <c r="G296" i="14"/>
  <c r="F297" i="14"/>
  <c r="D296" i="14" l="1"/>
  <c r="C297" i="14"/>
  <c r="F298" i="14"/>
  <c r="G297" i="14"/>
  <c r="D297" i="14" l="1"/>
  <c r="C298" i="14"/>
  <c r="G298" i="14"/>
  <c r="F299" i="14"/>
  <c r="C299" i="14" l="1"/>
  <c r="D298" i="14"/>
  <c r="F300" i="14"/>
  <c r="G299" i="14"/>
  <c r="D299" i="14" l="1"/>
  <c r="C300" i="14"/>
  <c r="F301" i="14"/>
  <c r="G300" i="14"/>
  <c r="D300" i="14" l="1"/>
  <c r="C301" i="14"/>
  <c r="F302" i="14"/>
  <c r="G301" i="14"/>
  <c r="D301" i="14" l="1"/>
  <c r="C302" i="14"/>
  <c r="F303" i="14"/>
  <c r="G302" i="14"/>
  <c r="C303" i="14" l="1"/>
  <c r="D302" i="14"/>
  <c r="F304" i="14"/>
  <c r="G303" i="14"/>
  <c r="D303" i="14" l="1"/>
  <c r="C304" i="14"/>
  <c r="F305" i="14"/>
  <c r="G304" i="14"/>
  <c r="D304" i="14" l="1"/>
  <c r="C305" i="14"/>
  <c r="F306" i="14"/>
  <c r="G305" i="14"/>
  <c r="D305" i="14" l="1"/>
  <c r="C306" i="14"/>
  <c r="F307" i="14"/>
  <c r="G306" i="14"/>
  <c r="D306" i="14" l="1"/>
  <c r="C307" i="14"/>
  <c r="G307" i="14"/>
  <c r="F308" i="14"/>
  <c r="D307" i="14" l="1"/>
  <c r="C308" i="14"/>
  <c r="G308" i="14"/>
  <c r="F309" i="14"/>
  <c r="D308" i="14" l="1"/>
  <c r="C309" i="14"/>
  <c r="F310" i="14"/>
  <c r="G309" i="14"/>
  <c r="C310" i="14" l="1"/>
  <c r="D309" i="14"/>
  <c r="F311" i="14"/>
  <c r="G310" i="14"/>
  <c r="C311" i="14" l="1"/>
  <c r="D310" i="14"/>
  <c r="F312" i="14"/>
  <c r="G311" i="14"/>
  <c r="C312" i="14" l="1"/>
  <c r="D311" i="14"/>
  <c r="F313" i="14"/>
  <c r="G312" i="14"/>
  <c r="C313" i="14" l="1"/>
  <c r="D312" i="14"/>
  <c r="G313" i="14"/>
  <c r="F314" i="14"/>
  <c r="C314" i="14" l="1"/>
  <c r="D313" i="14"/>
  <c r="G314" i="14"/>
  <c r="F315" i="14"/>
  <c r="D314" i="14" l="1"/>
  <c r="C315" i="14"/>
  <c r="G315" i="14"/>
  <c r="F316" i="14"/>
  <c r="D315" i="14" l="1"/>
  <c r="C316" i="14"/>
  <c r="F317" i="14"/>
  <c r="G316" i="14"/>
  <c r="C317" i="14" l="1"/>
  <c r="D316" i="14"/>
  <c r="F318" i="14"/>
  <c r="G317" i="14"/>
  <c r="C318" i="14" l="1"/>
  <c r="D317" i="14"/>
  <c r="F319" i="14"/>
  <c r="G318" i="14"/>
  <c r="J44" i="6" l="1"/>
  <c r="I33" i="15" s="1"/>
  <c r="I331" i="15" s="1"/>
  <c r="J46" i="6"/>
  <c r="I35" i="15" s="1"/>
  <c r="I333" i="15" s="1"/>
  <c r="J50" i="6"/>
  <c r="I39" i="15" s="1"/>
  <c r="I337" i="15" s="1"/>
  <c r="J43" i="6"/>
  <c r="I32" i="15" s="1"/>
  <c r="I330" i="15" s="1"/>
  <c r="J47" i="6"/>
  <c r="I36" i="15" s="1"/>
  <c r="I334" i="15" s="1"/>
  <c r="F634" i="15" s="1"/>
  <c r="I634" i="15" s="1"/>
  <c r="I637" i="15" s="1"/>
  <c r="I638" i="15" s="1"/>
  <c r="J48" i="6"/>
  <c r="I37" i="15" s="1"/>
  <c r="I335" i="15" s="1"/>
  <c r="J45" i="6"/>
  <c r="I34" i="15" s="1"/>
  <c r="I332" i="15" s="1"/>
  <c r="F599" i="15" s="1"/>
  <c r="J42" i="6"/>
  <c r="I31" i="15" s="1"/>
  <c r="I329" i="15" s="1"/>
  <c r="J49" i="6"/>
  <c r="I38" i="15" s="1"/>
  <c r="I336" i="15" s="1"/>
  <c r="J41" i="6"/>
  <c r="I30" i="15" s="1"/>
  <c r="I328" i="15" s="1"/>
  <c r="C319" i="14"/>
  <c r="D318" i="14"/>
  <c r="F320" i="14"/>
  <c r="G319" i="14"/>
  <c r="G51" i="11" l="1"/>
  <c r="H51" i="11" s="1"/>
  <c r="G33" i="116"/>
  <c r="H33" i="116" s="1"/>
  <c r="F625" i="15"/>
  <c r="I625" i="15" s="1"/>
  <c r="I630" i="15" s="1"/>
  <c r="I631" i="15" s="1"/>
  <c r="I599" i="15"/>
  <c r="I606" i="15" s="1"/>
  <c r="I607" i="15" s="1"/>
  <c r="E20" i="37"/>
  <c r="G20" i="37" s="1"/>
  <c r="H20" i="37" s="1"/>
  <c r="E21" i="36"/>
  <c r="G21" i="36" s="1"/>
  <c r="H21" i="36" s="1"/>
  <c r="E18" i="37"/>
  <c r="G18" i="37" s="1"/>
  <c r="H18" i="37" s="1"/>
  <c r="E19" i="36"/>
  <c r="G19" i="36" s="1"/>
  <c r="H19" i="36" s="1"/>
  <c r="E468" i="15"/>
  <c r="I468" i="15" s="1"/>
  <c r="E450" i="15"/>
  <c r="I450" i="15" s="1"/>
  <c r="E16" i="37"/>
  <c r="G16" i="37" s="1"/>
  <c r="H16" i="37" s="1"/>
  <c r="E17" i="36"/>
  <c r="G17" i="36" s="1"/>
  <c r="H17" i="36" s="1"/>
  <c r="E16" i="51"/>
  <c r="G16" i="51" s="1"/>
  <c r="H16" i="51" s="1"/>
  <c r="E469" i="15"/>
  <c r="I469" i="15" s="1"/>
  <c r="E18" i="36"/>
  <c r="G18" i="36" s="1"/>
  <c r="H18" i="36" s="1"/>
  <c r="I407" i="15"/>
  <c r="I411" i="15" s="1"/>
  <c r="I412" i="15" s="1"/>
  <c r="I428" i="15"/>
  <c r="I432" i="15" s="1"/>
  <c r="I433" i="15" s="1"/>
  <c r="E451" i="15"/>
  <c r="E17" i="51"/>
  <c r="G17" i="51" s="1"/>
  <c r="H17" i="51" s="1"/>
  <c r="E17" i="37"/>
  <c r="G17" i="37" s="1"/>
  <c r="H17" i="37" s="1"/>
  <c r="I418" i="15"/>
  <c r="I422" i="15" s="1"/>
  <c r="I423" i="15" s="1"/>
  <c r="I438" i="15"/>
  <c r="I442" i="15" s="1"/>
  <c r="I443" i="15" s="1"/>
  <c r="I397" i="15"/>
  <c r="I401" i="15" s="1"/>
  <c r="I402" i="15" s="1"/>
  <c r="G41" i="116" s="1"/>
  <c r="E19" i="37"/>
  <c r="G19" i="37" s="1"/>
  <c r="H19" i="37" s="1"/>
  <c r="E20" i="36"/>
  <c r="G20" i="36" s="1"/>
  <c r="H20" i="36" s="1"/>
  <c r="D319" i="14"/>
  <c r="C320" i="14"/>
  <c r="G320" i="14"/>
  <c r="F321" i="14"/>
  <c r="G49" i="11" l="1"/>
  <c r="H49" i="11" s="1"/>
  <c r="G31" i="116"/>
  <c r="H31" i="116" s="1"/>
  <c r="G50" i="11"/>
  <c r="H50" i="11" s="1"/>
  <c r="G32" i="116"/>
  <c r="H32" i="116" s="1"/>
  <c r="G60" i="11"/>
  <c r="H60" i="11" s="1"/>
  <c r="I403" i="15"/>
  <c r="G61" i="11" s="1"/>
  <c r="H61" i="11" s="1"/>
  <c r="I404" i="15"/>
  <c r="I434" i="15"/>
  <c r="I435" i="15"/>
  <c r="H29" i="51"/>
  <c r="I29" i="51" s="1"/>
  <c r="H30" i="51" s="1"/>
  <c r="I475" i="15"/>
  <c r="I425" i="15"/>
  <c r="G66" i="11" s="1"/>
  <c r="H66" i="11" s="1"/>
  <c r="I424" i="15"/>
  <c r="G44" i="116" s="1"/>
  <c r="H44" i="116" s="1"/>
  <c r="I445" i="15"/>
  <c r="I444" i="15"/>
  <c r="E491" i="15"/>
  <c r="I451" i="15"/>
  <c r="H41" i="116"/>
  <c r="I414" i="15"/>
  <c r="I413" i="15"/>
  <c r="G42" i="116" s="1"/>
  <c r="H42" i="116" s="1"/>
  <c r="H30" i="36"/>
  <c r="H31" i="36" s="1"/>
  <c r="D320" i="14"/>
  <c r="C321" i="14"/>
  <c r="G321" i="14"/>
  <c r="F322" i="14"/>
  <c r="E501" i="15" l="1"/>
  <c r="I501" i="15" s="1"/>
  <c r="I505" i="15" s="1"/>
  <c r="I491" i="15"/>
  <c r="I497" i="15" s="1"/>
  <c r="C322" i="14"/>
  <c r="D321" i="14"/>
  <c r="F323" i="14"/>
  <c r="G322" i="14"/>
  <c r="I506" i="15" l="1"/>
  <c r="C323" i="14"/>
  <c r="D322" i="14"/>
  <c r="F324" i="14"/>
  <c r="G323" i="14"/>
  <c r="D323" i="14" l="1"/>
  <c r="C324" i="14"/>
  <c r="F325" i="14"/>
  <c r="G324" i="14"/>
  <c r="D324" i="14" l="1"/>
  <c r="C325" i="14"/>
  <c r="G325" i="14"/>
  <c r="F326" i="14"/>
  <c r="D325" i="14" l="1"/>
  <c r="C326" i="14"/>
  <c r="G326" i="14"/>
  <c r="F327" i="14"/>
  <c r="D326" i="14" l="1"/>
  <c r="C327" i="14"/>
  <c r="G327" i="14"/>
  <c r="F328" i="14"/>
  <c r="J26" i="6" l="1"/>
  <c r="J24" i="6"/>
  <c r="J25" i="6"/>
  <c r="J23" i="6"/>
  <c r="J20" i="6"/>
  <c r="N20" i="6" s="1"/>
  <c r="J21" i="6"/>
  <c r="J22" i="6"/>
  <c r="J28" i="6"/>
  <c r="C328" i="14"/>
  <c r="D327" i="14"/>
  <c r="F329" i="14"/>
  <c r="G328" i="14"/>
  <c r="N28" i="6" l="1"/>
  <c r="D35" i="6" s="1"/>
  <c r="I25" i="15"/>
  <c r="I193" i="15" s="1"/>
  <c r="I268" i="15" s="1"/>
  <c r="I19" i="15"/>
  <c r="I191" i="15" s="1"/>
  <c r="N22" i="6"/>
  <c r="D30" i="6" s="1"/>
  <c r="N21" i="6"/>
  <c r="I18" i="15"/>
  <c r="D29" i="6"/>
  <c r="I17" i="15"/>
  <c r="I20" i="15"/>
  <c r="N23" i="6"/>
  <c r="N25" i="6"/>
  <c r="D32" i="6" s="1"/>
  <c r="I22" i="15"/>
  <c r="I195" i="15" s="1"/>
  <c r="N24" i="6"/>
  <c r="D31" i="6" s="1"/>
  <c r="I21" i="15"/>
  <c r="N26" i="6"/>
  <c r="D33" i="6" s="1"/>
  <c r="I23" i="15"/>
  <c r="I192" i="15" s="1"/>
  <c r="I249" i="15" s="1"/>
  <c r="I257" i="15" s="1"/>
  <c r="D328" i="14"/>
  <c r="C329" i="14"/>
  <c r="F330" i="14"/>
  <c r="G329" i="14"/>
  <c r="I259" i="15" l="1"/>
  <c r="I258" i="15"/>
  <c r="D329" i="14"/>
  <c r="C330" i="14"/>
  <c r="G330" i="14"/>
  <c r="F331" i="14"/>
  <c r="D330" i="14" l="1"/>
  <c r="C331" i="14"/>
  <c r="F332" i="14"/>
  <c r="G331" i="14"/>
  <c r="D331" i="14" l="1"/>
  <c r="C332" i="14"/>
  <c r="G332" i="14"/>
  <c r="F333" i="14"/>
  <c r="D332" i="14" l="1"/>
  <c r="C333" i="14"/>
  <c r="G333" i="14"/>
  <c r="F334" i="14"/>
  <c r="D333" i="14" l="1"/>
  <c r="C334" i="14"/>
  <c r="G334" i="14"/>
  <c r="F335" i="14"/>
  <c r="C335" i="14" l="1"/>
  <c r="D334" i="14"/>
  <c r="F336" i="14"/>
  <c r="G335" i="14"/>
  <c r="C336" i="14" l="1"/>
  <c r="D335" i="14"/>
  <c r="F337" i="14"/>
  <c r="G336" i="14"/>
  <c r="D336" i="14" l="1"/>
  <c r="C337" i="14"/>
  <c r="F338" i="14"/>
  <c r="G337" i="14"/>
  <c r="C338" i="14" l="1"/>
  <c r="D337" i="14"/>
  <c r="G338" i="14"/>
  <c r="F339" i="14"/>
  <c r="D338" i="14" l="1"/>
  <c r="C339" i="14"/>
  <c r="F340" i="14"/>
  <c r="G339" i="14"/>
  <c r="C340" i="14" l="1"/>
  <c r="D339" i="14"/>
  <c r="F341" i="14"/>
  <c r="G340" i="14"/>
  <c r="D340" i="14" l="1"/>
  <c r="C341" i="14"/>
  <c r="G341" i="14"/>
  <c r="F342" i="14"/>
  <c r="D341" i="14" l="1"/>
  <c r="C342" i="14"/>
  <c r="G342" i="14"/>
  <c r="F343" i="14"/>
  <c r="D342" i="14" l="1"/>
  <c r="C343" i="14"/>
  <c r="F344" i="14"/>
  <c r="G343" i="14"/>
  <c r="C344" i="14" l="1"/>
  <c r="D343" i="14"/>
  <c r="F345" i="14"/>
  <c r="G344" i="14"/>
  <c r="C345" i="14" l="1"/>
  <c r="D344" i="14"/>
  <c r="G345" i="14"/>
  <c r="F346" i="14"/>
  <c r="D345" i="14" l="1"/>
  <c r="C346" i="14"/>
  <c r="G346" i="14"/>
  <c r="F347" i="14"/>
  <c r="D346" i="14" l="1"/>
  <c r="C347" i="14"/>
  <c r="G347" i="14"/>
  <c r="F348" i="14"/>
  <c r="D347" i="14" l="1"/>
  <c r="C348" i="14"/>
  <c r="F349" i="14"/>
  <c r="G348" i="14"/>
  <c r="D348" i="14" l="1"/>
  <c r="C349" i="14"/>
  <c r="G349" i="14"/>
  <c r="F350" i="14"/>
  <c r="C350" i="14" l="1"/>
  <c r="D349" i="14"/>
  <c r="F351" i="14"/>
  <c r="G350" i="14"/>
  <c r="C351" i="14" l="1"/>
  <c r="D350" i="14"/>
  <c r="G351" i="14"/>
  <c r="F352" i="14"/>
  <c r="D351" i="14" l="1"/>
  <c r="C352" i="14"/>
  <c r="G352" i="14"/>
  <c r="F353" i="14"/>
  <c r="C353" i="14" l="1"/>
  <c r="D352" i="14"/>
  <c r="G353" i="14"/>
  <c r="F354" i="14"/>
  <c r="C354" i="14" l="1"/>
  <c r="D353" i="14"/>
  <c r="F355" i="14"/>
  <c r="G354" i="14"/>
  <c r="C355" i="14" l="1"/>
  <c r="D354" i="14"/>
  <c r="G355" i="14"/>
  <c r="F356" i="14"/>
  <c r="D355" i="14" l="1"/>
  <c r="C356" i="14"/>
  <c r="F357" i="14"/>
  <c r="G356" i="14"/>
  <c r="C357" i="14" l="1"/>
  <c r="D356" i="14"/>
  <c r="G357" i="14"/>
  <c r="F358" i="14"/>
  <c r="C358" i="14" l="1"/>
  <c r="D357" i="14"/>
  <c r="G358" i="14"/>
  <c r="F359" i="14"/>
  <c r="C359" i="14" l="1"/>
  <c r="D358" i="14"/>
  <c r="G359" i="14"/>
  <c r="F360" i="14"/>
  <c r="C360" i="14" l="1"/>
  <c r="D359" i="14"/>
  <c r="F361" i="14"/>
  <c r="G360" i="14"/>
  <c r="D360" i="14" l="1"/>
  <c r="C361" i="14"/>
  <c r="G361" i="14"/>
  <c r="F362" i="14"/>
  <c r="C362" i="14" l="1"/>
  <c r="D361" i="14"/>
  <c r="G362" i="14"/>
  <c r="F363" i="14"/>
  <c r="D362" i="14" l="1"/>
  <c r="C363" i="14"/>
  <c r="F364" i="14"/>
  <c r="G363" i="14"/>
  <c r="C364" i="14" l="1"/>
  <c r="D363" i="14"/>
  <c r="G364" i="14"/>
  <c r="F365" i="14"/>
  <c r="C365" i="14" l="1"/>
  <c r="D364" i="14"/>
  <c r="G365" i="14"/>
  <c r="F366" i="14"/>
  <c r="D365" i="14" l="1"/>
  <c r="C366" i="14"/>
  <c r="G366" i="14"/>
  <c r="F367" i="14"/>
  <c r="D366" i="14" l="1"/>
  <c r="C367" i="14"/>
  <c r="F368" i="14"/>
  <c r="G367" i="14"/>
  <c r="C368" i="14" l="1"/>
  <c r="D367" i="14"/>
  <c r="G368" i="14"/>
  <c r="F369" i="14"/>
  <c r="C369" i="14" l="1"/>
  <c r="D368" i="14"/>
  <c r="F370" i="14"/>
  <c r="G369" i="14"/>
  <c r="D369" i="14" l="1"/>
  <c r="C370" i="14"/>
  <c r="G370" i="14"/>
  <c r="F371" i="14"/>
  <c r="D370" i="14" l="1"/>
  <c r="C371" i="14"/>
  <c r="F372" i="14"/>
  <c r="G371" i="14"/>
  <c r="D371" i="14" l="1"/>
  <c r="C372" i="14"/>
  <c r="F373" i="14"/>
  <c r="G372" i="14"/>
  <c r="D372" i="14" l="1"/>
  <c r="C373" i="14"/>
  <c r="F374" i="14"/>
  <c r="G373" i="14"/>
  <c r="D373" i="14" l="1"/>
  <c r="C374" i="14"/>
  <c r="G374" i="14"/>
  <c r="F375" i="14"/>
  <c r="D374" i="14" l="1"/>
  <c r="C375" i="14"/>
  <c r="F376" i="14"/>
  <c r="G375" i="14"/>
  <c r="C376" i="14" l="1"/>
  <c r="D375" i="14"/>
  <c r="F377" i="14"/>
  <c r="G376" i="14"/>
  <c r="D376" i="14" l="1"/>
  <c r="C377" i="14"/>
  <c r="F378" i="14"/>
  <c r="G377" i="14"/>
  <c r="D377" i="14" l="1"/>
  <c r="C378" i="14"/>
  <c r="F379" i="14"/>
  <c r="G378" i="14"/>
  <c r="C379" i="14" l="1"/>
  <c r="D378" i="14"/>
  <c r="F380" i="14"/>
  <c r="G379" i="14"/>
  <c r="C380" i="14" l="1"/>
  <c r="D379" i="14"/>
  <c r="G380" i="14"/>
  <c r="F381" i="14"/>
  <c r="D380" i="14" l="1"/>
  <c r="C381" i="14"/>
  <c r="F382" i="14"/>
  <c r="G381" i="14"/>
  <c r="D381" i="14" l="1"/>
  <c r="C382" i="14"/>
  <c r="G382" i="14"/>
  <c r="F383" i="14"/>
  <c r="D382" i="14" l="1"/>
  <c r="C383" i="14"/>
  <c r="G383" i="14"/>
  <c r="F384" i="14"/>
  <c r="J35" i="6" s="1"/>
  <c r="C384" i="14" l="1"/>
  <c r="D383" i="14"/>
  <c r="F385" i="14"/>
  <c r="G384" i="14"/>
  <c r="D384" i="14" l="1"/>
  <c r="C385" i="14"/>
  <c r="F386" i="14"/>
  <c r="G385" i="14"/>
  <c r="C386" i="14" l="1"/>
  <c r="D385" i="14"/>
  <c r="F387" i="14"/>
  <c r="G386" i="14"/>
  <c r="C387" i="14" l="1"/>
  <c r="D386" i="14"/>
  <c r="F388" i="14"/>
  <c r="G387" i="14"/>
  <c r="C388" i="14" l="1"/>
  <c r="D387" i="14"/>
  <c r="F389" i="14"/>
  <c r="G388" i="14"/>
  <c r="C389" i="14" l="1"/>
  <c r="D388" i="14"/>
  <c r="F390" i="14"/>
  <c r="G389" i="14"/>
  <c r="C390" i="14" l="1"/>
  <c r="D389" i="14"/>
  <c r="F391" i="14"/>
  <c r="G390" i="14"/>
  <c r="C391" i="14" l="1"/>
  <c r="D390" i="14"/>
  <c r="G391" i="14"/>
  <c r="F392" i="14"/>
  <c r="D391" i="14" l="1"/>
  <c r="C392" i="14"/>
  <c r="F393" i="14"/>
  <c r="G392" i="14"/>
  <c r="C393" i="14" l="1"/>
  <c r="D392" i="14"/>
  <c r="G393" i="14"/>
  <c r="F394" i="14"/>
  <c r="C394" i="14" l="1"/>
  <c r="D393" i="14"/>
  <c r="F395" i="14"/>
  <c r="G394" i="14"/>
  <c r="C395" i="14" l="1"/>
  <c r="D394" i="14"/>
  <c r="F396" i="14"/>
  <c r="G395" i="14"/>
  <c r="C396" i="14" l="1"/>
  <c r="D395" i="14"/>
  <c r="G396" i="14"/>
  <c r="F397" i="14"/>
  <c r="D396" i="14" l="1"/>
  <c r="C397" i="14"/>
  <c r="F398" i="14"/>
  <c r="G397" i="14"/>
  <c r="D397" i="14" l="1"/>
  <c r="C398" i="14"/>
  <c r="F399" i="14"/>
  <c r="G398" i="14"/>
  <c r="D398" i="14" l="1"/>
  <c r="C399" i="14"/>
  <c r="F400" i="14"/>
  <c r="G399" i="14"/>
  <c r="C400" i="14" l="1"/>
  <c r="D399" i="14"/>
  <c r="G400" i="14"/>
  <c r="F401" i="14"/>
  <c r="C401" i="14" l="1"/>
  <c r="D400" i="14"/>
  <c r="F402" i="14"/>
  <c r="G401" i="14"/>
  <c r="C402" i="14" l="1"/>
  <c r="D401" i="14"/>
  <c r="G402" i="14"/>
  <c r="F403" i="14"/>
  <c r="C403" i="14" l="1"/>
  <c r="D402" i="14"/>
  <c r="G403" i="14"/>
  <c r="F404" i="14"/>
  <c r="C404" i="14" l="1"/>
  <c r="D403" i="14"/>
  <c r="G404" i="14"/>
  <c r="F405" i="14"/>
  <c r="D404" i="14" l="1"/>
  <c r="C405" i="14"/>
  <c r="G405" i="14"/>
  <c r="F406" i="14"/>
  <c r="D405" i="14" l="1"/>
  <c r="C406" i="14"/>
  <c r="F407" i="14"/>
  <c r="G406" i="14"/>
  <c r="D406" i="14" l="1"/>
  <c r="C407" i="14"/>
  <c r="F408" i="14"/>
  <c r="G407" i="14"/>
  <c r="D407" i="14" l="1"/>
  <c r="C408" i="14"/>
  <c r="F409" i="14"/>
  <c r="G408" i="14"/>
  <c r="C409" i="14" l="1"/>
  <c r="D408" i="14"/>
  <c r="G409" i="14"/>
  <c r="F410" i="14"/>
  <c r="C410" i="14" l="1"/>
  <c r="D409" i="14"/>
  <c r="G410" i="14"/>
  <c r="F411" i="14"/>
  <c r="C411" i="14" l="1"/>
  <c r="D410" i="14"/>
  <c r="G411" i="14"/>
  <c r="F412" i="14"/>
  <c r="C412" i="14" l="1"/>
  <c r="D411" i="14"/>
  <c r="F413" i="14"/>
  <c r="G412" i="14"/>
  <c r="C413" i="14" l="1"/>
  <c r="D412" i="14"/>
  <c r="G413" i="14"/>
  <c r="F414" i="14"/>
  <c r="D413" i="14" l="1"/>
  <c r="C414" i="14"/>
  <c r="G414" i="14"/>
  <c r="F415" i="14"/>
  <c r="D414" i="14" l="1"/>
  <c r="C415" i="14"/>
  <c r="F416" i="14"/>
  <c r="G415" i="14"/>
  <c r="D415" i="14" l="1"/>
  <c r="C416" i="14"/>
  <c r="G416" i="14"/>
  <c r="F417" i="14"/>
  <c r="D416" i="14" l="1"/>
  <c r="C417" i="14"/>
  <c r="F418" i="14"/>
  <c r="G417" i="14"/>
  <c r="D417" i="14" l="1"/>
  <c r="C418" i="14"/>
  <c r="G418" i="14"/>
  <c r="F419" i="14"/>
  <c r="C419" i="14" l="1"/>
  <c r="D418" i="14"/>
  <c r="F420" i="14"/>
  <c r="G419" i="14"/>
  <c r="C420" i="14" l="1"/>
  <c r="D419" i="14"/>
  <c r="G420" i="14"/>
  <c r="F421" i="14"/>
  <c r="C421" i="14" l="1"/>
  <c r="D420" i="14"/>
  <c r="G421" i="14"/>
  <c r="F422" i="14"/>
  <c r="C422" i="14" l="1"/>
  <c r="D421" i="14"/>
  <c r="F423" i="14"/>
  <c r="G422" i="14"/>
  <c r="C423" i="14" l="1"/>
  <c r="D422" i="14"/>
  <c r="F424" i="14"/>
  <c r="G423" i="14"/>
  <c r="D423" i="14" l="1"/>
  <c r="C424" i="14"/>
  <c r="G424" i="14"/>
  <c r="F425" i="14"/>
  <c r="D424" i="14" l="1"/>
  <c r="C425" i="14"/>
  <c r="F426" i="14"/>
  <c r="G425" i="14"/>
  <c r="D425" i="14" l="1"/>
  <c r="C426" i="14"/>
  <c r="G426" i="14"/>
  <c r="F427" i="14"/>
  <c r="C427" i="14" l="1"/>
  <c r="D426" i="14"/>
  <c r="G427" i="14"/>
  <c r="F428" i="14"/>
  <c r="C428" i="14" l="1"/>
  <c r="D427" i="14"/>
  <c r="G428" i="14"/>
  <c r="F429" i="14"/>
  <c r="D428" i="14" l="1"/>
  <c r="C429" i="14"/>
  <c r="G429" i="14"/>
  <c r="F430" i="14"/>
  <c r="D429" i="14" l="1"/>
  <c r="C430" i="14"/>
  <c r="G430" i="14"/>
  <c r="F431" i="14"/>
  <c r="D430" i="14" l="1"/>
  <c r="C431" i="14"/>
  <c r="F432" i="14"/>
  <c r="G431" i="14"/>
  <c r="D431" i="14" l="1"/>
  <c r="C432" i="14"/>
  <c r="F433" i="14"/>
  <c r="G432" i="14"/>
  <c r="D432" i="14" l="1"/>
  <c r="C433" i="14"/>
  <c r="G433" i="14"/>
  <c r="F434" i="14"/>
  <c r="D433" i="14" l="1"/>
  <c r="C434" i="14"/>
  <c r="G434" i="14"/>
  <c r="F435" i="14"/>
  <c r="C435" i="14" l="1"/>
  <c r="D434" i="14"/>
  <c r="F436" i="14"/>
  <c r="G435" i="14"/>
  <c r="C436" i="14" l="1"/>
  <c r="D435" i="14"/>
  <c r="F437" i="14"/>
  <c r="G436" i="14"/>
  <c r="D436" i="14" l="1"/>
  <c r="C437" i="14"/>
  <c r="F438" i="14"/>
  <c r="G437" i="14"/>
  <c r="D437" i="14" l="1"/>
  <c r="C438" i="14"/>
  <c r="F439" i="14"/>
  <c r="G438" i="14"/>
  <c r="D438" i="14" l="1"/>
  <c r="C439" i="14"/>
  <c r="F440" i="14"/>
  <c r="G439" i="14"/>
  <c r="D439" i="14" l="1"/>
  <c r="C440" i="14"/>
  <c r="F441" i="14"/>
  <c r="G440" i="14"/>
  <c r="D440" i="14" l="1"/>
  <c r="C441" i="14"/>
  <c r="G441" i="14"/>
  <c r="F442" i="14"/>
  <c r="D441" i="14" l="1"/>
  <c r="C442" i="14"/>
  <c r="F443" i="14"/>
  <c r="G442" i="14"/>
  <c r="D442" i="14" l="1"/>
  <c r="C443" i="14"/>
  <c r="G443" i="14"/>
  <c r="F444" i="14"/>
  <c r="C444" i="14" l="1"/>
  <c r="D443" i="14"/>
  <c r="F445" i="14"/>
  <c r="G444" i="14"/>
  <c r="D444" i="14" l="1"/>
  <c r="C445" i="14"/>
  <c r="G445" i="14"/>
  <c r="F446" i="14"/>
  <c r="D445" i="14" l="1"/>
  <c r="C446" i="14"/>
  <c r="F447" i="14"/>
  <c r="G446" i="14"/>
  <c r="D446" i="14" l="1"/>
  <c r="C447" i="14"/>
  <c r="F448" i="14"/>
  <c r="G447" i="14"/>
  <c r="D447" i="14" l="1"/>
  <c r="C448" i="14"/>
  <c r="F449" i="14"/>
  <c r="G448" i="14"/>
  <c r="C449" i="14" l="1"/>
  <c r="D448" i="14"/>
  <c r="F450" i="14"/>
  <c r="G449" i="14"/>
  <c r="D449" i="14" l="1"/>
  <c r="C450" i="14"/>
  <c r="F451" i="14"/>
  <c r="G450" i="14"/>
  <c r="D450" i="14" l="1"/>
  <c r="C451" i="14"/>
  <c r="F452" i="14"/>
  <c r="G451" i="14"/>
  <c r="C452" i="14" l="1"/>
  <c r="D451" i="14"/>
  <c r="G452" i="14"/>
  <c r="F453" i="14"/>
  <c r="D452" i="14" l="1"/>
  <c r="C453" i="14"/>
  <c r="G453" i="14"/>
  <c r="F454" i="14"/>
  <c r="C454" i="14" l="1"/>
  <c r="D453" i="14"/>
  <c r="F455" i="14"/>
  <c r="G454" i="14"/>
  <c r="D454" i="14" l="1"/>
  <c r="C455" i="14"/>
  <c r="F456" i="14"/>
  <c r="G455" i="14"/>
  <c r="C456" i="14" l="1"/>
  <c r="D455" i="14"/>
  <c r="G456" i="14"/>
  <c r="F457" i="14"/>
  <c r="D456" i="14" l="1"/>
  <c r="C457" i="14"/>
  <c r="F458" i="14"/>
  <c r="G457" i="14"/>
  <c r="C458" i="14" l="1"/>
  <c r="D457" i="14"/>
  <c r="F459" i="14"/>
  <c r="G458" i="14"/>
  <c r="D458" i="14" l="1"/>
  <c r="C459" i="14"/>
  <c r="G459" i="14"/>
  <c r="F460" i="14"/>
  <c r="C460" i="14" l="1"/>
  <c r="D459" i="14"/>
  <c r="G460" i="14"/>
  <c r="F461" i="14"/>
  <c r="D460" i="14" l="1"/>
  <c r="C461" i="14"/>
  <c r="G461" i="14"/>
  <c r="F462" i="14"/>
  <c r="C462" i="14" l="1"/>
  <c r="D461" i="14"/>
  <c r="F463" i="14"/>
  <c r="G462" i="14"/>
  <c r="C463" i="14" l="1"/>
  <c r="D462" i="14"/>
  <c r="F464" i="14"/>
  <c r="G463" i="14"/>
  <c r="C464" i="14" l="1"/>
  <c r="D463" i="14"/>
  <c r="F465" i="14"/>
  <c r="G464" i="14"/>
  <c r="D464" i="14" l="1"/>
  <c r="C465" i="14"/>
  <c r="G465" i="14"/>
  <c r="F466" i="14"/>
  <c r="C466" i="14" l="1"/>
  <c r="D465" i="14"/>
  <c r="G466" i="14"/>
  <c r="F467" i="14"/>
  <c r="D466" i="14" l="1"/>
  <c r="C467" i="14"/>
  <c r="G467" i="14"/>
  <c r="F468" i="14"/>
  <c r="C468" i="14" l="1"/>
  <c r="D467" i="14"/>
  <c r="F469" i="14"/>
  <c r="G468" i="14"/>
  <c r="D468" i="14" l="1"/>
  <c r="C469" i="14"/>
  <c r="G469" i="14"/>
  <c r="F470" i="14"/>
  <c r="C470" i="14" l="1"/>
  <c r="D469" i="14"/>
  <c r="F471" i="14"/>
  <c r="G470" i="14"/>
  <c r="D470" i="14" l="1"/>
  <c r="C471" i="14"/>
  <c r="G471" i="14"/>
  <c r="F472" i="14"/>
  <c r="D471" i="14" l="1"/>
  <c r="C472" i="14"/>
  <c r="F473" i="14"/>
  <c r="G472" i="14"/>
  <c r="C473" i="14" l="1"/>
  <c r="D472" i="14"/>
  <c r="F474" i="14"/>
  <c r="G473" i="14"/>
  <c r="C474" i="14" l="1"/>
  <c r="D473" i="14"/>
  <c r="F475" i="14"/>
  <c r="G474" i="14"/>
  <c r="C475" i="14" l="1"/>
  <c r="D474" i="14"/>
  <c r="G475" i="14"/>
  <c r="F476" i="14"/>
  <c r="C476" i="14" l="1"/>
  <c r="D475" i="14"/>
  <c r="F477" i="14"/>
  <c r="G476" i="14"/>
  <c r="C477" i="14" l="1"/>
  <c r="D476" i="14"/>
  <c r="G477" i="14"/>
  <c r="F478" i="14"/>
  <c r="D477" i="14" l="1"/>
  <c r="C478" i="14"/>
  <c r="F479" i="14"/>
  <c r="G478" i="14"/>
  <c r="D478" i="14" l="1"/>
  <c r="C479" i="14"/>
  <c r="F480" i="14"/>
  <c r="G479" i="14"/>
  <c r="D479" i="14" l="1"/>
  <c r="C480" i="14"/>
  <c r="F481" i="14"/>
  <c r="G480" i="14"/>
  <c r="C481" i="14" l="1"/>
  <c r="D480" i="14"/>
  <c r="F482" i="14"/>
  <c r="G481" i="14"/>
  <c r="D481" i="14" l="1"/>
  <c r="C482" i="14"/>
  <c r="G482" i="14"/>
  <c r="F483" i="14"/>
  <c r="C483" i="14" l="1"/>
  <c r="D482" i="14"/>
  <c r="F484" i="14"/>
  <c r="G483" i="14"/>
  <c r="D483" i="14" l="1"/>
  <c r="C484" i="14"/>
  <c r="F485" i="14"/>
  <c r="G484" i="14"/>
  <c r="C485" i="14" l="1"/>
  <c r="D484" i="14"/>
  <c r="F486" i="14"/>
  <c r="G485" i="14"/>
  <c r="C486" i="14" l="1"/>
  <c r="D485" i="14"/>
  <c r="F487" i="14"/>
  <c r="G486" i="14"/>
  <c r="C487" i="14" l="1"/>
  <c r="D486" i="14"/>
  <c r="F488" i="14"/>
  <c r="G487" i="14"/>
  <c r="D487" i="14" l="1"/>
  <c r="C488" i="14"/>
  <c r="F489" i="14"/>
  <c r="G488" i="14"/>
  <c r="D488" i="14" l="1"/>
  <c r="C489" i="14"/>
  <c r="G489" i="14"/>
  <c r="F490" i="14"/>
  <c r="D489" i="14" l="1"/>
  <c r="C490" i="14"/>
  <c r="G490" i="14"/>
  <c r="F491" i="14"/>
  <c r="C491" i="14" l="1"/>
  <c r="D490" i="14"/>
  <c r="G491" i="14"/>
  <c r="F492" i="14"/>
  <c r="C492" i="14" l="1"/>
  <c r="D491" i="14"/>
  <c r="F493" i="14"/>
  <c r="G492" i="14"/>
  <c r="C493" i="14" l="1"/>
  <c r="D492" i="14"/>
  <c r="G493" i="14"/>
  <c r="F494" i="14"/>
  <c r="D493" i="14" l="1"/>
  <c r="C494" i="14"/>
  <c r="G494" i="14"/>
  <c r="F495" i="14"/>
  <c r="C495" i="14" l="1"/>
  <c r="D494" i="14"/>
  <c r="F496" i="14"/>
  <c r="G495" i="14"/>
  <c r="C496" i="14" l="1"/>
  <c r="D495" i="14"/>
  <c r="G496" i="14"/>
  <c r="F497" i="14"/>
  <c r="D496" i="14" l="1"/>
  <c r="C497" i="14"/>
  <c r="F498" i="14"/>
  <c r="G497" i="14"/>
  <c r="D497" i="14" l="1"/>
  <c r="C498" i="14"/>
  <c r="G498" i="14"/>
  <c r="F499" i="14"/>
  <c r="C499" i="14" l="1"/>
  <c r="D498" i="14"/>
  <c r="F500" i="14"/>
  <c r="G499" i="14"/>
  <c r="C500" i="14" l="1"/>
  <c r="D499" i="14"/>
  <c r="F501" i="14"/>
  <c r="G500" i="14"/>
  <c r="C501" i="14" l="1"/>
  <c r="D500" i="14"/>
  <c r="F502" i="14"/>
  <c r="G501" i="14"/>
  <c r="C502" i="14" l="1"/>
  <c r="D501" i="14"/>
  <c r="F503" i="14"/>
  <c r="G502" i="14"/>
  <c r="D502" i="14" l="1"/>
  <c r="C503" i="14"/>
  <c r="F504" i="14"/>
  <c r="G503" i="14"/>
  <c r="D503" i="14" l="1"/>
  <c r="C504" i="14"/>
  <c r="G504" i="14"/>
  <c r="F505" i="14"/>
  <c r="C505" i="14" l="1"/>
  <c r="D504" i="14"/>
  <c r="F506" i="14"/>
  <c r="G505" i="14"/>
  <c r="J31" i="6" l="1"/>
  <c r="I194" i="15" s="1"/>
  <c r="E463" i="15" s="1"/>
  <c r="I188" i="15"/>
  <c r="J32" i="6"/>
  <c r="J30" i="6"/>
  <c r="I190" i="15" s="1"/>
  <c r="J29" i="6"/>
  <c r="J33" i="6"/>
  <c r="D505" i="14"/>
  <c r="C506" i="14"/>
  <c r="G506" i="14"/>
  <c r="F507" i="14"/>
  <c r="I189" i="15" l="1"/>
  <c r="I312" i="15"/>
  <c r="I313" i="15" s="1"/>
  <c r="I463" i="15"/>
  <c r="I237" i="15"/>
  <c r="I238" i="15" s="1"/>
  <c r="I235" i="15"/>
  <c r="I227" i="15"/>
  <c r="I228" i="15" s="1"/>
  <c r="I225" i="15"/>
  <c r="I211" i="15"/>
  <c r="C507" i="14"/>
  <c r="D506" i="14"/>
  <c r="F508" i="14"/>
  <c r="G507" i="14"/>
  <c r="I261" i="15" l="1"/>
  <c r="E24" i="37" s="1"/>
  <c r="G24" i="37" s="1"/>
  <c r="H24" i="37" s="1"/>
  <c r="H29" i="37" s="1"/>
  <c r="H30" i="37" s="1"/>
  <c r="I213" i="15"/>
  <c r="G23" i="116" s="1"/>
  <c r="H23" i="116" s="1"/>
  <c r="I230" i="15"/>
  <c r="I203" i="15"/>
  <c r="I303" i="15" s="1"/>
  <c r="I306" i="15" s="1"/>
  <c r="I307" i="15" s="1"/>
  <c r="I207" i="15"/>
  <c r="I209" i="15" s="1"/>
  <c r="I232" i="15"/>
  <c r="I233" i="15" s="1"/>
  <c r="I239" i="15" s="1"/>
  <c r="G32" i="11" s="1"/>
  <c r="I464" i="15"/>
  <c r="C508" i="14"/>
  <c r="D507" i="14"/>
  <c r="F509" i="14"/>
  <c r="G508" i="14"/>
  <c r="G31" i="11" l="1"/>
  <c r="H31" i="11" s="1"/>
  <c r="I310" i="15"/>
  <c r="I314" i="15" s="1"/>
  <c r="I316" i="15" s="1"/>
  <c r="I276" i="15"/>
  <c r="I278" i="15" s="1"/>
  <c r="I277" i="15"/>
  <c r="I279" i="15" s="1"/>
  <c r="H43" i="11" s="1"/>
  <c r="I205" i="15"/>
  <c r="G22" i="116" s="1"/>
  <c r="H22" i="116" s="1"/>
  <c r="G33" i="11"/>
  <c r="H33" i="11" s="1"/>
  <c r="H32" i="11"/>
  <c r="C476" i="15"/>
  <c r="I476" i="15" s="1"/>
  <c r="I477" i="15" s="1"/>
  <c r="C486" i="15"/>
  <c r="I486" i="15" s="1"/>
  <c r="I487" i="15" s="1"/>
  <c r="C509" i="14"/>
  <c r="D508" i="14"/>
  <c r="F510" i="14"/>
  <c r="G509" i="14"/>
  <c r="G36" i="11" l="1"/>
  <c r="G37" i="11"/>
  <c r="G40" i="11"/>
  <c r="G41" i="11"/>
  <c r="G29" i="11"/>
  <c r="H29" i="11" s="1"/>
  <c r="G47" i="116"/>
  <c r="H47" i="116" s="1"/>
  <c r="G46" i="116"/>
  <c r="H46" i="116" s="1"/>
  <c r="G69" i="11"/>
  <c r="H69" i="11" s="1"/>
  <c r="G68" i="11"/>
  <c r="H68" i="11" s="1"/>
  <c r="D509" i="14"/>
  <c r="C510" i="14"/>
  <c r="F511" i="14"/>
  <c r="G510" i="14"/>
  <c r="C511" i="14" l="1"/>
  <c r="D510" i="14"/>
  <c r="F512" i="14"/>
  <c r="G511" i="14"/>
  <c r="D511" i="14" l="1"/>
  <c r="C512" i="14"/>
  <c r="F513" i="14"/>
  <c r="G512" i="14"/>
  <c r="C513" i="14" l="1"/>
  <c r="D512" i="14"/>
  <c r="F514" i="14"/>
  <c r="G513" i="14"/>
  <c r="C514" i="14" l="1"/>
  <c r="D513" i="14"/>
  <c r="F515" i="14"/>
  <c r="G514" i="14"/>
  <c r="D514" i="14" l="1"/>
  <c r="C515" i="14"/>
  <c r="G515" i="14"/>
  <c r="F516" i="14"/>
  <c r="C516" i="14" l="1"/>
  <c r="D515" i="14"/>
  <c r="F517" i="14"/>
  <c r="G516" i="14"/>
  <c r="C517" i="14" l="1"/>
  <c r="D516" i="14"/>
  <c r="F518" i="14"/>
  <c r="G517" i="14"/>
  <c r="D517" i="14" l="1"/>
  <c r="C518" i="14"/>
  <c r="F519" i="14"/>
  <c r="G518" i="14"/>
  <c r="D518" i="14" l="1"/>
  <c r="C519" i="14"/>
  <c r="G519" i="14"/>
  <c r="F520" i="14"/>
  <c r="D519" i="14" l="1"/>
  <c r="C520" i="14"/>
  <c r="G520" i="14"/>
  <c r="F521" i="14"/>
  <c r="D520" i="14" l="1"/>
  <c r="C521" i="14"/>
  <c r="F522" i="14"/>
  <c r="G521" i="14"/>
  <c r="D521" i="14" l="1"/>
  <c r="C522" i="14"/>
  <c r="F523" i="14"/>
  <c r="G522" i="14"/>
  <c r="D522" i="14" l="1"/>
  <c r="C523" i="14"/>
  <c r="F524" i="14"/>
  <c r="G523" i="14"/>
  <c r="C524" i="14" l="1"/>
  <c r="D523" i="14"/>
  <c r="F525" i="14"/>
  <c r="G524" i="14"/>
  <c r="D524" i="14" l="1"/>
  <c r="C525" i="14"/>
  <c r="G525" i="14"/>
  <c r="F526" i="14"/>
  <c r="C526" i="14" l="1"/>
  <c r="D525" i="14"/>
  <c r="G526" i="14"/>
  <c r="F527" i="14"/>
  <c r="C527" i="14" l="1"/>
  <c r="D526" i="14"/>
  <c r="F528" i="14"/>
  <c r="G527" i="14"/>
  <c r="C528" i="14" l="1"/>
  <c r="D527" i="14"/>
  <c r="F529" i="14"/>
  <c r="G528" i="14"/>
  <c r="D528" i="14" l="1"/>
  <c r="C529" i="14"/>
  <c r="G529" i="14"/>
  <c r="F530" i="14"/>
  <c r="C530" i="14" l="1"/>
  <c r="D529" i="14"/>
  <c r="G530" i="14"/>
  <c r="F531" i="14"/>
  <c r="D530" i="14" l="1"/>
  <c r="C531" i="14"/>
  <c r="F532" i="14"/>
  <c r="G531" i="14"/>
  <c r="C532" i="14" l="1"/>
  <c r="D531" i="14"/>
  <c r="G532" i="14"/>
  <c r="F533" i="14"/>
  <c r="D532" i="14" l="1"/>
  <c r="C533" i="14"/>
  <c r="F534" i="14"/>
  <c r="G533" i="14"/>
  <c r="C534" i="14" l="1"/>
  <c r="D533" i="14"/>
  <c r="F535" i="14"/>
  <c r="G534" i="14"/>
  <c r="D534" i="14" l="1"/>
  <c r="C535" i="14"/>
  <c r="G535" i="14"/>
  <c r="F536" i="14"/>
  <c r="C536" i="14" l="1"/>
  <c r="D535" i="14"/>
  <c r="F537" i="14"/>
  <c r="G536" i="14"/>
  <c r="C537" i="14" l="1"/>
  <c r="D536" i="14"/>
  <c r="F538" i="14"/>
  <c r="G537" i="14"/>
  <c r="C538" i="14" l="1"/>
  <c r="D537" i="14"/>
  <c r="G538" i="14"/>
  <c r="F539" i="14"/>
  <c r="D538" i="14" l="1"/>
  <c r="C539" i="14"/>
  <c r="F540" i="14"/>
  <c r="G539" i="14"/>
  <c r="D539" i="14" l="1"/>
  <c r="C540" i="14"/>
  <c r="G540" i="14"/>
  <c r="F541" i="14"/>
  <c r="D540" i="14" l="1"/>
  <c r="C541" i="14"/>
  <c r="G541" i="14"/>
  <c r="F542" i="14"/>
  <c r="D541" i="14" l="1"/>
  <c r="C542" i="14"/>
  <c r="F543" i="14"/>
  <c r="G542" i="14"/>
  <c r="C543" i="14" l="1"/>
  <c r="D542" i="14"/>
  <c r="G543" i="14"/>
  <c r="F544" i="14"/>
  <c r="C544" i="14" l="1"/>
  <c r="D543" i="14"/>
  <c r="F545" i="14"/>
  <c r="G544" i="14"/>
  <c r="C545" i="14" l="1"/>
  <c r="D544" i="14"/>
  <c r="F546" i="14"/>
  <c r="G545" i="14"/>
  <c r="D545" i="14" l="1"/>
  <c r="C546" i="14"/>
  <c r="F547" i="14"/>
  <c r="G546" i="14"/>
  <c r="D546" i="14" l="1"/>
  <c r="C547" i="14"/>
  <c r="G547" i="14"/>
  <c r="F548" i="14"/>
  <c r="C548" i="14" l="1"/>
  <c r="D547" i="14"/>
  <c r="G548" i="14"/>
  <c r="F549" i="14"/>
  <c r="D548" i="14" l="1"/>
  <c r="C549" i="14"/>
  <c r="F550" i="14"/>
  <c r="G549" i="14"/>
  <c r="C550" i="14" l="1"/>
  <c r="D549" i="14"/>
  <c r="G550" i="14"/>
  <c r="F551" i="14"/>
  <c r="C551" i="14" l="1"/>
  <c r="D550" i="14"/>
  <c r="G551" i="14"/>
  <c r="F552" i="14"/>
  <c r="D551" i="14" l="1"/>
  <c r="C552" i="14"/>
  <c r="F553" i="14"/>
  <c r="G552" i="14"/>
  <c r="C553" i="14" l="1"/>
  <c r="D552" i="14"/>
  <c r="G553" i="14"/>
  <c r="F554" i="14"/>
  <c r="C554" i="14" l="1"/>
  <c r="D553" i="14"/>
  <c r="F555" i="14"/>
  <c r="G554" i="14"/>
  <c r="C555" i="14" l="1"/>
  <c r="D554" i="14"/>
  <c r="G555" i="14"/>
  <c r="F556" i="14"/>
  <c r="D555" i="14" l="1"/>
  <c r="C556" i="14"/>
  <c r="F557" i="14"/>
  <c r="G556" i="14"/>
  <c r="C557" i="14" l="1"/>
  <c r="D556" i="14"/>
  <c r="G557" i="14"/>
  <c r="F558" i="14"/>
  <c r="C558" i="14" l="1"/>
  <c r="D557" i="14"/>
  <c r="F559" i="14"/>
  <c r="G558" i="14"/>
  <c r="D558" i="14" l="1"/>
  <c r="C559" i="14"/>
  <c r="F560" i="14"/>
  <c r="G559" i="14"/>
  <c r="C560" i="14" l="1"/>
  <c r="D559" i="14"/>
  <c r="G560" i="14"/>
  <c r="F561" i="14"/>
  <c r="C561" i="14" l="1"/>
  <c r="D560" i="14"/>
  <c r="F562" i="14"/>
  <c r="G561" i="14"/>
  <c r="C562" i="14" l="1"/>
  <c r="D561" i="14"/>
  <c r="G562" i="14"/>
  <c r="F563" i="14"/>
  <c r="C563" i="14" l="1"/>
  <c r="D562" i="14"/>
  <c r="G563" i="14"/>
  <c r="F564" i="14"/>
  <c r="C564" i="14" l="1"/>
  <c r="D563" i="14"/>
  <c r="F565" i="14"/>
  <c r="G564" i="14"/>
  <c r="D564" i="14" l="1"/>
  <c r="C565" i="14"/>
  <c r="G565" i="14"/>
  <c r="F566" i="14"/>
  <c r="C566" i="14" l="1"/>
  <c r="D565" i="14"/>
  <c r="F567" i="14"/>
  <c r="G566" i="14"/>
  <c r="C567" i="14" l="1"/>
  <c r="D566" i="14"/>
  <c r="F568" i="14"/>
  <c r="G567" i="14"/>
  <c r="C568" i="14" l="1"/>
  <c r="D567" i="14"/>
  <c r="G568" i="14"/>
  <c r="F569" i="14"/>
  <c r="C569" i="14" l="1"/>
  <c r="D568" i="14"/>
  <c r="G569" i="14"/>
  <c r="F570" i="14"/>
  <c r="C570" i="14" l="1"/>
  <c r="D569" i="14"/>
  <c r="F571" i="14"/>
  <c r="G570" i="14"/>
  <c r="C571" i="14" l="1"/>
  <c r="D570" i="14"/>
  <c r="F572" i="14"/>
  <c r="G571" i="14"/>
  <c r="D571" i="14" l="1"/>
  <c r="C572" i="14"/>
  <c r="G572" i="14"/>
  <c r="F573" i="14"/>
  <c r="D572" i="14" l="1"/>
  <c r="C573" i="14"/>
  <c r="G573" i="14"/>
  <c r="F574" i="14"/>
  <c r="C574" i="14" l="1"/>
  <c r="D573" i="14"/>
  <c r="G574" i="14"/>
  <c r="F575" i="14"/>
  <c r="C575" i="14" l="1"/>
  <c r="D574" i="14"/>
  <c r="G575" i="14"/>
  <c r="F576" i="14"/>
  <c r="D575" i="14" l="1"/>
  <c r="C576" i="14"/>
  <c r="F577" i="14"/>
  <c r="G576" i="14"/>
  <c r="D576" i="14" l="1"/>
  <c r="C577" i="14"/>
  <c r="F578" i="14"/>
  <c r="G577" i="14"/>
  <c r="C578" i="14" l="1"/>
  <c r="D577" i="14"/>
  <c r="F579" i="14"/>
  <c r="G578" i="14"/>
  <c r="C579" i="14" l="1"/>
  <c r="D578" i="14"/>
  <c r="G579" i="14"/>
  <c r="F580" i="14"/>
  <c r="C580" i="14" l="1"/>
  <c r="D579" i="14"/>
  <c r="G580" i="14"/>
  <c r="F581" i="14"/>
  <c r="C581" i="14" l="1"/>
  <c r="D580" i="14"/>
  <c r="F582" i="14"/>
  <c r="G581" i="14"/>
  <c r="D581" i="14" l="1"/>
  <c r="C582" i="14"/>
  <c r="G582" i="14"/>
  <c r="F583" i="14"/>
  <c r="C583" i="14" l="1"/>
  <c r="D582" i="14"/>
  <c r="G583" i="14"/>
  <c r="F584" i="14"/>
  <c r="D583" i="14" l="1"/>
  <c r="C584" i="14"/>
  <c r="F585" i="14"/>
  <c r="G584" i="14"/>
  <c r="C585" i="14" l="1"/>
  <c r="D584" i="14"/>
  <c r="F586" i="14"/>
  <c r="G585" i="14"/>
  <c r="C586" i="14" l="1"/>
  <c r="D585" i="14"/>
  <c r="F587" i="14"/>
  <c r="G586" i="14"/>
  <c r="C587" i="14" l="1"/>
  <c r="D586" i="14"/>
  <c r="F588" i="14"/>
  <c r="G587" i="14"/>
  <c r="D587" i="14" l="1"/>
  <c r="C588" i="14"/>
  <c r="G588" i="14"/>
  <c r="F589" i="14"/>
  <c r="C589" i="14" l="1"/>
  <c r="D588" i="14"/>
  <c r="G589" i="14"/>
  <c r="F590" i="14"/>
  <c r="D589" i="14" l="1"/>
  <c r="C590" i="14"/>
  <c r="G590" i="14"/>
  <c r="F591" i="14"/>
  <c r="D590" i="14" l="1"/>
  <c r="C591" i="14"/>
  <c r="G591" i="14"/>
  <c r="F592" i="14"/>
  <c r="C592" i="14" l="1"/>
  <c r="D591" i="14"/>
  <c r="F593" i="14"/>
  <c r="G592" i="14"/>
  <c r="D592" i="14" l="1"/>
  <c r="C593" i="14"/>
  <c r="G593" i="14"/>
  <c r="F594" i="14"/>
  <c r="D593" i="14" l="1"/>
  <c r="C594" i="14"/>
  <c r="G594" i="14"/>
  <c r="F595" i="14"/>
  <c r="C595" i="14" l="1"/>
  <c r="D594" i="14"/>
  <c r="G595" i="14"/>
  <c r="F596" i="14"/>
  <c r="D595" i="14" l="1"/>
  <c r="C596" i="14"/>
  <c r="G596" i="14"/>
  <c r="F597" i="14"/>
  <c r="C597" i="14" l="1"/>
  <c r="D596" i="14"/>
  <c r="G597" i="14"/>
  <c r="F598" i="14"/>
  <c r="D597" i="14" l="1"/>
  <c r="C598" i="14"/>
  <c r="G598" i="14"/>
  <c r="F599" i="14"/>
  <c r="C599" i="14" l="1"/>
  <c r="D598" i="14"/>
  <c r="F600" i="14"/>
  <c r="G599" i="14"/>
  <c r="D599" i="14" l="1"/>
  <c r="C600" i="14"/>
  <c r="G600" i="14"/>
  <c r="F601" i="14"/>
  <c r="C601" i="14" l="1"/>
  <c r="D600" i="14"/>
  <c r="F602" i="14"/>
  <c r="G601" i="14"/>
  <c r="D601" i="14" l="1"/>
  <c r="C602" i="14"/>
  <c r="F603" i="14"/>
  <c r="G602" i="14"/>
  <c r="C603" i="14" l="1"/>
  <c r="D602" i="14"/>
  <c r="G603" i="14"/>
  <c r="F604" i="14"/>
  <c r="D603" i="14" l="1"/>
  <c r="C604" i="14"/>
  <c r="G604" i="14"/>
  <c r="F605" i="14"/>
  <c r="C605" i="14" l="1"/>
  <c r="D604" i="14"/>
  <c r="G605" i="14"/>
  <c r="F606" i="14"/>
  <c r="D605" i="14" l="1"/>
  <c r="C606" i="14"/>
  <c r="G606" i="14"/>
  <c r="F607" i="14"/>
  <c r="C607" i="14" l="1"/>
  <c r="D606" i="14"/>
  <c r="F608" i="14"/>
  <c r="G607" i="14"/>
  <c r="D607" i="14" l="1"/>
  <c r="C608" i="14"/>
  <c r="F609" i="14"/>
  <c r="G608" i="14"/>
  <c r="D608" i="14" l="1"/>
  <c r="C609" i="14"/>
  <c r="G609" i="14"/>
  <c r="F610" i="14"/>
  <c r="C610" i="14" l="1"/>
  <c r="D609" i="14"/>
  <c r="F611" i="14"/>
  <c r="G610" i="14"/>
  <c r="C611" i="14" l="1"/>
  <c r="D610" i="14"/>
  <c r="G611" i="14"/>
  <c r="F612" i="14"/>
  <c r="D611" i="14" l="1"/>
  <c r="C612" i="14"/>
  <c r="F613" i="14"/>
  <c r="G612" i="14"/>
  <c r="D612" i="14" l="1"/>
  <c r="C613" i="14"/>
  <c r="G613" i="14"/>
  <c r="F614" i="14"/>
  <c r="D613" i="14" l="1"/>
  <c r="C614" i="14"/>
  <c r="G614" i="14"/>
  <c r="F615" i="14"/>
  <c r="D614" i="14" l="1"/>
  <c r="C615" i="14"/>
  <c r="G615" i="14"/>
  <c r="F616" i="14"/>
  <c r="C616" i="14" l="1"/>
  <c r="D615" i="14"/>
  <c r="G616" i="14"/>
  <c r="F617" i="14"/>
  <c r="D616" i="14" l="1"/>
  <c r="C617" i="14"/>
  <c r="F618" i="14"/>
  <c r="G617" i="14"/>
  <c r="D617" i="14" l="1"/>
  <c r="C618" i="14"/>
  <c r="F619" i="14"/>
  <c r="G618" i="14"/>
  <c r="D618" i="14" l="1"/>
  <c r="C619" i="14"/>
  <c r="G619" i="14"/>
  <c r="F620" i="14"/>
  <c r="C620" i="14" l="1"/>
  <c r="D619" i="14"/>
  <c r="F621" i="14"/>
  <c r="G620" i="14"/>
  <c r="D620" i="14" l="1"/>
  <c r="C621" i="14"/>
  <c r="F622" i="14"/>
  <c r="G621" i="14"/>
  <c r="D621" i="14" l="1"/>
  <c r="C622" i="14"/>
  <c r="F623" i="14"/>
  <c r="G622" i="14"/>
  <c r="D622" i="14" l="1"/>
  <c r="C623" i="14"/>
  <c r="G623" i="14"/>
  <c r="F624" i="14"/>
  <c r="C624" i="14" l="1"/>
  <c r="D623" i="14"/>
  <c r="G624" i="14"/>
  <c r="F625" i="14"/>
  <c r="D624" i="14" l="1"/>
  <c r="C625" i="14"/>
  <c r="G625" i="14"/>
  <c r="F626" i="14"/>
  <c r="D625" i="14" l="1"/>
  <c r="C626" i="14"/>
  <c r="F627" i="14"/>
  <c r="G626" i="14"/>
  <c r="D626" i="14" l="1"/>
  <c r="C627" i="14"/>
  <c r="G627" i="14"/>
  <c r="F628" i="14"/>
  <c r="C628" i="14" l="1"/>
  <c r="D627" i="14"/>
  <c r="F629" i="14"/>
  <c r="G628" i="14"/>
  <c r="C629" i="14" l="1"/>
  <c r="D628" i="14"/>
  <c r="G629" i="14"/>
  <c r="F630" i="14"/>
  <c r="D629" i="14" l="1"/>
  <c r="C630" i="14"/>
  <c r="G630" i="14"/>
  <c r="F631" i="14"/>
  <c r="D630" i="14" l="1"/>
  <c r="C631" i="14"/>
  <c r="F632" i="14"/>
  <c r="G631" i="14"/>
  <c r="D631" i="14" l="1"/>
  <c r="C632" i="14"/>
  <c r="G632" i="14"/>
  <c r="F633" i="14"/>
  <c r="D632" i="14" l="1"/>
  <c r="C633" i="14"/>
  <c r="F634" i="14"/>
  <c r="G633" i="14"/>
  <c r="D633" i="14" l="1"/>
  <c r="C634" i="14"/>
  <c r="G634" i="14"/>
  <c r="F635" i="14"/>
  <c r="C635" i="14" l="1"/>
  <c r="D634" i="14"/>
  <c r="F636" i="14"/>
  <c r="G635" i="14"/>
  <c r="C636" i="14" l="1"/>
  <c r="D635" i="14"/>
  <c r="F637" i="14"/>
  <c r="G636" i="14"/>
  <c r="C637" i="14" l="1"/>
  <c r="D636" i="14"/>
  <c r="F638" i="14"/>
  <c r="G637" i="14"/>
  <c r="D637" i="14" l="1"/>
  <c r="C638" i="14"/>
  <c r="F639" i="14"/>
  <c r="G638" i="14"/>
  <c r="D638" i="14" l="1"/>
  <c r="C639" i="14"/>
  <c r="G639" i="14"/>
  <c r="F640" i="14"/>
  <c r="C640" i="14" l="1"/>
  <c r="D639" i="14"/>
  <c r="G640" i="14"/>
  <c r="F641" i="14"/>
  <c r="C641" i="14" l="1"/>
  <c r="D640" i="14"/>
  <c r="G641" i="14"/>
  <c r="F642" i="14"/>
  <c r="D641" i="14" l="1"/>
  <c r="C642" i="14"/>
  <c r="G642" i="14"/>
  <c r="F643" i="14"/>
  <c r="C643" i="14" l="1"/>
  <c r="D642" i="14"/>
  <c r="F644" i="14"/>
  <c r="G643" i="14"/>
  <c r="D643" i="14" l="1"/>
  <c r="C644" i="14"/>
  <c r="F645" i="14"/>
  <c r="G644" i="14"/>
  <c r="C645" i="14" l="1"/>
  <c r="D644" i="14"/>
  <c r="G645" i="14"/>
  <c r="F646" i="14"/>
  <c r="D645" i="14" l="1"/>
  <c r="C646" i="14"/>
  <c r="F647" i="14"/>
  <c r="G646" i="14"/>
  <c r="D646" i="14" l="1"/>
  <c r="C647" i="14"/>
  <c r="G647" i="14"/>
  <c r="F648" i="14"/>
  <c r="C648" i="14" l="1"/>
  <c r="D647" i="14"/>
  <c r="F649" i="14"/>
  <c r="G648" i="14"/>
  <c r="C649" i="14" l="1"/>
  <c r="D648" i="14"/>
  <c r="G649" i="14"/>
  <c r="F650" i="14"/>
  <c r="C650" i="14" l="1"/>
  <c r="D649" i="14"/>
  <c r="G650" i="14"/>
  <c r="F651" i="14"/>
  <c r="C651" i="14" l="1"/>
  <c r="D650" i="14"/>
  <c r="F652" i="14"/>
  <c r="G651" i="14"/>
  <c r="C652" i="14" l="1"/>
  <c r="D651" i="14"/>
  <c r="F653" i="14"/>
  <c r="G652" i="14"/>
  <c r="C653" i="14" l="1"/>
  <c r="D652" i="14"/>
  <c r="G653" i="14"/>
  <c r="F654" i="14"/>
  <c r="D653" i="14" l="1"/>
  <c r="C654" i="14"/>
  <c r="F655" i="14"/>
  <c r="G654" i="14"/>
  <c r="C655" i="14" l="1"/>
  <c r="D654" i="14"/>
  <c r="F656" i="14"/>
  <c r="G655" i="14"/>
  <c r="D655" i="14" l="1"/>
  <c r="C656" i="14"/>
  <c r="F657" i="14"/>
  <c r="G656" i="14"/>
  <c r="D656" i="14" l="1"/>
  <c r="C657" i="14"/>
  <c r="G657" i="14"/>
  <c r="F658" i="14"/>
  <c r="C658" i="14" l="1"/>
  <c r="D657" i="14"/>
  <c r="G658" i="14"/>
  <c r="F659" i="14"/>
  <c r="C659" i="14" l="1"/>
  <c r="D658" i="14"/>
  <c r="F660" i="14"/>
  <c r="G659" i="14"/>
  <c r="D659" i="14" l="1"/>
  <c r="C660" i="14"/>
  <c r="F661" i="14"/>
  <c r="G660" i="14"/>
  <c r="C661" i="14" l="1"/>
  <c r="D660" i="14"/>
  <c r="G661" i="14"/>
  <c r="F662" i="14"/>
  <c r="D661" i="14" l="1"/>
  <c r="C662" i="14"/>
  <c r="F663" i="14"/>
  <c r="G662" i="14"/>
  <c r="D662" i="14" l="1"/>
  <c r="C663" i="14"/>
  <c r="G663" i="14"/>
  <c r="F664" i="14"/>
  <c r="C664" i="14" l="1"/>
  <c r="D663" i="14"/>
  <c r="G664" i="14"/>
  <c r="F665" i="14"/>
  <c r="D664" i="14" l="1"/>
  <c r="C665" i="14"/>
  <c r="G665" i="14"/>
  <c r="F666" i="14"/>
  <c r="C666" i="14" l="1"/>
  <c r="D665" i="14"/>
  <c r="G666" i="14"/>
  <c r="F667" i="14"/>
  <c r="D666" i="14" l="1"/>
  <c r="C667" i="14"/>
  <c r="F668" i="14"/>
  <c r="G667" i="14"/>
  <c r="C668" i="14" l="1"/>
  <c r="D667" i="14"/>
  <c r="G668" i="14"/>
  <c r="F669" i="14"/>
  <c r="D668" i="14" l="1"/>
  <c r="C669" i="14"/>
  <c r="F670" i="14"/>
  <c r="G669" i="14"/>
  <c r="C670" i="14" l="1"/>
  <c r="D669" i="14"/>
  <c r="G670" i="14"/>
  <c r="F671" i="14"/>
  <c r="C671" i="14" l="1"/>
  <c r="D670" i="14"/>
  <c r="F672" i="14"/>
  <c r="G671" i="14"/>
  <c r="D671" i="14" l="1"/>
  <c r="C672" i="14"/>
  <c r="G672" i="14"/>
  <c r="F673" i="14"/>
  <c r="C673" i="14" l="1"/>
  <c r="D672" i="14"/>
  <c r="G673" i="14"/>
  <c r="F674" i="14"/>
  <c r="C674" i="14" l="1"/>
  <c r="D673" i="14"/>
  <c r="G674" i="14"/>
  <c r="F675" i="14"/>
  <c r="C675" i="14" l="1"/>
  <c r="D674" i="14"/>
  <c r="F676" i="14"/>
  <c r="G675" i="14"/>
  <c r="D675" i="14" l="1"/>
  <c r="C676" i="14"/>
  <c r="G676" i="14"/>
  <c r="F677" i="14"/>
  <c r="D676" i="14" l="1"/>
  <c r="C677" i="14"/>
  <c r="F678" i="14"/>
  <c r="G677" i="14"/>
  <c r="C678" i="14" l="1"/>
  <c r="D677" i="14"/>
  <c r="F679" i="14"/>
  <c r="G678" i="14"/>
  <c r="D678" i="14" l="1"/>
  <c r="C679" i="14"/>
  <c r="F680" i="14"/>
  <c r="G679" i="14"/>
  <c r="C680" i="14" l="1"/>
  <c r="D679" i="14"/>
  <c r="G680" i="14"/>
  <c r="F681" i="14"/>
  <c r="C681" i="14" l="1"/>
  <c r="D680" i="14"/>
  <c r="G681" i="14"/>
  <c r="F682" i="14"/>
  <c r="D681" i="14" l="1"/>
  <c r="C682" i="14"/>
  <c r="F683" i="14"/>
  <c r="G682" i="14"/>
  <c r="C683" i="14" l="1"/>
  <c r="D682" i="14"/>
  <c r="F684" i="14"/>
  <c r="G683" i="14"/>
  <c r="D683" i="14" l="1"/>
  <c r="C684" i="14"/>
  <c r="G684" i="14"/>
  <c r="F685" i="14"/>
  <c r="D684" i="14" l="1"/>
  <c r="C685" i="14"/>
  <c r="G685" i="14"/>
  <c r="F686" i="14"/>
  <c r="D685" i="14" l="1"/>
  <c r="C686" i="14"/>
  <c r="G686" i="14"/>
  <c r="F687" i="14"/>
  <c r="C687" i="14" l="1"/>
  <c r="D686" i="14"/>
  <c r="G687" i="14"/>
  <c r="F688" i="14"/>
  <c r="D687" i="14" l="1"/>
  <c r="C688" i="14"/>
  <c r="G688" i="14"/>
  <c r="F689" i="14"/>
  <c r="C689" i="14" l="1"/>
  <c r="D688" i="14"/>
  <c r="G689" i="14"/>
  <c r="F690" i="14"/>
  <c r="D689" i="14" l="1"/>
  <c r="C690" i="14"/>
  <c r="F691" i="14"/>
  <c r="G690" i="14"/>
  <c r="C691" i="14" l="1"/>
  <c r="D690" i="14"/>
  <c r="G691" i="14"/>
  <c r="F692" i="14"/>
  <c r="C692" i="14" l="1"/>
  <c r="D691" i="14"/>
  <c r="G692" i="14"/>
  <c r="F693" i="14"/>
  <c r="C693" i="14" l="1"/>
  <c r="D692" i="14"/>
  <c r="G693" i="14"/>
  <c r="F694" i="14"/>
  <c r="C694" i="14" l="1"/>
  <c r="D693" i="14"/>
  <c r="G694" i="14"/>
  <c r="F695" i="14"/>
  <c r="C695" i="14" l="1"/>
  <c r="D694" i="14"/>
  <c r="F696" i="14"/>
  <c r="G695" i="14"/>
  <c r="C696" i="14" l="1"/>
  <c r="D695" i="14"/>
  <c r="G696" i="14"/>
  <c r="F697" i="14"/>
  <c r="C697" i="14" l="1"/>
  <c r="D696" i="14"/>
  <c r="F698" i="14"/>
  <c r="G697" i="14"/>
  <c r="C698" i="14" l="1"/>
  <c r="D697" i="14"/>
  <c r="F699" i="14"/>
  <c r="G698" i="14"/>
  <c r="D698" i="14" l="1"/>
  <c r="C699" i="14"/>
  <c r="F700" i="14"/>
  <c r="G699" i="14"/>
  <c r="D699" i="14" l="1"/>
  <c r="C700" i="14"/>
  <c r="F701" i="14"/>
  <c r="G700" i="14"/>
  <c r="D700" i="14" l="1"/>
  <c r="C701" i="14"/>
  <c r="G701" i="14"/>
  <c r="F702" i="14"/>
  <c r="D701" i="14" l="1"/>
  <c r="C702" i="14"/>
  <c r="G702" i="14"/>
  <c r="F703" i="14"/>
  <c r="D702" i="14" l="1"/>
  <c r="C703" i="14"/>
  <c r="G703" i="14"/>
  <c r="F704" i="14"/>
  <c r="D703" i="14" l="1"/>
  <c r="C704" i="14"/>
  <c r="F705" i="14"/>
  <c r="G704" i="14"/>
  <c r="C705" i="14" l="1"/>
  <c r="D704" i="14"/>
  <c r="F706" i="14"/>
  <c r="G705" i="14"/>
  <c r="D705" i="14" l="1"/>
  <c r="C706" i="14"/>
  <c r="F707" i="14"/>
  <c r="G706" i="14"/>
  <c r="D706" i="14" l="1"/>
  <c r="C707" i="14"/>
  <c r="G707" i="14"/>
  <c r="F708" i="14"/>
  <c r="D707" i="14" l="1"/>
  <c r="C708" i="14"/>
  <c r="F709" i="14"/>
  <c r="G708" i="14"/>
  <c r="D708" i="14" l="1"/>
  <c r="C709" i="14"/>
  <c r="F710" i="14"/>
  <c r="G709" i="14"/>
  <c r="C710" i="14" l="1"/>
  <c r="D709" i="14"/>
  <c r="G710" i="14"/>
  <c r="F711" i="14"/>
  <c r="D710" i="14" l="1"/>
  <c r="C711" i="14"/>
  <c r="F712" i="14"/>
  <c r="G711" i="14"/>
  <c r="D711" i="14" l="1"/>
  <c r="C712" i="14"/>
  <c r="F713" i="14"/>
  <c r="G712" i="14"/>
  <c r="D712" i="14" l="1"/>
  <c r="C713" i="14"/>
  <c r="F714" i="14"/>
  <c r="G713" i="14"/>
  <c r="C714" i="14" l="1"/>
  <c r="D713" i="14"/>
  <c r="F715" i="14"/>
  <c r="G714" i="14"/>
  <c r="C715" i="14" l="1"/>
  <c r="D714" i="14"/>
  <c r="G715" i="14"/>
  <c r="F716" i="14"/>
  <c r="D715" i="14" l="1"/>
  <c r="C716" i="14"/>
  <c r="G716" i="14"/>
  <c r="F717" i="14"/>
  <c r="D716" i="14" l="1"/>
  <c r="C717" i="14"/>
  <c r="F718" i="14"/>
  <c r="G717" i="14"/>
  <c r="C718" i="14" l="1"/>
  <c r="D717" i="14"/>
  <c r="F719" i="14"/>
  <c r="G718" i="14"/>
  <c r="C719" i="14" l="1"/>
  <c r="D718" i="14"/>
  <c r="G719" i="14"/>
  <c r="F720" i="14"/>
  <c r="C720" i="14" l="1"/>
  <c r="D719" i="14"/>
  <c r="F721" i="14"/>
  <c r="G720" i="14"/>
  <c r="C721" i="14" l="1"/>
  <c r="D720" i="14"/>
  <c r="G721" i="14"/>
  <c r="F722" i="14"/>
  <c r="D721" i="14" l="1"/>
  <c r="C722" i="14"/>
  <c r="G722" i="14"/>
  <c r="F723" i="14"/>
  <c r="D722" i="14" l="1"/>
  <c r="C723" i="14"/>
  <c r="G723" i="14"/>
  <c r="F724" i="14"/>
  <c r="C724" i="14" l="1"/>
  <c r="D723" i="14"/>
  <c r="G724" i="14"/>
  <c r="F725" i="14"/>
  <c r="D724" i="14" l="1"/>
  <c r="C725" i="14"/>
  <c r="F726" i="14"/>
  <c r="G725" i="14"/>
  <c r="C726" i="14" l="1"/>
  <c r="D725" i="14"/>
  <c r="G726" i="14"/>
  <c r="F727" i="14"/>
  <c r="D726" i="14" l="1"/>
  <c r="C727" i="14"/>
  <c r="F728" i="14"/>
  <c r="G727" i="14"/>
  <c r="C728" i="14" l="1"/>
  <c r="D727" i="14"/>
  <c r="F729" i="14"/>
  <c r="G728" i="14"/>
  <c r="D728" i="14" l="1"/>
  <c r="C729" i="14"/>
  <c r="F730" i="14"/>
  <c r="G729" i="14"/>
  <c r="D729" i="14" l="1"/>
  <c r="C730" i="14"/>
  <c r="G730" i="14"/>
  <c r="F731" i="14"/>
  <c r="D730" i="14" l="1"/>
  <c r="C731" i="14"/>
  <c r="F732" i="14"/>
  <c r="G731" i="14"/>
  <c r="D731" i="14" l="1"/>
  <c r="C732" i="14"/>
  <c r="F733" i="14"/>
  <c r="G732" i="14"/>
  <c r="C733" i="14" l="1"/>
  <c r="D732" i="14"/>
  <c r="G733" i="14"/>
  <c r="F734" i="14"/>
  <c r="D733" i="14" l="1"/>
  <c r="C734" i="14"/>
  <c r="G734" i="14"/>
  <c r="F735" i="14"/>
  <c r="D734" i="14" l="1"/>
  <c r="C735" i="14"/>
  <c r="G735" i="14"/>
  <c r="F736" i="14"/>
  <c r="D735" i="14" l="1"/>
  <c r="C736" i="14"/>
  <c r="G736" i="14"/>
  <c r="F737" i="14"/>
  <c r="C737" i="14" l="1"/>
  <c r="D736" i="14"/>
  <c r="F738" i="14"/>
  <c r="G737" i="14"/>
  <c r="D737" i="14" l="1"/>
  <c r="C738" i="14"/>
  <c r="F739" i="14"/>
  <c r="G738" i="14"/>
  <c r="D738" i="14" l="1"/>
  <c r="C739" i="14"/>
  <c r="G739" i="14"/>
  <c r="F740" i="14"/>
  <c r="C740" i="14" l="1"/>
  <c r="D739" i="14"/>
  <c r="F741" i="14"/>
  <c r="G740" i="14"/>
  <c r="D740" i="14" l="1"/>
  <c r="C741" i="14"/>
  <c r="G741" i="14"/>
  <c r="F742" i="14"/>
  <c r="D741" i="14" l="1"/>
  <c r="C742" i="14"/>
  <c r="F743" i="14"/>
  <c r="G742" i="14"/>
  <c r="D742" i="14" l="1"/>
  <c r="C743" i="14"/>
  <c r="G743" i="14"/>
  <c r="F744" i="14"/>
  <c r="D743" i="14" l="1"/>
  <c r="C744" i="14"/>
  <c r="F745" i="14"/>
  <c r="G744" i="14"/>
  <c r="D744" i="14" l="1"/>
  <c r="C745" i="14"/>
  <c r="G745" i="14"/>
  <c r="F746" i="14"/>
  <c r="D745" i="14" l="1"/>
  <c r="C746" i="14"/>
  <c r="F747" i="14"/>
  <c r="G746" i="14"/>
  <c r="D746" i="14" l="1"/>
  <c r="C747" i="14"/>
  <c r="G747" i="14"/>
  <c r="F748" i="14"/>
  <c r="C748" i="14" l="1"/>
  <c r="D747" i="14"/>
  <c r="F749" i="14"/>
  <c r="G748" i="14"/>
  <c r="C749" i="14" l="1"/>
  <c r="D748" i="14"/>
  <c r="F750" i="14"/>
  <c r="G749" i="14"/>
  <c r="D749" i="14" l="1"/>
  <c r="C750" i="14"/>
  <c r="G750" i="14"/>
  <c r="F751" i="14"/>
  <c r="C751" i="14" l="1"/>
  <c r="D750" i="14"/>
  <c r="F752" i="14"/>
  <c r="G751" i="14"/>
  <c r="C752" i="14" l="1"/>
  <c r="D751" i="14"/>
  <c r="G752" i="14"/>
  <c r="F753" i="14"/>
  <c r="C753" i="14" l="1"/>
  <c r="D752" i="14"/>
  <c r="G753" i="14"/>
  <c r="F754" i="14"/>
  <c r="C754" i="14" l="1"/>
  <c r="D753" i="14"/>
  <c r="G754" i="14"/>
  <c r="F755" i="14"/>
  <c r="D754" i="14" l="1"/>
  <c r="C755" i="14"/>
  <c r="F756" i="14"/>
  <c r="G755" i="14"/>
  <c r="C756" i="14" l="1"/>
  <c r="D755" i="14"/>
  <c r="G756" i="14"/>
  <c r="F757" i="14"/>
  <c r="D756" i="14" l="1"/>
  <c r="C757" i="14"/>
  <c r="F758" i="14"/>
  <c r="G757" i="14"/>
  <c r="D757" i="14" l="1"/>
  <c r="C758" i="14"/>
  <c r="G758" i="14"/>
  <c r="F759" i="14"/>
  <c r="C759" i="14" l="1"/>
  <c r="D758" i="14"/>
  <c r="G759" i="14"/>
  <c r="F760" i="14"/>
  <c r="C760" i="14" l="1"/>
  <c r="D759" i="14"/>
  <c r="F761" i="14"/>
  <c r="G760" i="14"/>
  <c r="D760" i="14" l="1"/>
  <c r="C761" i="14"/>
  <c r="G761" i="14"/>
  <c r="F762" i="14"/>
  <c r="D761" i="14" l="1"/>
  <c r="C762" i="14"/>
  <c r="G762" i="14"/>
  <c r="F763" i="14"/>
  <c r="D762" i="14" l="1"/>
  <c r="C763" i="14"/>
  <c r="F764" i="14"/>
  <c r="G763" i="14"/>
  <c r="D763" i="14" l="1"/>
  <c r="C764" i="14"/>
  <c r="F765" i="14"/>
  <c r="G764" i="14"/>
  <c r="D764" i="14" l="1"/>
  <c r="C765" i="14"/>
  <c r="G765" i="14"/>
  <c r="F766" i="14"/>
  <c r="C766" i="14" l="1"/>
  <c r="D765" i="14"/>
  <c r="F767" i="14"/>
  <c r="G766" i="14"/>
  <c r="C767" i="14" l="1"/>
  <c r="D766" i="14"/>
  <c r="G767" i="14"/>
  <c r="F768" i="14"/>
  <c r="D767" i="14" l="1"/>
  <c r="C768" i="14"/>
  <c r="G768" i="14"/>
  <c r="F769" i="14"/>
  <c r="D768" i="14" l="1"/>
  <c r="C769" i="14"/>
  <c r="F770" i="14"/>
  <c r="G769" i="14"/>
  <c r="D769" i="14" l="1"/>
  <c r="C770" i="14"/>
  <c r="G770" i="14"/>
  <c r="F771" i="14"/>
  <c r="C771" i="14" l="1"/>
  <c r="D770" i="14"/>
  <c r="G771" i="14"/>
  <c r="F772" i="14"/>
  <c r="C772" i="14" l="1"/>
  <c r="D771" i="14"/>
  <c r="F773" i="14"/>
  <c r="G772" i="14"/>
  <c r="D772" i="14" l="1"/>
  <c r="C773" i="14"/>
  <c r="F774" i="14"/>
  <c r="G773" i="14"/>
  <c r="C774" i="14" l="1"/>
  <c r="D773" i="14"/>
  <c r="G774" i="14"/>
  <c r="F775" i="14"/>
  <c r="D774" i="14" l="1"/>
  <c r="C775" i="14"/>
  <c r="F776" i="14"/>
  <c r="G775" i="14"/>
  <c r="C776" i="14" l="1"/>
  <c r="D775" i="14"/>
  <c r="G776" i="14"/>
  <c r="F777" i="14"/>
  <c r="C777" i="14" l="1"/>
  <c r="D776" i="14"/>
  <c r="G777" i="14"/>
  <c r="F778" i="14"/>
  <c r="D777" i="14" l="1"/>
  <c r="C778" i="14"/>
  <c r="F779" i="14"/>
  <c r="G778" i="14"/>
  <c r="C779" i="14" l="1"/>
  <c r="D778" i="14"/>
  <c r="G779" i="14"/>
  <c r="F780" i="14"/>
  <c r="D779" i="14" l="1"/>
  <c r="C780" i="14"/>
  <c r="F781" i="14"/>
  <c r="G780" i="14"/>
  <c r="C781" i="14" l="1"/>
  <c r="D780" i="14"/>
  <c r="G781" i="14"/>
  <c r="F782" i="14"/>
  <c r="C782" i="14" l="1"/>
  <c r="D781" i="14"/>
  <c r="G782" i="14"/>
  <c r="F783" i="14"/>
  <c r="C783" i="14" l="1"/>
  <c r="D782" i="14"/>
  <c r="G783" i="14"/>
  <c r="F784" i="14"/>
  <c r="D783" i="14" l="1"/>
  <c r="C784" i="14"/>
  <c r="F785" i="14"/>
  <c r="G784" i="14"/>
  <c r="C785" i="14" l="1"/>
  <c r="D784" i="14"/>
  <c r="G785" i="14"/>
  <c r="F786" i="14"/>
  <c r="C786" i="14" l="1"/>
  <c r="D785" i="14"/>
  <c r="G786" i="14"/>
  <c r="F787" i="14"/>
  <c r="D786" i="14" l="1"/>
  <c r="C787" i="14"/>
  <c r="F788" i="14"/>
  <c r="G787" i="14"/>
  <c r="D787" i="14" l="1"/>
  <c r="C788" i="14"/>
  <c r="F789" i="14"/>
  <c r="G788" i="14"/>
  <c r="C789" i="14" l="1"/>
  <c r="D788" i="14"/>
  <c r="F790" i="14"/>
  <c r="G789" i="14"/>
  <c r="D789" i="14" l="1"/>
  <c r="C790" i="14"/>
  <c r="G790" i="14"/>
  <c r="F791" i="14"/>
  <c r="C791" i="14" l="1"/>
  <c r="D790" i="14"/>
  <c r="G791" i="14"/>
  <c r="F792" i="14"/>
  <c r="D791" i="14" l="1"/>
  <c r="C792" i="14"/>
  <c r="G792" i="14"/>
  <c r="F793" i="14"/>
  <c r="C793" i="14" l="1"/>
  <c r="D792" i="14"/>
  <c r="F794" i="14"/>
  <c r="G793" i="14"/>
  <c r="D793" i="14" l="1"/>
  <c r="C794" i="14"/>
  <c r="G794" i="14"/>
  <c r="F795" i="14"/>
  <c r="D794" i="14" l="1"/>
  <c r="C795" i="14"/>
  <c r="G795" i="14"/>
  <c r="F796" i="14"/>
  <c r="D795" i="14" l="1"/>
  <c r="C796" i="14"/>
  <c r="G796" i="14"/>
  <c r="F797" i="14"/>
  <c r="C797" i="14" l="1"/>
  <c r="D796" i="14"/>
  <c r="G797" i="14"/>
  <c r="F798" i="14"/>
  <c r="C798" i="14" l="1"/>
  <c r="D797" i="14"/>
  <c r="F799" i="14"/>
  <c r="G798" i="14"/>
  <c r="C799" i="14" l="1"/>
  <c r="D798" i="14"/>
  <c r="G799" i="14"/>
  <c r="F800" i="14"/>
  <c r="D799" i="14" l="1"/>
  <c r="C800" i="14"/>
  <c r="F801" i="14"/>
  <c r="G800" i="14"/>
  <c r="D800" i="14" l="1"/>
  <c r="C801" i="14"/>
  <c r="F802" i="14"/>
  <c r="G801" i="14"/>
  <c r="D801" i="14" l="1"/>
  <c r="C802" i="14"/>
  <c r="F803" i="14"/>
  <c r="G802" i="14"/>
  <c r="C803" i="14" l="1"/>
  <c r="D802" i="14"/>
  <c r="F804" i="14"/>
  <c r="G803" i="14"/>
  <c r="C804" i="14" l="1"/>
  <c r="D803" i="14"/>
  <c r="G804" i="14"/>
  <c r="F805" i="14"/>
  <c r="C805" i="14" l="1"/>
  <c r="D804" i="14"/>
  <c r="G805" i="14"/>
  <c r="F806" i="14"/>
  <c r="C806" i="14" l="1"/>
  <c r="D805" i="14"/>
  <c r="G806" i="14"/>
  <c r="F807" i="14"/>
  <c r="C807" i="14" l="1"/>
  <c r="D806" i="14"/>
  <c r="F808" i="14"/>
  <c r="G807" i="14"/>
  <c r="C808" i="14" l="1"/>
  <c r="D807" i="14"/>
  <c r="F809" i="14"/>
  <c r="G808" i="14"/>
  <c r="D808" i="14" l="1"/>
  <c r="C809" i="14"/>
  <c r="F810" i="14"/>
  <c r="G809" i="14"/>
  <c r="D809" i="14" l="1"/>
  <c r="C810" i="14"/>
  <c r="F811" i="14"/>
  <c r="G810" i="14"/>
  <c r="C811" i="14" l="1"/>
  <c r="D810" i="14"/>
  <c r="F812" i="14"/>
  <c r="G811" i="14"/>
  <c r="D811" i="14" l="1"/>
  <c r="C812" i="14"/>
  <c r="G812" i="14"/>
  <c r="F813" i="14"/>
  <c r="C813" i="14" l="1"/>
  <c r="D812" i="14"/>
  <c r="G813" i="14"/>
  <c r="F814" i="14"/>
  <c r="D813" i="14" l="1"/>
  <c r="C814" i="14"/>
  <c r="G814" i="14"/>
  <c r="F815" i="14"/>
  <c r="C815" i="14" l="1"/>
  <c r="D814" i="14"/>
  <c r="F816" i="14"/>
  <c r="G815" i="14"/>
  <c r="D815" i="14" l="1"/>
  <c r="C816" i="14"/>
  <c r="G816" i="14"/>
  <c r="F817" i="14"/>
  <c r="D816" i="14" l="1"/>
  <c r="C817" i="14"/>
  <c r="F818" i="14"/>
  <c r="G817" i="14"/>
  <c r="C818" i="14" l="1"/>
  <c r="D817" i="14"/>
  <c r="G818" i="14"/>
  <c r="F819" i="14"/>
  <c r="D818" i="14" l="1"/>
  <c r="C819" i="14"/>
  <c r="F820" i="14"/>
  <c r="G819" i="14"/>
  <c r="C820" i="14" l="1"/>
  <c r="D819" i="14"/>
  <c r="G820" i="14"/>
  <c r="F821" i="14"/>
  <c r="C821" i="14" l="1"/>
  <c r="D820" i="14"/>
  <c r="F822" i="14"/>
  <c r="G821" i="14"/>
  <c r="D821" i="14" l="1"/>
  <c r="C822" i="14"/>
  <c r="G822" i="14"/>
  <c r="F823" i="14"/>
  <c r="C823" i="14" l="1"/>
  <c r="D822" i="14"/>
  <c r="F824" i="14"/>
  <c r="G823" i="14"/>
  <c r="C824" i="14" l="1"/>
  <c r="D823" i="14"/>
  <c r="G824" i="14"/>
  <c r="F825" i="14"/>
  <c r="D824" i="14" l="1"/>
  <c r="C825" i="14"/>
  <c r="G825" i="14"/>
  <c r="F826" i="14"/>
  <c r="D825" i="14" l="1"/>
  <c r="C826" i="14"/>
  <c r="G826" i="14"/>
  <c r="F827" i="14"/>
  <c r="C827" i="14" l="1"/>
  <c r="D826" i="14"/>
  <c r="G827" i="14"/>
  <c r="F828" i="14"/>
  <c r="D827" i="14" l="1"/>
  <c r="C828" i="14"/>
  <c r="F829" i="14"/>
  <c r="G828" i="14"/>
  <c r="C829" i="14" l="1"/>
  <c r="D828" i="14"/>
  <c r="F830" i="14"/>
  <c r="G829" i="14"/>
  <c r="D829" i="14" l="1"/>
  <c r="C830" i="14"/>
  <c r="G830" i="14"/>
  <c r="F831" i="14"/>
  <c r="C831" i="14" l="1"/>
  <c r="D830" i="14"/>
  <c r="G831" i="14"/>
  <c r="F832" i="14"/>
  <c r="C832" i="14" l="1"/>
  <c r="D831" i="14"/>
  <c r="F833" i="14"/>
  <c r="G832" i="14"/>
  <c r="D832" i="14" l="1"/>
  <c r="C833" i="14"/>
  <c r="F834" i="14"/>
  <c r="G833" i="14"/>
  <c r="C834" i="14" l="1"/>
  <c r="D833" i="14"/>
  <c r="F835" i="14"/>
  <c r="G834" i="14"/>
  <c r="C835" i="14" l="1"/>
  <c r="D834" i="14"/>
  <c r="F836" i="14"/>
  <c r="G835" i="14"/>
  <c r="C836" i="14" l="1"/>
  <c r="D835" i="14"/>
  <c r="G836" i="14"/>
  <c r="F837" i="14"/>
  <c r="D836" i="14" l="1"/>
  <c r="C837" i="14"/>
  <c r="F838" i="14"/>
  <c r="G837" i="14"/>
  <c r="C838" i="14" l="1"/>
  <c r="D837" i="14"/>
  <c r="F839" i="14"/>
  <c r="G838" i="14"/>
  <c r="C839" i="14" l="1"/>
  <c r="D838" i="14"/>
  <c r="G839" i="14"/>
  <c r="F840" i="14"/>
  <c r="C840" i="14" l="1"/>
  <c r="D839" i="14"/>
  <c r="G840" i="14"/>
  <c r="F841" i="14"/>
  <c r="C841" i="14" l="1"/>
  <c r="D840" i="14"/>
  <c r="G841" i="14"/>
  <c r="F842" i="14"/>
  <c r="D841" i="14" l="1"/>
  <c r="C842" i="14"/>
  <c r="G842" i="14"/>
  <c r="F843" i="14"/>
  <c r="C843" i="14" l="1"/>
  <c r="D842" i="14"/>
  <c r="F844" i="14"/>
  <c r="G843" i="14"/>
  <c r="C844" i="14" l="1"/>
  <c r="D843" i="14"/>
  <c r="F845" i="14"/>
  <c r="G844" i="14"/>
  <c r="C845" i="14" l="1"/>
  <c r="D844" i="14"/>
  <c r="F846" i="14"/>
  <c r="G845" i="14"/>
  <c r="D845" i="14" l="1"/>
  <c r="C846" i="14"/>
  <c r="F847" i="14"/>
  <c r="G846" i="14"/>
  <c r="C847" i="14" l="1"/>
  <c r="D846" i="14"/>
  <c r="F848" i="14"/>
  <c r="G847" i="14"/>
  <c r="D847" i="14" l="1"/>
  <c r="C848" i="14"/>
  <c r="G848" i="14"/>
  <c r="F849" i="14"/>
  <c r="D848" i="14" l="1"/>
  <c r="C849" i="14"/>
  <c r="G849" i="14"/>
  <c r="F850" i="14"/>
  <c r="D849" i="14" l="1"/>
  <c r="C850" i="14"/>
  <c r="G850" i="14"/>
  <c r="F851" i="14"/>
  <c r="C851" i="14" l="1"/>
  <c r="D850" i="14"/>
  <c r="G851" i="14"/>
  <c r="F852" i="14"/>
  <c r="D851" i="14" l="1"/>
  <c r="C852" i="14"/>
  <c r="F853" i="14"/>
  <c r="G852" i="14"/>
  <c r="D852" i="14" l="1"/>
  <c r="C853" i="14"/>
  <c r="F854" i="14"/>
  <c r="G853" i="14"/>
  <c r="C854" i="14" l="1"/>
  <c r="D853" i="14"/>
  <c r="F855" i="14"/>
  <c r="G854" i="14"/>
  <c r="D854" i="14" l="1"/>
  <c r="C855" i="14"/>
  <c r="F856" i="14"/>
  <c r="G855" i="14"/>
  <c r="C856" i="14" l="1"/>
  <c r="D855" i="14"/>
  <c r="F857" i="14"/>
  <c r="G856" i="14"/>
  <c r="C857" i="14" l="1"/>
  <c r="D856" i="14"/>
  <c r="G857" i="14"/>
  <c r="F858" i="14"/>
  <c r="C858" i="14" l="1"/>
  <c r="D857" i="14"/>
  <c r="F859" i="14"/>
  <c r="G858" i="14"/>
  <c r="C859" i="14" l="1"/>
  <c r="D858" i="14"/>
  <c r="F860" i="14"/>
  <c r="G859" i="14"/>
  <c r="D859" i="14" l="1"/>
  <c r="C860" i="14"/>
  <c r="F861" i="14"/>
  <c r="G860" i="14"/>
  <c r="C861" i="14" l="1"/>
  <c r="D860" i="14"/>
  <c r="F862" i="14"/>
  <c r="G861" i="14"/>
  <c r="D861" i="14" l="1"/>
  <c r="C862" i="14"/>
  <c r="F863" i="14"/>
  <c r="G862" i="14"/>
  <c r="D862" i="14" l="1"/>
  <c r="C863" i="14"/>
  <c r="G863" i="14"/>
  <c r="F864" i="14"/>
  <c r="D863" i="14" l="1"/>
  <c r="C864" i="14"/>
  <c r="F865" i="14"/>
  <c r="G864" i="14"/>
  <c r="C865" i="14" l="1"/>
  <c r="D864" i="14"/>
  <c r="G865" i="14"/>
  <c r="F866" i="14"/>
  <c r="D865" i="14" l="1"/>
  <c r="C866" i="14"/>
  <c r="F867" i="14"/>
  <c r="G866" i="14"/>
  <c r="D866" i="14" l="1"/>
  <c r="C867" i="14"/>
  <c r="F868" i="14"/>
  <c r="G867" i="14"/>
  <c r="D867" i="14" l="1"/>
  <c r="C868" i="14"/>
  <c r="F869" i="14"/>
  <c r="G868" i="14"/>
  <c r="D868" i="14" l="1"/>
  <c r="C869" i="14"/>
  <c r="F870" i="14"/>
  <c r="G869" i="14"/>
  <c r="C870" i="14" l="1"/>
  <c r="D869" i="14"/>
  <c r="G870" i="14"/>
  <c r="F871" i="14"/>
  <c r="C871" i="14" l="1"/>
  <c r="D870" i="14"/>
  <c r="F872" i="14"/>
  <c r="G871" i="14"/>
  <c r="C872" i="14" l="1"/>
  <c r="D871" i="14"/>
  <c r="G872" i="14"/>
  <c r="F873" i="14"/>
  <c r="D872" i="14" l="1"/>
  <c r="C873" i="14"/>
  <c r="G873" i="14"/>
  <c r="F874" i="14"/>
  <c r="C874" i="14" l="1"/>
  <c r="D873" i="14"/>
  <c r="G874" i="14"/>
  <c r="F875" i="14"/>
  <c r="C875" i="14" l="1"/>
  <c r="D874" i="14"/>
  <c r="G875" i="14"/>
  <c r="F876" i="14"/>
  <c r="C876" i="14" l="1"/>
  <c r="D875" i="14"/>
  <c r="G876" i="14"/>
  <c r="F877" i="14"/>
  <c r="D876" i="14" l="1"/>
  <c r="C877" i="14"/>
  <c r="F878" i="14"/>
  <c r="G877" i="14"/>
  <c r="D877" i="14" l="1"/>
  <c r="C878" i="14"/>
  <c r="G878" i="14"/>
  <c r="F879" i="14"/>
  <c r="D878" i="14" l="1"/>
  <c r="C879" i="14"/>
  <c r="F880" i="14"/>
  <c r="G879" i="14"/>
  <c r="C880" i="14" l="1"/>
  <c r="D879" i="14"/>
  <c r="G880" i="14"/>
  <c r="F881" i="14"/>
  <c r="D880" i="14" l="1"/>
  <c r="C881" i="14"/>
  <c r="G881" i="14"/>
  <c r="F882" i="14"/>
  <c r="C882" i="14" l="1"/>
  <c r="D881" i="14"/>
  <c r="G882" i="14"/>
  <c r="F883" i="14"/>
  <c r="D882" i="14" l="1"/>
  <c r="C883" i="14"/>
  <c r="G883" i="14"/>
  <c r="F884" i="14"/>
  <c r="C884" i="14" l="1"/>
  <c r="D883" i="14"/>
  <c r="F885" i="14"/>
  <c r="G884" i="14"/>
  <c r="C885" i="14" l="1"/>
  <c r="D884" i="14"/>
  <c r="G885" i="14"/>
  <c r="F886" i="14"/>
  <c r="D885" i="14" l="1"/>
  <c r="C886" i="14"/>
  <c r="F887" i="14"/>
  <c r="G886" i="14"/>
  <c r="C887" i="14" l="1"/>
  <c r="D886" i="14"/>
  <c r="G887" i="14"/>
  <c r="F888" i="14"/>
  <c r="D887" i="14" l="1"/>
  <c r="C888" i="14"/>
  <c r="G888" i="14"/>
  <c r="F889" i="14"/>
  <c r="C889" i="14" l="1"/>
  <c r="D888" i="14"/>
  <c r="F890" i="14"/>
  <c r="G889" i="14"/>
  <c r="C890" i="14" l="1"/>
  <c r="D889" i="14"/>
  <c r="G890" i="14"/>
  <c r="F891" i="14"/>
  <c r="C891" i="14" l="1"/>
  <c r="D890" i="14"/>
  <c r="G891" i="14"/>
  <c r="F892" i="14"/>
  <c r="C892" i="14" l="1"/>
  <c r="D891" i="14"/>
  <c r="F893" i="14"/>
  <c r="G892" i="14"/>
  <c r="D892" i="14" l="1"/>
  <c r="C893" i="14"/>
  <c r="F894" i="14"/>
  <c r="G893" i="14"/>
  <c r="D893" i="14" l="1"/>
  <c r="C894" i="14"/>
  <c r="F895" i="14"/>
  <c r="G894" i="14"/>
  <c r="D894" i="14" l="1"/>
  <c r="C895" i="14"/>
  <c r="G895" i="14"/>
  <c r="F896" i="14"/>
  <c r="D895" i="14" l="1"/>
  <c r="C896" i="14"/>
  <c r="G896" i="14"/>
  <c r="F897" i="14"/>
  <c r="D896" i="14" l="1"/>
  <c r="C897" i="14"/>
  <c r="F898" i="14"/>
  <c r="G897" i="14"/>
  <c r="D897" i="14" l="1"/>
  <c r="C898" i="14"/>
  <c r="F899" i="14"/>
  <c r="G898" i="14"/>
  <c r="D898" i="14" l="1"/>
  <c r="C899" i="14"/>
  <c r="G899" i="14"/>
  <c r="F900" i="14"/>
  <c r="C900" i="14" l="1"/>
  <c r="D899" i="14"/>
  <c r="G900" i="14"/>
  <c r="F901" i="14"/>
  <c r="D900" i="14" l="1"/>
  <c r="C901" i="14"/>
  <c r="F902" i="14"/>
  <c r="G901" i="14"/>
  <c r="C902" i="14" l="1"/>
  <c r="D901" i="14"/>
  <c r="G902" i="14"/>
  <c r="F903" i="14"/>
  <c r="C903" i="14" l="1"/>
  <c r="D902" i="14"/>
  <c r="F904" i="14"/>
  <c r="G903" i="14"/>
  <c r="C904" i="14" l="1"/>
  <c r="D903" i="14"/>
  <c r="F905" i="14"/>
  <c r="G904" i="14"/>
  <c r="C905" i="14" l="1"/>
  <c r="D904" i="14"/>
  <c r="G905" i="14"/>
  <c r="F906" i="14"/>
  <c r="D905" i="14" l="1"/>
  <c r="C906" i="14"/>
  <c r="F907" i="14"/>
  <c r="G906" i="14"/>
  <c r="D906" i="14" l="1"/>
  <c r="C907" i="14"/>
  <c r="G907" i="14"/>
  <c r="F908" i="14"/>
  <c r="C908" i="14" l="1"/>
  <c r="D907" i="14"/>
  <c r="F909" i="14"/>
  <c r="G908" i="14"/>
  <c r="C909" i="14" l="1"/>
  <c r="D908" i="14"/>
  <c r="F910" i="14"/>
  <c r="G909" i="14"/>
  <c r="D909" i="14" l="1"/>
  <c r="C910" i="14"/>
  <c r="G910" i="14"/>
  <c r="F911" i="14"/>
  <c r="D910" i="14" l="1"/>
  <c r="C911" i="14"/>
  <c r="G911" i="14"/>
  <c r="F912" i="14"/>
  <c r="C912" i="14" l="1"/>
  <c r="D911" i="14"/>
  <c r="F913" i="14"/>
  <c r="G912" i="14"/>
  <c r="D912" i="14" l="1"/>
  <c r="C913" i="14"/>
  <c r="G913" i="14"/>
  <c r="F914" i="14"/>
  <c r="C914" i="14" l="1"/>
  <c r="D913" i="14"/>
  <c r="F915" i="14"/>
  <c r="G914" i="14"/>
  <c r="C915" i="14" l="1"/>
  <c r="D914" i="14"/>
  <c r="G915" i="14"/>
  <c r="F916" i="14"/>
  <c r="D915" i="14" l="1"/>
  <c r="C916" i="14"/>
  <c r="G916" i="14"/>
  <c r="F917" i="14"/>
  <c r="D916" i="14" l="1"/>
  <c r="C917" i="14"/>
  <c r="F918" i="14"/>
  <c r="G917" i="14"/>
  <c r="D917" i="14" l="1"/>
  <c r="C918" i="14"/>
  <c r="G918" i="14"/>
  <c r="F919" i="14"/>
  <c r="C919" i="14" l="1"/>
  <c r="D918" i="14"/>
  <c r="G919" i="14"/>
  <c r="F920" i="14"/>
  <c r="D919" i="14" l="1"/>
  <c r="C920" i="14"/>
  <c r="G920" i="14"/>
  <c r="F921" i="14"/>
  <c r="C921" i="14" l="1"/>
  <c r="D920" i="14"/>
  <c r="F922" i="14"/>
  <c r="G921" i="14"/>
  <c r="D921" i="14" l="1"/>
  <c r="C922" i="14"/>
  <c r="F923" i="14"/>
  <c r="G922" i="14"/>
  <c r="D922" i="14" l="1"/>
  <c r="C923" i="14"/>
  <c r="F924" i="14"/>
  <c r="G923" i="14"/>
  <c r="D923" i="14" l="1"/>
  <c r="C924" i="14"/>
  <c r="F925" i="14"/>
  <c r="G924" i="14"/>
  <c r="D924" i="14" l="1"/>
  <c r="C925" i="14"/>
  <c r="G925" i="14"/>
  <c r="F926" i="14"/>
  <c r="D925" i="14" l="1"/>
  <c r="C926" i="14"/>
  <c r="G926" i="14"/>
  <c r="F927" i="14"/>
  <c r="D926" i="14" l="1"/>
  <c r="C927" i="14"/>
  <c r="G927" i="14"/>
  <c r="F928" i="14"/>
  <c r="D927" i="14" l="1"/>
  <c r="C928" i="14"/>
  <c r="G928" i="14"/>
  <c r="F929" i="14"/>
  <c r="C929" i="14" l="1"/>
  <c r="D928" i="14"/>
  <c r="G929" i="14"/>
  <c r="F930" i="14"/>
  <c r="D929" i="14" l="1"/>
  <c r="C930" i="14"/>
  <c r="F931" i="14"/>
  <c r="G930" i="14"/>
  <c r="D930" i="14" l="1"/>
  <c r="C931" i="14"/>
  <c r="F932" i="14"/>
  <c r="G931" i="14"/>
  <c r="C932" i="14" l="1"/>
  <c r="D931" i="14"/>
  <c r="G932" i="14"/>
  <c r="F933" i="14"/>
  <c r="D932" i="14" l="1"/>
  <c r="C933" i="14"/>
  <c r="G933" i="14"/>
  <c r="F934" i="14"/>
  <c r="C934" i="14" l="1"/>
  <c r="D933" i="14"/>
  <c r="F935" i="14"/>
  <c r="G934" i="14"/>
  <c r="D934" i="14" l="1"/>
  <c r="C935" i="14"/>
  <c r="G935" i="14"/>
  <c r="F936" i="14"/>
  <c r="C936" i="14" l="1"/>
  <c r="D935" i="14"/>
  <c r="F937" i="14"/>
  <c r="G936" i="14"/>
  <c r="C937" i="14" l="1"/>
  <c r="D936" i="14"/>
  <c r="G937" i="14"/>
  <c r="F938" i="14"/>
  <c r="C938" i="14" l="1"/>
  <c r="D937" i="14"/>
  <c r="F939" i="14"/>
  <c r="G938" i="14"/>
  <c r="C939" i="14" l="1"/>
  <c r="D938" i="14"/>
  <c r="F940" i="14"/>
  <c r="G939" i="14"/>
  <c r="D939" i="14" l="1"/>
  <c r="C940" i="14"/>
  <c r="F941" i="14"/>
  <c r="G940" i="14"/>
  <c r="D940" i="14" l="1"/>
  <c r="C941" i="14"/>
  <c r="F942" i="14"/>
  <c r="G941" i="14"/>
  <c r="C942" i="14" l="1"/>
  <c r="D941" i="14"/>
  <c r="F943" i="14"/>
  <c r="G942" i="14"/>
  <c r="D942" i="14" l="1"/>
  <c r="C943" i="14"/>
  <c r="F944" i="14"/>
  <c r="G943" i="14"/>
  <c r="C944" i="14" l="1"/>
  <c r="D943" i="14"/>
  <c r="F945" i="14"/>
  <c r="G944" i="14"/>
  <c r="C945" i="14" l="1"/>
  <c r="D944" i="14"/>
  <c r="G945" i="14"/>
  <c r="F946" i="14"/>
  <c r="D945" i="14" l="1"/>
  <c r="C946" i="14"/>
  <c r="F947" i="14"/>
  <c r="G946" i="14"/>
  <c r="C947" i="14" l="1"/>
  <c r="D946" i="14"/>
  <c r="G947" i="14"/>
  <c r="F948" i="14"/>
  <c r="C948" i="14" l="1"/>
  <c r="D947" i="14"/>
  <c r="G948" i="14"/>
  <c r="F949" i="14"/>
  <c r="C949" i="14" l="1"/>
  <c r="D948" i="14"/>
  <c r="F950" i="14"/>
  <c r="G949" i="14"/>
  <c r="D949" i="14" l="1"/>
  <c r="C950" i="14"/>
  <c r="G950" i="14"/>
  <c r="F951" i="14"/>
  <c r="C951" i="14" l="1"/>
  <c r="D950" i="14"/>
  <c r="F952" i="14"/>
  <c r="G951" i="14"/>
  <c r="D951" i="14" l="1"/>
  <c r="C952" i="14"/>
  <c r="G952" i="14"/>
  <c r="F953" i="14"/>
  <c r="D952" i="14" l="1"/>
  <c r="C953" i="14"/>
  <c r="G953" i="14"/>
  <c r="F954" i="14"/>
  <c r="C954" i="14" l="1"/>
  <c r="D953" i="14"/>
  <c r="G954" i="14"/>
  <c r="F955" i="14"/>
  <c r="C955" i="14" l="1"/>
  <c r="D954" i="14"/>
  <c r="G955" i="14"/>
  <c r="F956" i="14"/>
  <c r="D955" i="14" l="1"/>
  <c r="C956" i="14"/>
  <c r="F957" i="14"/>
  <c r="G956" i="14"/>
  <c r="C957" i="14" l="1"/>
  <c r="D956" i="14"/>
  <c r="F958" i="14"/>
  <c r="G957" i="14"/>
  <c r="D957" i="14" l="1"/>
  <c r="C958" i="14"/>
  <c r="G958" i="14"/>
  <c r="F959" i="14"/>
  <c r="C959" i="14" l="1"/>
  <c r="D958" i="14"/>
  <c r="F960" i="14"/>
  <c r="G959" i="14"/>
  <c r="D959" i="14" l="1"/>
  <c r="C960" i="14"/>
  <c r="F961" i="14"/>
  <c r="G960" i="14"/>
  <c r="C961" i="14" l="1"/>
  <c r="D960" i="14"/>
  <c r="F962" i="14"/>
  <c r="G961" i="14"/>
  <c r="D961" i="14" l="1"/>
  <c r="C962" i="14"/>
  <c r="G962" i="14"/>
  <c r="F963" i="14"/>
  <c r="C963" i="14" l="1"/>
  <c r="D962" i="14"/>
  <c r="G963" i="14"/>
  <c r="F964" i="14"/>
  <c r="D963" i="14" l="1"/>
  <c r="C964" i="14"/>
  <c r="F965" i="14"/>
  <c r="G964" i="14"/>
  <c r="D964" i="14" l="1"/>
  <c r="C965" i="14"/>
  <c r="F966" i="14"/>
  <c r="G965" i="14"/>
  <c r="C966" i="14" l="1"/>
  <c r="D965" i="14"/>
  <c r="F967" i="14"/>
  <c r="G966" i="14"/>
  <c r="D966" i="14" l="1"/>
  <c r="C967" i="14"/>
  <c r="G967" i="14"/>
  <c r="F968" i="14"/>
  <c r="C968" i="14" l="1"/>
  <c r="D967" i="14"/>
  <c r="F969" i="14"/>
  <c r="G968" i="14"/>
  <c r="D968" i="14" l="1"/>
  <c r="C969" i="14"/>
  <c r="G969" i="14"/>
  <c r="F970" i="14"/>
  <c r="D969" i="14" l="1"/>
  <c r="C970" i="14"/>
  <c r="G970" i="14"/>
  <c r="F971" i="14"/>
  <c r="C971" i="14" l="1"/>
  <c r="D970" i="14"/>
  <c r="F972" i="14"/>
  <c r="G971" i="14"/>
  <c r="D971" i="14" l="1"/>
  <c r="C972" i="14"/>
  <c r="G972" i="14"/>
  <c r="F973" i="14"/>
  <c r="D972" i="14" l="1"/>
  <c r="C973" i="14"/>
  <c r="F974" i="14"/>
  <c r="G973" i="14"/>
  <c r="D973" i="14" l="1"/>
  <c r="C974" i="14"/>
  <c r="F975" i="14"/>
  <c r="G974" i="14"/>
  <c r="D974" i="14" l="1"/>
  <c r="C975" i="14"/>
  <c r="G975" i="14"/>
  <c r="F976" i="14"/>
  <c r="C976" i="14" l="1"/>
  <c r="D975" i="14"/>
  <c r="G976" i="14"/>
  <c r="F977" i="14"/>
  <c r="C977" i="14" l="1"/>
  <c r="D976" i="14"/>
  <c r="F978" i="14"/>
  <c r="G977" i="14"/>
  <c r="D977" i="14" l="1"/>
  <c r="C978" i="14"/>
  <c r="G978" i="14"/>
  <c r="F979" i="14"/>
  <c r="C979" i="14" l="1"/>
  <c r="D978" i="14"/>
  <c r="F980" i="14"/>
  <c r="G979" i="14"/>
  <c r="D979" i="14" l="1"/>
  <c r="C980" i="14"/>
  <c r="G980" i="14"/>
  <c r="F981" i="14"/>
  <c r="D980" i="14" l="1"/>
  <c r="C981" i="14"/>
  <c r="F982" i="14"/>
  <c r="G981" i="14"/>
  <c r="C982" i="14" l="1"/>
  <c r="D981" i="14"/>
  <c r="F983" i="14"/>
  <c r="G982" i="14"/>
  <c r="C983" i="14" l="1"/>
  <c r="D982" i="14"/>
  <c r="G983" i="14"/>
  <c r="F984" i="14"/>
  <c r="D983" i="14" l="1"/>
  <c r="C984" i="14"/>
  <c r="G984" i="14"/>
  <c r="F985" i="14"/>
  <c r="C985" i="14" l="1"/>
  <c r="D984" i="14"/>
  <c r="F986" i="14"/>
  <c r="G985" i="14"/>
  <c r="D985" i="14" l="1"/>
  <c r="C986" i="14"/>
  <c r="G986" i="14"/>
  <c r="F987" i="14"/>
  <c r="D986" i="14" l="1"/>
  <c r="C987" i="14"/>
  <c r="F988" i="14"/>
  <c r="G987" i="14"/>
  <c r="C988" i="14" l="1"/>
  <c r="D987" i="14"/>
  <c r="F989" i="14"/>
  <c r="G988" i="14"/>
  <c r="C989" i="14" l="1"/>
  <c r="D988" i="14"/>
  <c r="G989" i="14"/>
  <c r="F990" i="14"/>
  <c r="D989" i="14" l="1"/>
  <c r="C990" i="14"/>
  <c r="F991" i="14"/>
  <c r="G990" i="14"/>
  <c r="C991" i="14" l="1"/>
  <c r="D990" i="14"/>
  <c r="F992" i="14"/>
  <c r="G991" i="14"/>
  <c r="C992" i="14" l="1"/>
  <c r="D991" i="14"/>
  <c r="F993" i="14"/>
  <c r="G992" i="14"/>
  <c r="D992" i="14" l="1"/>
  <c r="C993" i="14"/>
  <c r="F994" i="14"/>
  <c r="G993" i="14"/>
  <c r="C994" i="14" l="1"/>
  <c r="D993" i="14"/>
  <c r="G994" i="14"/>
  <c r="F995" i="14"/>
  <c r="D994" i="14" l="1"/>
  <c r="C995" i="14"/>
  <c r="F996" i="14"/>
  <c r="G995" i="14"/>
  <c r="C996" i="14" l="1"/>
  <c r="D995" i="14"/>
  <c r="G996" i="14"/>
  <c r="F997" i="14"/>
  <c r="D996" i="14" l="1"/>
  <c r="C997" i="14"/>
  <c r="F998" i="14"/>
  <c r="G997" i="14"/>
  <c r="D997" i="14" l="1"/>
  <c r="C998" i="14"/>
  <c r="F999" i="14"/>
  <c r="G998" i="14"/>
  <c r="D998" i="14" l="1"/>
  <c r="C999" i="14"/>
  <c r="G999" i="14"/>
  <c r="F1000" i="14"/>
  <c r="D999" i="14" l="1"/>
  <c r="C1000" i="14"/>
  <c r="G1000" i="14"/>
  <c r="F1001" i="14"/>
  <c r="C1001" i="14" l="1"/>
  <c r="D1000" i="14"/>
  <c r="F1002" i="14"/>
  <c r="G1001" i="14"/>
  <c r="C1002" i="14" l="1"/>
  <c r="D1001" i="14"/>
  <c r="G1002" i="14"/>
  <c r="F1003" i="14"/>
  <c r="D1002" i="14" l="1"/>
  <c r="C1003" i="14"/>
  <c r="G1003" i="14"/>
  <c r="F1004" i="14"/>
  <c r="G1004" i="14" s="1"/>
  <c r="D1003" i="14" l="1"/>
  <c r="C1004" i="14"/>
  <c r="D1004" i="14" s="1"/>
  <c r="G76" i="11" l="1"/>
  <c r="H76" i="11" l="1"/>
  <c r="G106" i="11" l="1"/>
  <c r="H106" i="11" s="1"/>
  <c r="G99" i="11" l="1"/>
  <c r="H99" i="11" s="1"/>
  <c r="G113" i="11"/>
  <c r="H113" i="11" s="1"/>
  <c r="G86" i="11"/>
  <c r="H86" i="11" s="1"/>
  <c r="G64" i="11" l="1"/>
  <c r="H64" i="11" s="1"/>
  <c r="G90" i="11"/>
  <c r="H90" i="11" s="1"/>
  <c r="G92" i="11"/>
  <c r="H92" i="11" s="1"/>
  <c r="G105" i="11"/>
  <c r="G107" i="11"/>
  <c r="H107" i="11" s="1"/>
  <c r="G108" i="11"/>
  <c r="G75" i="11"/>
  <c r="H75" i="11" s="1"/>
  <c r="G65" i="11"/>
  <c r="G63" i="11"/>
  <c r="H63" i="11" s="1"/>
  <c r="G62" i="11"/>
  <c r="H62" i="11" s="1"/>
  <c r="G57" i="11"/>
  <c r="H57" i="11" s="1"/>
  <c r="H105" i="11" l="1"/>
  <c r="G88" i="11"/>
  <c r="H88" i="11" s="1"/>
  <c r="H108" i="11"/>
  <c r="G84" i="11"/>
  <c r="H84" i="11" s="1"/>
  <c r="H65" i="11"/>
  <c r="G56" i="11"/>
  <c r="H56" i="11" s="1"/>
  <c r="G55" i="11"/>
  <c r="G77" i="11" l="1"/>
  <c r="H77" i="11" s="1"/>
  <c r="H55" i="11"/>
  <c r="G28" i="11" l="1"/>
  <c r="H28" i="11" s="1"/>
  <c r="G23" i="11"/>
  <c r="H23" i="11" l="1"/>
  <c r="G54" i="11" l="1"/>
  <c r="H54" i="11" l="1"/>
  <c r="G18" i="11" l="1"/>
  <c r="H18" i="11" l="1"/>
  <c r="G30" i="11" l="1"/>
  <c r="H30" i="11" s="1"/>
  <c r="I260" i="15" l="1"/>
  <c r="H41" i="11" l="1"/>
  <c r="G39" i="11"/>
  <c r="H39" i="11" s="1"/>
  <c r="G26" i="116"/>
  <c r="H26" i="116" s="1"/>
  <c r="G38" i="11"/>
  <c r="H38" i="11" s="1"/>
  <c r="D36" i="6"/>
  <c r="D26" i="15" s="1"/>
  <c r="G35" i="11" l="1"/>
  <c r="H40" i="11"/>
  <c r="H36" i="11"/>
  <c r="G24" i="116"/>
  <c r="H24" i="116" s="1"/>
  <c r="G34" i="11"/>
  <c r="H37" i="11" l="1"/>
  <c r="G25" i="116"/>
  <c r="H25" i="116" s="1"/>
  <c r="J90" i="116" s="1"/>
  <c r="H34" i="11"/>
  <c r="H35" i="11" l="1"/>
  <c r="G10" i="11" l="1"/>
  <c r="H10" i="11" s="1"/>
  <c r="H121" i="11" s="1"/>
  <c r="E11" i="34" l="1"/>
  <c r="H134" i="11"/>
  <c r="H144" i="11"/>
  <c r="M6" i="29" l="1"/>
  <c r="E16" i="34"/>
  <c r="M6" i="44"/>
  <c r="M7" i="44" l="1"/>
  <c r="M10" i="44"/>
  <c r="M9" i="44"/>
  <c r="M9" i="29"/>
  <c r="M7" i="29"/>
  <c r="M10" i="29"/>
  <c r="M8" i="44" l="1"/>
  <c r="M5" i="44"/>
  <c r="M5" i="29"/>
  <c r="M8" i="29"/>
  <c r="M11" i="29" l="1"/>
  <c r="M11" i="44"/>
  <c r="F12" i="34" s="1"/>
  <c r="J94" i="116" l="1"/>
  <c r="J97" i="116" s="1"/>
  <c r="F11" i="34"/>
  <c r="G11" i="34" s="1"/>
  <c r="I124" i="11"/>
  <c r="I125" i="11"/>
  <c r="J125" i="11" s="1"/>
  <c r="K125" i="11" s="1"/>
  <c r="L12" i="34"/>
  <c r="I120" i="11"/>
  <c r="J120" i="11" s="1"/>
  <c r="K120" i="11" s="1"/>
  <c r="G30" i="95"/>
  <c r="AY30" i="95" s="1"/>
  <c r="I29" i="116" l="1"/>
  <c r="J29" i="116" s="1"/>
  <c r="K29" i="116" s="1"/>
  <c r="I28" i="116"/>
  <c r="J28" i="116" s="1"/>
  <c r="K28" i="116" s="1"/>
  <c r="I20" i="116"/>
  <c r="J20" i="116" s="1"/>
  <c r="K20" i="116" s="1"/>
  <c r="I30" i="116"/>
  <c r="J30" i="116" s="1"/>
  <c r="K30" i="116" s="1"/>
  <c r="I31" i="116"/>
  <c r="J31" i="116" s="1"/>
  <c r="K31" i="116" s="1"/>
  <c r="I33" i="116"/>
  <c r="J33" i="116" s="1"/>
  <c r="K33" i="116" s="1"/>
  <c r="I32" i="116"/>
  <c r="J32" i="116" s="1"/>
  <c r="K32" i="116" s="1"/>
  <c r="J124" i="11"/>
  <c r="K124" i="11" s="1"/>
  <c r="K127" i="11" s="1"/>
  <c r="G12" i="34" s="1"/>
  <c r="I116" i="11"/>
  <c r="J116" i="11" s="1"/>
  <c r="K116" i="11" s="1"/>
  <c r="I51" i="11"/>
  <c r="J51" i="11" s="1"/>
  <c r="K51" i="11" s="1"/>
  <c r="I42" i="11"/>
  <c r="J42" i="11" s="1"/>
  <c r="K42" i="11" s="1"/>
  <c r="I49" i="11"/>
  <c r="J49" i="11" s="1"/>
  <c r="K49" i="11" s="1"/>
  <c r="I50" i="11"/>
  <c r="J50" i="11" s="1"/>
  <c r="K50" i="11" s="1"/>
  <c r="I43" i="11"/>
  <c r="J43" i="11" s="1"/>
  <c r="K43" i="11" s="1"/>
  <c r="I48" i="11"/>
  <c r="J48" i="11" s="1"/>
  <c r="K48" i="11" s="1"/>
  <c r="I40" i="11"/>
  <c r="J40" i="11" s="1"/>
  <c r="K40" i="11" s="1"/>
  <c r="I41" i="11"/>
  <c r="J41" i="11" s="1"/>
  <c r="K41" i="11" s="1"/>
  <c r="I64" i="116"/>
  <c r="J64" i="116" s="1"/>
  <c r="K64" i="116" s="1"/>
  <c r="I37" i="11"/>
  <c r="J37" i="11" s="1"/>
  <c r="K37" i="11" s="1"/>
  <c r="I36" i="11"/>
  <c r="J36" i="11" s="1"/>
  <c r="K36" i="11" s="1"/>
  <c r="I16" i="116"/>
  <c r="J16" i="116" s="1"/>
  <c r="K16" i="116" s="1"/>
  <c r="I37" i="116"/>
  <c r="J37" i="116" s="1"/>
  <c r="K37" i="116" s="1"/>
  <c r="I113" i="11"/>
  <c r="J113" i="11" s="1"/>
  <c r="K113" i="11" s="1"/>
  <c r="I19" i="116"/>
  <c r="J19" i="116" s="1"/>
  <c r="K19" i="116" s="1"/>
  <c r="I104" i="11"/>
  <c r="J104" i="11" s="1"/>
  <c r="K104" i="11" s="1"/>
  <c r="I112" i="11"/>
  <c r="J112" i="11" s="1"/>
  <c r="K112" i="11" s="1"/>
  <c r="I47" i="116"/>
  <c r="J47" i="116" s="1"/>
  <c r="K47" i="116" s="1"/>
  <c r="I29" i="11"/>
  <c r="J29" i="11" s="1"/>
  <c r="K29" i="11" s="1"/>
  <c r="F17" i="95" s="1"/>
  <c r="G17" i="95" s="1"/>
  <c r="BE17" i="95" s="1"/>
  <c r="I23" i="116"/>
  <c r="J23" i="116" s="1"/>
  <c r="K23" i="116" s="1"/>
  <c r="I53" i="116"/>
  <c r="J53" i="116" s="1"/>
  <c r="K53" i="116" s="1"/>
  <c r="I12" i="116"/>
  <c r="J12" i="116" s="1"/>
  <c r="K12" i="116" s="1"/>
  <c r="I25" i="116"/>
  <c r="J25" i="116" s="1"/>
  <c r="K25" i="116" s="1"/>
  <c r="I73" i="116"/>
  <c r="J73" i="116" s="1"/>
  <c r="K73" i="116" s="1"/>
  <c r="I102" i="11"/>
  <c r="J102" i="11" s="1"/>
  <c r="K102" i="11" s="1"/>
  <c r="I103" i="11"/>
  <c r="J103" i="11" s="1"/>
  <c r="K103" i="11" s="1"/>
  <c r="I17" i="116"/>
  <c r="J17" i="116" s="1"/>
  <c r="K17" i="116" s="1"/>
  <c r="I24" i="116"/>
  <c r="J24" i="116" s="1"/>
  <c r="K24" i="116" s="1"/>
  <c r="I41" i="116"/>
  <c r="J41" i="116" s="1"/>
  <c r="K41" i="116" s="1"/>
  <c r="I56" i="116"/>
  <c r="J56" i="116" s="1"/>
  <c r="K56" i="116" s="1"/>
  <c r="I14" i="116"/>
  <c r="J14" i="116" s="1"/>
  <c r="K14" i="116" s="1"/>
  <c r="I75" i="11"/>
  <c r="J75" i="11" s="1"/>
  <c r="K75" i="11" s="1"/>
  <c r="I73" i="11"/>
  <c r="J73" i="11" s="1"/>
  <c r="K73" i="11" s="1"/>
  <c r="I60" i="116"/>
  <c r="J60" i="116" s="1"/>
  <c r="K60" i="116" s="1"/>
  <c r="I42" i="116"/>
  <c r="J42" i="116" s="1"/>
  <c r="K42" i="116" s="1"/>
  <c r="I21" i="116"/>
  <c r="J21" i="116" s="1"/>
  <c r="K21" i="116" s="1"/>
  <c r="I26" i="116"/>
  <c r="J26" i="116" s="1"/>
  <c r="K26" i="116" s="1"/>
  <c r="I49" i="116"/>
  <c r="J49" i="116" s="1"/>
  <c r="K49" i="116" s="1"/>
  <c r="I62" i="116"/>
  <c r="J62" i="116" s="1"/>
  <c r="K62" i="116" s="1"/>
  <c r="I51" i="116"/>
  <c r="J51" i="116" s="1"/>
  <c r="K51" i="116" s="1"/>
  <c r="I69" i="11"/>
  <c r="J69" i="11" s="1"/>
  <c r="K69" i="11" s="1"/>
  <c r="F26" i="95" s="1"/>
  <c r="G26" i="95" s="1"/>
  <c r="BB26" i="95" s="1"/>
  <c r="L11" i="34"/>
  <c r="L16" i="34" s="1"/>
  <c r="I100" i="11"/>
  <c r="J100" i="11" s="1"/>
  <c r="K100" i="11" s="1"/>
  <c r="I101" i="11"/>
  <c r="J101" i="11" s="1"/>
  <c r="K101" i="11" s="1"/>
  <c r="I98" i="11"/>
  <c r="J98" i="11" s="1"/>
  <c r="K98" i="11" s="1"/>
  <c r="I99" i="11"/>
  <c r="J99" i="11" s="1"/>
  <c r="K99" i="11" s="1"/>
  <c r="I95" i="11"/>
  <c r="J95" i="11" s="1"/>
  <c r="K95" i="11" s="1"/>
  <c r="I96" i="11"/>
  <c r="J96" i="11" s="1"/>
  <c r="K96" i="11" s="1"/>
  <c r="I93" i="11"/>
  <c r="J93" i="11" s="1"/>
  <c r="K93" i="11" s="1"/>
  <c r="I94" i="11"/>
  <c r="J94" i="11" s="1"/>
  <c r="K94" i="11" s="1"/>
  <c r="I89" i="11"/>
  <c r="J89" i="11" s="1"/>
  <c r="K89" i="11" s="1"/>
  <c r="I91" i="11"/>
  <c r="J91" i="11" s="1"/>
  <c r="K91" i="11" s="1"/>
  <c r="I83" i="11"/>
  <c r="J83" i="11" s="1"/>
  <c r="K83" i="11" s="1"/>
  <c r="I87" i="11"/>
  <c r="J87" i="11" s="1"/>
  <c r="K87" i="11" s="1"/>
  <c r="I39" i="116"/>
  <c r="J39" i="116" s="1"/>
  <c r="K39" i="116" s="1"/>
  <c r="I52" i="116"/>
  <c r="J52" i="116" s="1"/>
  <c r="K52" i="116" s="1"/>
  <c r="I59" i="116"/>
  <c r="J59" i="116" s="1"/>
  <c r="K59" i="116" s="1"/>
  <c r="I65" i="116"/>
  <c r="J65" i="116" s="1"/>
  <c r="K65" i="116" s="1"/>
  <c r="I74" i="116"/>
  <c r="J74" i="116" s="1"/>
  <c r="K74" i="116" s="1"/>
  <c r="I22" i="116"/>
  <c r="J22" i="116" s="1"/>
  <c r="K22" i="116" s="1"/>
  <c r="I44" i="116"/>
  <c r="J44" i="116" s="1"/>
  <c r="K44" i="116" s="1"/>
  <c r="I55" i="116"/>
  <c r="J55" i="116" s="1"/>
  <c r="K55" i="116" s="1"/>
  <c r="I66" i="116"/>
  <c r="J66" i="116" s="1"/>
  <c r="K66" i="116" s="1"/>
  <c r="I90" i="11"/>
  <c r="J90" i="11" s="1"/>
  <c r="K90" i="11" s="1"/>
  <c r="I9" i="11"/>
  <c r="I55" i="11"/>
  <c r="J55" i="11" s="1"/>
  <c r="K55" i="11" s="1"/>
  <c r="I10" i="11"/>
  <c r="J10" i="11" s="1"/>
  <c r="K10" i="11" s="1"/>
  <c r="I67" i="116"/>
  <c r="J67" i="116" s="1"/>
  <c r="K67" i="116" s="1"/>
  <c r="I10" i="116"/>
  <c r="J98" i="116" s="1"/>
  <c r="I36" i="116"/>
  <c r="J36" i="116" s="1"/>
  <c r="K36" i="116" s="1"/>
  <c r="I46" i="116"/>
  <c r="J46" i="116" s="1"/>
  <c r="K46" i="116" s="1"/>
  <c r="I57" i="116"/>
  <c r="J57" i="116" s="1"/>
  <c r="K57" i="116" s="1"/>
  <c r="I70" i="116"/>
  <c r="J70" i="116" s="1"/>
  <c r="K70" i="116" s="1"/>
  <c r="I54" i="11"/>
  <c r="J54" i="11" s="1"/>
  <c r="K54" i="11" s="1"/>
  <c r="I39" i="11"/>
  <c r="J39" i="11" s="1"/>
  <c r="K39" i="11" s="1"/>
  <c r="I54" i="116"/>
  <c r="J54" i="116" s="1"/>
  <c r="K54" i="116" s="1"/>
  <c r="I61" i="116"/>
  <c r="J61" i="116" s="1"/>
  <c r="K61" i="116" s="1"/>
  <c r="I71" i="116"/>
  <c r="J71" i="116" s="1"/>
  <c r="K71" i="116" s="1"/>
  <c r="I11" i="116"/>
  <c r="J11" i="116" s="1"/>
  <c r="K11" i="116" s="1"/>
  <c r="I38" i="116"/>
  <c r="J38" i="116" s="1"/>
  <c r="K38" i="116" s="1"/>
  <c r="I50" i="116"/>
  <c r="J50" i="116" s="1"/>
  <c r="K50" i="116" s="1"/>
  <c r="I63" i="116"/>
  <c r="J63" i="116" s="1"/>
  <c r="K63" i="116" s="1"/>
  <c r="I17" i="11"/>
  <c r="J17" i="11" s="1"/>
  <c r="K17" i="11" s="1"/>
  <c r="I97" i="11"/>
  <c r="J97" i="11" s="1"/>
  <c r="K97" i="11" s="1"/>
  <c r="I35" i="11"/>
  <c r="J35" i="11" s="1"/>
  <c r="K35" i="11" s="1"/>
  <c r="I109" i="11"/>
  <c r="J109" i="11" s="1"/>
  <c r="K109" i="11" s="1"/>
  <c r="I78" i="11"/>
  <c r="J78" i="11" s="1"/>
  <c r="K78" i="11" s="1"/>
  <c r="I82" i="11"/>
  <c r="J82" i="11" s="1"/>
  <c r="K82" i="11" s="1"/>
  <c r="I60" i="11"/>
  <c r="J60" i="11" s="1"/>
  <c r="K60" i="11" s="1"/>
  <c r="I70" i="11"/>
  <c r="J70" i="11" s="1"/>
  <c r="K70" i="11" s="1"/>
  <c r="I68" i="116"/>
  <c r="J68" i="116" s="1"/>
  <c r="K68" i="116" s="1"/>
  <c r="I62" i="11"/>
  <c r="J62" i="11" s="1"/>
  <c r="K62" i="11" s="1"/>
  <c r="I8" i="11"/>
  <c r="J8" i="11" s="1"/>
  <c r="K8" i="11" s="1"/>
  <c r="I28" i="11"/>
  <c r="J28" i="11" s="1"/>
  <c r="K28" i="11" s="1"/>
  <c r="F14" i="95" s="1"/>
  <c r="G14" i="95" s="1"/>
  <c r="BB14" i="95" s="1"/>
  <c r="I77" i="11"/>
  <c r="J77" i="11" s="1"/>
  <c r="K77" i="11" s="1"/>
  <c r="I81" i="11"/>
  <c r="J81" i="11" s="1"/>
  <c r="K81" i="11" s="1"/>
  <c r="I106" i="11"/>
  <c r="J106" i="11" s="1"/>
  <c r="K106" i="11" s="1"/>
  <c r="I119" i="11"/>
  <c r="J119" i="11" s="1"/>
  <c r="K119" i="11" s="1"/>
  <c r="F29" i="95" s="1"/>
  <c r="G29" i="95" s="1"/>
  <c r="AV29" i="95" s="1"/>
  <c r="I80" i="11"/>
  <c r="J80" i="11" s="1"/>
  <c r="K80" i="11" s="1"/>
  <c r="I84" i="11"/>
  <c r="J84" i="11" s="1"/>
  <c r="K84" i="11" s="1"/>
  <c r="I23" i="11"/>
  <c r="J23" i="11" s="1"/>
  <c r="K23" i="11" s="1"/>
  <c r="F13" i="95" s="1"/>
  <c r="G13" i="95" s="1"/>
  <c r="I57" i="11"/>
  <c r="J57" i="11" s="1"/>
  <c r="K57" i="11" s="1"/>
  <c r="I64" i="11"/>
  <c r="J64" i="11" s="1"/>
  <c r="K64" i="11" s="1"/>
  <c r="I74" i="11"/>
  <c r="J74" i="11" s="1"/>
  <c r="K74" i="11" s="1"/>
  <c r="I31" i="11"/>
  <c r="J31" i="11" s="1"/>
  <c r="K31" i="11" s="1"/>
  <c r="F18" i="95" s="1"/>
  <c r="G18" i="95" s="1"/>
  <c r="BB18" i="95" s="1"/>
  <c r="I86" i="11"/>
  <c r="J86" i="11" s="1"/>
  <c r="K86" i="11" s="1"/>
  <c r="I79" i="11"/>
  <c r="J79" i="11" s="1"/>
  <c r="K79" i="11" s="1"/>
  <c r="I76" i="11"/>
  <c r="J76" i="11" s="1"/>
  <c r="K76" i="11" s="1"/>
  <c r="I92" i="11"/>
  <c r="J92" i="11" s="1"/>
  <c r="K92" i="11" s="1"/>
  <c r="I63" i="11"/>
  <c r="J63" i="11" s="1"/>
  <c r="K63" i="11" s="1"/>
  <c r="I72" i="11"/>
  <c r="J72" i="11" s="1"/>
  <c r="K72" i="11" s="1"/>
  <c r="I107" i="11"/>
  <c r="J107" i="11" s="1"/>
  <c r="K107" i="11" s="1"/>
  <c r="I24" i="11"/>
  <c r="J24" i="11" s="1"/>
  <c r="K24" i="11" s="1"/>
  <c r="I66" i="11"/>
  <c r="J66" i="11" s="1"/>
  <c r="K66" i="11" s="1"/>
  <c r="I111" i="11"/>
  <c r="J111" i="11" s="1"/>
  <c r="K111" i="11" s="1"/>
  <c r="I108" i="11"/>
  <c r="J108" i="11" s="1"/>
  <c r="K108" i="11" s="1"/>
  <c r="I34" i="11"/>
  <c r="J34" i="11" s="1"/>
  <c r="K34" i="11" s="1"/>
  <c r="I12" i="11"/>
  <c r="J12" i="11" s="1"/>
  <c r="K12" i="11" s="1"/>
  <c r="I65" i="11"/>
  <c r="J65" i="11" s="1"/>
  <c r="K65" i="11" s="1"/>
  <c r="I38" i="11"/>
  <c r="J38" i="11" s="1"/>
  <c r="K38" i="11" s="1"/>
  <c r="I105" i="11"/>
  <c r="J105" i="11" s="1"/>
  <c r="K105" i="11" s="1"/>
  <c r="I56" i="11"/>
  <c r="J56" i="11" s="1"/>
  <c r="K56" i="11" s="1"/>
  <c r="I68" i="11"/>
  <c r="J68" i="11" s="1"/>
  <c r="K68" i="11" s="1"/>
  <c r="F25" i="95" s="1"/>
  <c r="G25" i="95" s="1"/>
  <c r="AY25" i="95" s="1"/>
  <c r="I18" i="11"/>
  <c r="J18" i="11" s="1"/>
  <c r="K18" i="11" s="1"/>
  <c r="I88" i="11"/>
  <c r="J88" i="11" s="1"/>
  <c r="K88" i="11" s="1"/>
  <c r="I61" i="11"/>
  <c r="J61" i="11" s="1"/>
  <c r="K61" i="11" s="1"/>
  <c r="I110" i="11"/>
  <c r="J110" i="11" s="1"/>
  <c r="K110" i="11" s="1"/>
  <c r="I33" i="11"/>
  <c r="J33" i="11" s="1"/>
  <c r="K33" i="11" s="1"/>
  <c r="I58" i="11"/>
  <c r="J58" i="11" s="1"/>
  <c r="K58" i="11" s="1"/>
  <c r="I30" i="11"/>
  <c r="J30" i="11" s="1"/>
  <c r="K30" i="11" s="1"/>
  <c r="I32" i="11"/>
  <c r="J32" i="11" s="1"/>
  <c r="K32" i="11" s="1"/>
  <c r="I26" i="11"/>
  <c r="J26" i="11" s="1"/>
  <c r="K26" i="11" s="1"/>
  <c r="I27" i="11"/>
  <c r="J27" i="11" s="1"/>
  <c r="K27" i="11" s="1"/>
  <c r="I22" i="11"/>
  <c r="J22" i="11" s="1"/>
  <c r="K22" i="11" s="1"/>
  <c r="I25" i="11"/>
  <c r="J25" i="11" s="1"/>
  <c r="K25" i="11" s="1"/>
  <c r="I20" i="11"/>
  <c r="J20" i="11" s="1"/>
  <c r="K20" i="11" s="1"/>
  <c r="I21" i="11"/>
  <c r="J21" i="11" s="1"/>
  <c r="K21" i="11" s="1"/>
  <c r="I14" i="11"/>
  <c r="J14" i="11" s="1"/>
  <c r="K14" i="11" s="1"/>
  <c r="I16" i="11"/>
  <c r="J16" i="11" s="1"/>
  <c r="K16" i="11" s="1"/>
  <c r="I114" i="11"/>
  <c r="J114" i="11" s="1"/>
  <c r="K114" i="11" s="1"/>
  <c r="I13" i="11"/>
  <c r="J13" i="11" s="1"/>
  <c r="K13" i="11" s="1"/>
  <c r="BE30" i="95"/>
  <c r="L30" i="95"/>
  <c r="O30" i="95"/>
  <c r="X30" i="95"/>
  <c r="R30" i="95"/>
  <c r="AV30" i="95"/>
  <c r="BH30" i="95"/>
  <c r="AM30" i="95"/>
  <c r="AP30" i="95"/>
  <c r="AG30" i="95"/>
  <c r="AS30" i="95"/>
  <c r="BT30" i="95"/>
  <c r="AJ30" i="95"/>
  <c r="BQ30" i="95"/>
  <c r="AA30" i="95"/>
  <c r="BN30" i="95"/>
  <c r="AD30" i="95"/>
  <c r="BK30" i="95"/>
  <c r="U30" i="95"/>
  <c r="BB30" i="95"/>
  <c r="J9" i="11" l="1"/>
  <c r="K9" i="11" s="1"/>
  <c r="BK26" i="95"/>
  <c r="AA26" i="95"/>
  <c r="O26" i="95"/>
  <c r="AS26" i="95"/>
  <c r="U26" i="95"/>
  <c r="F20" i="95"/>
  <c r="G20" i="95" s="1"/>
  <c r="AP20" i="95" s="1"/>
  <c r="BT26" i="95"/>
  <c r="R26" i="95"/>
  <c r="AJ26" i="95"/>
  <c r="BQ26" i="95"/>
  <c r="J127" i="11"/>
  <c r="F23" i="95"/>
  <c r="G23" i="95" s="1"/>
  <c r="AM23" i="95" s="1"/>
  <c r="U25" i="95"/>
  <c r="BT25" i="95"/>
  <c r="J10" i="116"/>
  <c r="K10" i="116" s="1"/>
  <c r="K86" i="116" s="1"/>
  <c r="AD26" i="95"/>
  <c r="AG26" i="95"/>
  <c r="AY26" i="95"/>
  <c r="BN26" i="95"/>
  <c r="AM26" i="95"/>
  <c r="AV26" i="95"/>
  <c r="BE26" i="95"/>
  <c r="AP26" i="95"/>
  <c r="BH26" i="95"/>
  <c r="X26" i="95"/>
  <c r="L26" i="95"/>
  <c r="F21" i="95"/>
  <c r="G21" i="95" s="1"/>
  <c r="BB21" i="95" s="1"/>
  <c r="BK25" i="95"/>
  <c r="AG25" i="95"/>
  <c r="AD25" i="95"/>
  <c r="AM25" i="95"/>
  <c r="L25" i="95"/>
  <c r="O25" i="95"/>
  <c r="BQ25" i="95"/>
  <c r="BB25" i="95"/>
  <c r="AP25" i="95"/>
  <c r="BH25" i="95"/>
  <c r="AA25" i="95"/>
  <c r="BE25" i="95"/>
  <c r="AV25" i="95"/>
  <c r="F24" i="95"/>
  <c r="G24" i="95" s="1"/>
  <c r="BE24" i="95" s="1"/>
  <c r="R25" i="95"/>
  <c r="X25" i="95"/>
  <c r="AS25" i="95"/>
  <c r="AJ25" i="95"/>
  <c r="BN25" i="95"/>
  <c r="N72" i="11"/>
  <c r="F28" i="95"/>
  <c r="G28" i="95" s="1"/>
  <c r="AY28" i="95" s="1"/>
  <c r="BK17" i="95"/>
  <c r="BT17" i="95"/>
  <c r="X17" i="95"/>
  <c r="BH17" i="95"/>
  <c r="AA17" i="95"/>
  <c r="BN17" i="95"/>
  <c r="R17" i="95"/>
  <c r="O17" i="95"/>
  <c r="AM17" i="95"/>
  <c r="U17" i="95"/>
  <c r="AG17" i="95"/>
  <c r="L17" i="95"/>
  <c r="AD17" i="95"/>
  <c r="AV17" i="95"/>
  <c r="BQ17" i="95"/>
  <c r="AP17" i="95"/>
  <c r="AJ17" i="95"/>
  <c r="AJ18" i="95"/>
  <c r="AS17" i="95"/>
  <c r="AY17" i="95"/>
  <c r="AA18" i="95"/>
  <c r="BB17" i="95"/>
  <c r="AS18" i="95"/>
  <c r="O18" i="95"/>
  <c r="X18" i="95"/>
  <c r="BE18" i="95"/>
  <c r="L18" i="95"/>
  <c r="AM18" i="95"/>
  <c r="AV18" i="95"/>
  <c r="AP18" i="95"/>
  <c r="BT18" i="95"/>
  <c r="BK18" i="95"/>
  <c r="BN18" i="95"/>
  <c r="AG18" i="95"/>
  <c r="BH18" i="95"/>
  <c r="AD18" i="95"/>
  <c r="BQ18" i="95"/>
  <c r="R18" i="95"/>
  <c r="U18" i="95"/>
  <c r="AY18" i="95"/>
  <c r="AY13" i="95"/>
  <c r="BB13" i="95"/>
  <c r="AY14" i="95"/>
  <c r="R14" i="95"/>
  <c r="AS13" i="95"/>
  <c r="BE13" i="95"/>
  <c r="AP14" i="95"/>
  <c r="AV13" i="95"/>
  <c r="O14" i="95"/>
  <c r="AJ14" i="95"/>
  <c r="BT14" i="95"/>
  <c r="X14" i="95"/>
  <c r="BH14" i="95"/>
  <c r="AV14" i="95"/>
  <c r="AD14" i="95"/>
  <c r="BN14" i="95"/>
  <c r="U14" i="95"/>
  <c r="AM14" i="95"/>
  <c r="BK14" i="95"/>
  <c r="AS14" i="95"/>
  <c r="AA14" i="95"/>
  <c r="BE14" i="95"/>
  <c r="AG14" i="95"/>
  <c r="L14" i="95"/>
  <c r="BQ14" i="95"/>
  <c r="AA29" i="95"/>
  <c r="AS29" i="95"/>
  <c r="U29" i="95"/>
  <c r="L29" i="95"/>
  <c r="AP29" i="95"/>
  <c r="AD29" i="95"/>
  <c r="AJ29" i="95"/>
  <c r="O29" i="95"/>
  <c r="BH29" i="95"/>
  <c r="BE29" i="95"/>
  <c r="AY29" i="95"/>
  <c r="BK29" i="95"/>
  <c r="BN29" i="95"/>
  <c r="BQ29" i="95"/>
  <c r="BT29" i="95"/>
  <c r="X29" i="95"/>
  <c r="R29" i="95"/>
  <c r="BB29" i="95"/>
  <c r="AM29" i="95"/>
  <c r="AG29" i="95"/>
  <c r="BW30" i="95"/>
  <c r="BY30" i="95" s="1"/>
  <c r="AV20" i="95"/>
  <c r="AY20" i="95"/>
  <c r="AA20" i="95"/>
  <c r="U20" i="95"/>
  <c r="BH13" i="95"/>
  <c r="BK13" i="95"/>
  <c r="U13" i="95"/>
  <c r="AG13" i="95"/>
  <c r="AP13" i="95"/>
  <c r="BT13" i="95"/>
  <c r="L13" i="95"/>
  <c r="AM13" i="95"/>
  <c r="AJ13" i="95"/>
  <c r="BN13" i="95"/>
  <c r="AA13" i="95"/>
  <c r="O13" i="95"/>
  <c r="BQ13" i="95"/>
  <c r="R13" i="95"/>
  <c r="X13" i="95"/>
  <c r="AD13" i="95"/>
  <c r="K88" i="116" l="1"/>
  <c r="K87" i="116"/>
  <c r="E87" i="116" s="1"/>
  <c r="F12" i="95"/>
  <c r="G12" i="95" s="1"/>
  <c r="K121" i="11"/>
  <c r="K134" i="11" s="1"/>
  <c r="K135" i="11" s="1"/>
  <c r="AM20" i="95"/>
  <c r="AS20" i="95"/>
  <c r="BE20" i="95"/>
  <c r="BB20" i="95"/>
  <c r="X20" i="95"/>
  <c r="BN20" i="95"/>
  <c r="O20" i="95"/>
  <c r="R20" i="95"/>
  <c r="BK20" i="95"/>
  <c r="AD20" i="95"/>
  <c r="BT20" i="95"/>
  <c r="AJ20" i="95"/>
  <c r="AG20" i="95"/>
  <c r="BH20" i="95"/>
  <c r="L20" i="95"/>
  <c r="BQ20" i="95"/>
  <c r="AA23" i="95"/>
  <c r="O23" i="95"/>
  <c r="X23" i="95"/>
  <c r="BE23" i="95"/>
  <c r="AP23" i="95"/>
  <c r="BQ23" i="95"/>
  <c r="AY23" i="95"/>
  <c r="U23" i="95"/>
  <c r="R23" i="95"/>
  <c r="BB23" i="95"/>
  <c r="AD23" i="95"/>
  <c r="BT23" i="95"/>
  <c r="AG23" i="95"/>
  <c r="BK23" i="95"/>
  <c r="AS23" i="95"/>
  <c r="L23" i="95"/>
  <c r="BH23" i="95"/>
  <c r="BN23" i="95"/>
  <c r="AV23" i="95"/>
  <c r="AJ23" i="95"/>
  <c r="BE21" i="95"/>
  <c r="AD21" i="95"/>
  <c r="AS21" i="95"/>
  <c r="O21" i="95"/>
  <c r="U21" i="95"/>
  <c r="L21" i="95"/>
  <c r="BQ24" i="95"/>
  <c r="AP24" i="95"/>
  <c r="R24" i="95"/>
  <c r="AA24" i="95"/>
  <c r="BW26" i="95"/>
  <c r="BY26" i="95" s="1"/>
  <c r="AP21" i="95"/>
  <c r="R21" i="95"/>
  <c r="BN21" i="95"/>
  <c r="AY21" i="95"/>
  <c r="BK21" i="95"/>
  <c r="BT21" i="95"/>
  <c r="AA21" i="95"/>
  <c r="AV21" i="95"/>
  <c r="AG21" i="95"/>
  <c r="AM21" i="95"/>
  <c r="BH21" i="95"/>
  <c r="BQ21" i="95"/>
  <c r="AJ21" i="95"/>
  <c r="X21" i="95"/>
  <c r="AY24" i="95"/>
  <c r="BW25" i="95"/>
  <c r="BY25" i="95" s="1"/>
  <c r="BT24" i="95"/>
  <c r="AJ24" i="95"/>
  <c r="BN24" i="95"/>
  <c r="X24" i="95"/>
  <c r="AV24" i="95"/>
  <c r="AM24" i="95"/>
  <c r="BH24" i="95"/>
  <c r="O24" i="95"/>
  <c r="AG24" i="95"/>
  <c r="BB24" i="95"/>
  <c r="AD24" i="95"/>
  <c r="U24" i="95"/>
  <c r="L24" i="95"/>
  <c r="BK24" i="95"/>
  <c r="AS24" i="95"/>
  <c r="G16" i="34"/>
  <c r="AA28" i="95"/>
  <c r="O28" i="95"/>
  <c r="BT28" i="95"/>
  <c r="BQ28" i="95"/>
  <c r="BN28" i="95"/>
  <c r="L28" i="95"/>
  <c r="BK28" i="95"/>
  <c r="X28" i="95"/>
  <c r="BB28" i="95"/>
  <c r="AG28" i="95"/>
  <c r="U28" i="95"/>
  <c r="R28" i="95"/>
  <c r="BH28" i="95"/>
  <c r="AD28" i="95"/>
  <c r="AP28" i="95"/>
  <c r="AJ28" i="95"/>
  <c r="AM28" i="95"/>
  <c r="G37" i="95"/>
  <c r="AV28" i="95"/>
  <c r="BE28" i="95"/>
  <c r="AS28" i="95"/>
  <c r="F37" i="95"/>
  <c r="E38" i="95" s="1"/>
  <c r="BW17" i="95"/>
  <c r="BY17" i="95" s="1"/>
  <c r="BW18" i="95"/>
  <c r="BY18" i="95" s="1"/>
  <c r="BW14" i="95"/>
  <c r="BY14" i="95" s="1"/>
  <c r="O72" i="11"/>
  <c r="BW29" i="95"/>
  <c r="BY29" i="95" s="1"/>
  <c r="BW13" i="95"/>
  <c r="BY13" i="95" s="1"/>
  <c r="BE12" i="95"/>
  <c r="BB12" i="95"/>
  <c r="AY12" i="95"/>
  <c r="AV12" i="95"/>
  <c r="AS12" i="95"/>
  <c r="AA12" i="95"/>
  <c r="AP12" i="95"/>
  <c r="BN12" i="95"/>
  <c r="AJ12" i="95"/>
  <c r="R12" i="95"/>
  <c r="BK12" i="95"/>
  <c r="BH12" i="95"/>
  <c r="U12" i="95"/>
  <c r="AG12" i="95"/>
  <c r="BT12" i="95"/>
  <c r="O12" i="95"/>
  <c r="AM12" i="95"/>
  <c r="BQ12" i="95"/>
  <c r="L12" i="95"/>
  <c r="X12" i="95"/>
  <c r="AD12" i="95"/>
  <c r="E135" i="11"/>
  <c r="G18" i="34" l="1"/>
  <c r="G17" i="34"/>
  <c r="BW20" i="95"/>
  <c r="BY20" i="95" s="1"/>
  <c r="E88" i="116"/>
  <c r="BW23" i="95"/>
  <c r="BY23" i="95" s="1"/>
  <c r="BW21" i="95"/>
  <c r="BY21" i="95" s="1"/>
  <c r="G38" i="95"/>
  <c r="G39" i="95" s="1"/>
  <c r="BW24" i="95"/>
  <c r="BY24" i="95" s="1"/>
  <c r="BN37" i="95"/>
  <c r="BW28" i="95"/>
  <c r="BY28" i="95" s="1"/>
  <c r="L37" i="95"/>
  <c r="AV37" i="95"/>
  <c r="BB37" i="95"/>
  <c r="BW12" i="95"/>
  <c r="BY12" i="95" s="1"/>
  <c r="AS37" i="95"/>
  <c r="AY37" i="95"/>
  <c r="BE37" i="95"/>
  <c r="H33" i="95"/>
  <c r="H30" i="95"/>
  <c r="H31" i="95"/>
  <c r="H32" i="95"/>
  <c r="H34" i="95"/>
  <c r="H12" i="95"/>
  <c r="H26" i="95"/>
  <c r="H25" i="95"/>
  <c r="K18" i="34"/>
  <c r="K19" i="34" s="1"/>
  <c r="G20" i="34"/>
  <c r="K20" i="34" s="1"/>
  <c r="AD37" i="95"/>
  <c r="AM37" i="95"/>
  <c r="BT37" i="95"/>
  <c r="U37" i="95"/>
  <c r="BH37" i="95"/>
  <c r="R37" i="95"/>
  <c r="AJ37" i="95"/>
  <c r="AA37" i="95"/>
  <c r="X37" i="95"/>
  <c r="BQ37" i="95"/>
  <c r="O37" i="95"/>
  <c r="AG37" i="95"/>
  <c r="BK37" i="95"/>
  <c r="H19" i="95"/>
  <c r="H29" i="95"/>
  <c r="H21" i="95"/>
  <c r="H18" i="95"/>
  <c r="BY41" i="95"/>
  <c r="E37" i="95"/>
  <c r="H16" i="95"/>
  <c r="H14" i="95"/>
  <c r="H20" i="95"/>
  <c r="H17" i="95"/>
  <c r="H23" i="95"/>
  <c r="H13" i="95"/>
  <c r="H24" i="95"/>
  <c r="H28" i="95"/>
  <c r="AP37" i="95"/>
  <c r="C19" i="34" l="1"/>
  <c r="K17" i="34"/>
  <c r="BY39" i="95"/>
  <c r="CA37" i="95" s="1"/>
  <c r="BY40" i="95" s="1"/>
  <c r="L40" i="95"/>
  <c r="BW37" i="95"/>
  <c r="BW40" i="95" s="1"/>
  <c r="BF19" i="95"/>
  <c r="AZ19" i="95"/>
  <c r="AT19" i="95"/>
  <c r="BC16" i="95"/>
  <c r="AW16" i="95"/>
  <c r="BC19" i="95"/>
  <c r="AW19" i="95"/>
  <c r="BF16" i="95"/>
  <c r="AZ16" i="95"/>
  <c r="AT16" i="95"/>
  <c r="AZ33" i="95"/>
  <c r="BC33" i="95"/>
  <c r="BF33" i="95"/>
  <c r="AT33" i="95"/>
  <c r="AW33" i="95"/>
  <c r="AZ32" i="95"/>
  <c r="BC34" i="95"/>
  <c r="AT32" i="95"/>
  <c r="AW34" i="95"/>
  <c r="BF34" i="95"/>
  <c r="BC32" i="95"/>
  <c r="AZ34" i="95"/>
  <c r="AW32" i="95"/>
  <c r="BF32" i="95"/>
  <c r="AT34" i="95"/>
  <c r="BF31" i="95"/>
  <c r="AZ31" i="95"/>
  <c r="BC31" i="95"/>
  <c r="AT31" i="95"/>
  <c r="AW31" i="95"/>
  <c r="BC25" i="95"/>
  <c r="BF25" i="95"/>
  <c r="BC29" i="95"/>
  <c r="AW18" i="95"/>
  <c r="BC14" i="95"/>
  <c r="AZ26" i="95"/>
  <c r="AZ21" i="95"/>
  <c r="BC30" i="95"/>
  <c r="AW25" i="95"/>
  <c r="AZ25" i="95"/>
  <c r="AT29" i="95"/>
  <c r="AW29" i="95"/>
  <c r="AT18" i="95"/>
  <c r="BC18" i="95"/>
  <c r="AT14" i="95"/>
  <c r="BF14" i="95"/>
  <c r="BF26" i="95"/>
  <c r="AW21" i="95"/>
  <c r="AT30" i="95"/>
  <c r="AT25" i="95"/>
  <c r="AZ29" i="95"/>
  <c r="AZ18" i="95"/>
  <c r="AW14" i="95"/>
  <c r="AW26" i="95"/>
  <c r="AT21" i="95"/>
  <c r="BF21" i="95"/>
  <c r="AZ30" i="95"/>
  <c r="BF29" i="95"/>
  <c r="BF18" i="95"/>
  <c r="AZ14" i="95"/>
  <c r="AT26" i="95"/>
  <c r="BC26" i="95"/>
  <c r="BC21" i="95"/>
  <c r="AW30" i="95"/>
  <c r="BF30" i="95"/>
  <c r="AZ13" i="95"/>
  <c r="AW17" i="95"/>
  <c r="AZ17" i="95"/>
  <c r="BC13" i="95"/>
  <c r="AT17" i="95"/>
  <c r="AT13" i="95"/>
  <c r="BF13" i="95"/>
  <c r="AW13" i="95"/>
  <c r="BC17" i="95"/>
  <c r="BF17" i="95"/>
  <c r="AT23" i="95"/>
  <c r="BF23" i="95"/>
  <c r="AW20" i="95"/>
  <c r="BC24" i="95"/>
  <c r="AZ28" i="95"/>
  <c r="AW23" i="95"/>
  <c r="AT20" i="95"/>
  <c r="BC20" i="95"/>
  <c r="AZ24" i="95"/>
  <c r="AW28" i="95"/>
  <c r="BF28" i="95"/>
  <c r="AZ23" i="95"/>
  <c r="AZ20" i="95"/>
  <c r="AW24" i="95"/>
  <c r="BC28" i="95"/>
  <c r="BC23" i="95"/>
  <c r="BF20" i="95"/>
  <c r="AT24" i="95"/>
  <c r="BF24" i="95"/>
  <c r="AT28" i="95"/>
  <c r="BF12" i="95"/>
  <c r="AZ12" i="95"/>
  <c r="AT12" i="95"/>
  <c r="BC12" i="95"/>
  <c r="AW12" i="95"/>
  <c r="BO33" i="95"/>
  <c r="BL33" i="95"/>
  <c r="BU33" i="95"/>
  <c r="AK33" i="95"/>
  <c r="BO31" i="95"/>
  <c r="BL31" i="95"/>
  <c r="BR34" i="95"/>
  <c r="AQ34" i="95"/>
  <c r="BR32" i="95"/>
  <c r="Y32" i="95"/>
  <c r="BO30" i="95"/>
  <c r="BL30" i="95"/>
  <c r="V33" i="95"/>
  <c r="AN33" i="95"/>
  <c r="AE33" i="95"/>
  <c r="BU31" i="95"/>
  <c r="AH33" i="95"/>
  <c r="BI33" i="95"/>
  <c r="Y33" i="95"/>
  <c r="AB33" i="95"/>
  <c r="AQ31" i="95"/>
  <c r="S31" i="95"/>
  <c r="AN31" i="95"/>
  <c r="P31" i="95"/>
  <c r="AH34" i="95"/>
  <c r="BO34" i="95"/>
  <c r="AE34" i="95"/>
  <c r="AN34" i="95"/>
  <c r="BU32" i="95"/>
  <c r="AK32" i="95"/>
  <c r="BL32" i="95"/>
  <c r="V32" i="95"/>
  <c r="AQ30" i="95"/>
  <c r="S30" i="95"/>
  <c r="AN30" i="95"/>
  <c r="P30" i="95"/>
  <c r="AQ33" i="95"/>
  <c r="P33" i="95"/>
  <c r="AK31" i="95"/>
  <c r="BR31" i="95"/>
  <c r="AH31" i="95"/>
  <c r="BU34" i="95"/>
  <c r="AK34" i="95"/>
  <c r="BL34" i="95"/>
  <c r="AN32" i="95"/>
  <c r="AQ32" i="95"/>
  <c r="S32" i="95"/>
  <c r="AB32" i="95"/>
  <c r="BU30" i="95"/>
  <c r="AK30" i="95"/>
  <c r="BR30" i="95"/>
  <c r="AH30" i="95"/>
  <c r="BR33" i="95"/>
  <c r="AE31" i="95"/>
  <c r="AB31" i="95"/>
  <c r="P34" i="95"/>
  <c r="S34" i="95"/>
  <c r="BI32" i="95"/>
  <c r="AH32" i="95"/>
  <c r="AE30" i="95"/>
  <c r="AB30" i="95"/>
  <c r="S33" i="95"/>
  <c r="BI31" i="95"/>
  <c r="Y31" i="95"/>
  <c r="V31" i="95"/>
  <c r="AB34" i="95"/>
  <c r="BI34" i="95"/>
  <c r="Y34" i="95"/>
  <c r="V34" i="95"/>
  <c r="BO32" i="95"/>
  <c r="AE32" i="95"/>
  <c r="P32" i="95"/>
  <c r="BI30" i="95"/>
  <c r="Y30" i="95"/>
  <c r="V30" i="95"/>
  <c r="BO29" i="95"/>
  <c r="AE29" i="95"/>
  <c r="BL29" i="95"/>
  <c r="AB29" i="95"/>
  <c r="BU29" i="95"/>
  <c r="AK29" i="95"/>
  <c r="BR29" i="95"/>
  <c r="AH29" i="95"/>
  <c r="AQ29" i="95"/>
  <c r="S29" i="95"/>
  <c r="AN29" i="95"/>
  <c r="P29" i="95"/>
  <c r="BI29" i="95"/>
  <c r="Y29" i="95"/>
  <c r="V29" i="95"/>
  <c r="M34" i="95"/>
  <c r="M30" i="95"/>
  <c r="M31" i="95"/>
  <c r="M32" i="95"/>
  <c r="M33" i="95"/>
  <c r="AH12" i="95"/>
  <c r="BU25" i="95"/>
  <c r="BI25" i="95"/>
  <c r="AK25" i="95"/>
  <c r="Y25" i="95"/>
  <c r="M25" i="95"/>
  <c r="BL25" i="95"/>
  <c r="AN25" i="95"/>
  <c r="AB25" i="95"/>
  <c r="P25" i="95"/>
  <c r="BO25" i="95"/>
  <c r="AQ25" i="95"/>
  <c r="AE25" i="95"/>
  <c r="S25" i="95"/>
  <c r="BR25" i="95"/>
  <c r="AH25" i="95"/>
  <c r="V25" i="95"/>
  <c r="BL26" i="95"/>
  <c r="P26" i="95"/>
  <c r="M26" i="95"/>
  <c r="BU26" i="95"/>
  <c r="BI26" i="95"/>
  <c r="AK26" i="95"/>
  <c r="Y26" i="95"/>
  <c r="BR26" i="95"/>
  <c r="AH26" i="95"/>
  <c r="V26" i="95"/>
  <c r="BO26" i="95"/>
  <c r="AQ26" i="95"/>
  <c r="AE26" i="95"/>
  <c r="S26" i="95"/>
  <c r="AN26" i="95"/>
  <c r="AB26" i="95"/>
  <c r="AQ12" i="95"/>
  <c r="H37" i="95"/>
  <c r="BO12" i="95"/>
  <c r="S21" i="95"/>
  <c r="AH19" i="95"/>
  <c r="BI14" i="95"/>
  <c r="AQ18" i="95"/>
  <c r="BU14" i="95"/>
  <c r="BR19" i="95"/>
  <c r="BU21" i="95"/>
  <c r="AB19" i="95"/>
  <c r="Y18" i="95"/>
  <c r="P14" i="95"/>
  <c r="P18" i="95"/>
  <c r="AE19" i="95"/>
  <c r="AN21" i="95"/>
  <c r="S18" i="95"/>
  <c r="BI18" i="95"/>
  <c r="V16" i="95"/>
  <c r="M14" i="95"/>
  <c r="AN18" i="95"/>
  <c r="M21" i="95"/>
  <c r="BO14" i="95"/>
  <c r="AH21" i="95"/>
  <c r="AK16" i="95"/>
  <c r="BI16" i="95"/>
  <c r="P19" i="95"/>
  <c r="AQ19" i="95"/>
  <c r="BL14" i="95"/>
  <c r="BO19" i="95"/>
  <c r="M18" i="95"/>
  <c r="AK18" i="95"/>
  <c r="BL19" i="95"/>
  <c r="BO18" i="95"/>
  <c r="AQ14" i="95"/>
  <c r="AH18" i="95"/>
  <c r="AB16" i="95"/>
  <c r="AE18" i="95"/>
  <c r="BO21" i="95"/>
  <c r="BO16" i="95"/>
  <c r="V21" i="95"/>
  <c r="AB18" i="95"/>
  <c r="AK19" i="95"/>
  <c r="P21" i="95"/>
  <c r="BI19" i="95"/>
  <c r="M29" i="95"/>
  <c r="AK14" i="95"/>
  <c r="BL18" i="95"/>
  <c r="M19" i="95"/>
  <c r="BU16" i="95"/>
  <c r="V19" i="95"/>
  <c r="Y16" i="95"/>
  <c r="AE21" i="95"/>
  <c r="AQ21" i="95"/>
  <c r="V14" i="95"/>
  <c r="AQ16" i="95"/>
  <c r="AH14" i="95"/>
  <c r="AK21" i="95"/>
  <c r="BR18" i="95"/>
  <c r="BR16" i="95"/>
  <c r="P16" i="95"/>
  <c r="BI21" i="95"/>
  <c r="AB21" i="95"/>
  <c r="S19" i="95"/>
  <c r="Y14" i="95"/>
  <c r="V18" i="95"/>
  <c r="AN16" i="95"/>
  <c r="BR21" i="95"/>
  <c r="S14" i="95"/>
  <c r="AH16" i="95"/>
  <c r="AN19" i="95"/>
  <c r="M16" i="95"/>
  <c r="Y19" i="95"/>
  <c r="AB14" i="95"/>
  <c r="BU19" i="95"/>
  <c r="BR14" i="95"/>
  <c r="BU18" i="95"/>
  <c r="S16" i="95"/>
  <c r="AE14" i="95"/>
  <c r="AE16" i="95"/>
  <c r="BL21" i="95"/>
  <c r="BL16" i="95"/>
  <c r="Y21" i="95"/>
  <c r="AN14" i="95"/>
  <c r="M23" i="95"/>
  <c r="M17" i="95"/>
  <c r="Y23" i="95"/>
  <c r="BI17" i="95"/>
  <c r="BR23" i="95"/>
  <c r="AQ23" i="95"/>
  <c r="BU23" i="95"/>
  <c r="AB17" i="95"/>
  <c r="BU17" i="95"/>
  <c r="BO17" i="95"/>
  <c r="AE17" i="95"/>
  <c r="AE20" i="95"/>
  <c r="BL20" i="95"/>
  <c r="BO20" i="95"/>
  <c r="Y20" i="95"/>
  <c r="P23" i="95"/>
  <c r="V23" i="95"/>
  <c r="BI23" i="95"/>
  <c r="BR17" i="95"/>
  <c r="S17" i="95"/>
  <c r="BR20" i="95"/>
  <c r="M20" i="95"/>
  <c r="BI20" i="95"/>
  <c r="AH20" i="95"/>
  <c r="AE23" i="95"/>
  <c r="Y17" i="95"/>
  <c r="AN17" i="95"/>
  <c r="V20" i="95"/>
  <c r="AQ20" i="95"/>
  <c r="BO23" i="95"/>
  <c r="BL17" i="95"/>
  <c r="AK17" i="95"/>
  <c r="BL23" i="95"/>
  <c r="AK23" i="95"/>
  <c r="AB23" i="95"/>
  <c r="AN23" i="95"/>
  <c r="V17" i="95"/>
  <c r="AH17" i="95"/>
  <c r="P17" i="95"/>
  <c r="AK20" i="95"/>
  <c r="S20" i="95"/>
  <c r="BU20" i="95"/>
  <c r="P20" i="95"/>
  <c r="AB20" i="95"/>
  <c r="AH23" i="95"/>
  <c r="S23" i="95"/>
  <c r="AQ17" i="95"/>
  <c r="AN20" i="95"/>
  <c r="AE24" i="95"/>
  <c r="V24" i="95"/>
  <c r="P24" i="95"/>
  <c r="AH24" i="95"/>
  <c r="BR13" i="95"/>
  <c r="BU13" i="95"/>
  <c r="BL13" i="95"/>
  <c r="AH28" i="95"/>
  <c r="V28" i="95"/>
  <c r="S28" i="95"/>
  <c r="BR28" i="95"/>
  <c r="AE13" i="95"/>
  <c r="AQ13" i="95"/>
  <c r="BO28" i="95"/>
  <c r="M28" i="95"/>
  <c r="AQ24" i="95"/>
  <c r="S24" i="95"/>
  <c r="Y24" i="95"/>
  <c r="Y13" i="95"/>
  <c r="AB13" i="95"/>
  <c r="AN13" i="95"/>
  <c r="AH13" i="95"/>
  <c r="P28" i="95"/>
  <c r="BL28" i="95"/>
  <c r="AB28" i="95"/>
  <c r="AN28" i="95"/>
  <c r="BU24" i="95"/>
  <c r="AK24" i="95"/>
  <c r="BO24" i="95"/>
  <c r="M24" i="95"/>
  <c r="BL24" i="95"/>
  <c r="S13" i="95"/>
  <c r="BO13" i="95"/>
  <c r="M13" i="95"/>
  <c r="V13" i="95"/>
  <c r="AE28" i="95"/>
  <c r="AQ28" i="95"/>
  <c r="AK28" i="95"/>
  <c r="BI28" i="95"/>
  <c r="AN24" i="95"/>
  <c r="BI24" i="95"/>
  <c r="BR24" i="95"/>
  <c r="AB24" i="95"/>
  <c r="P13" i="95"/>
  <c r="AK13" i="95"/>
  <c r="BI13" i="95"/>
  <c r="BU28" i="95"/>
  <c r="Y28" i="95"/>
  <c r="BL12" i="95"/>
  <c r="P12" i="95"/>
  <c r="BR12" i="95"/>
  <c r="Y12" i="95"/>
  <c r="AB12" i="95"/>
  <c r="AK12" i="95"/>
  <c r="S12" i="95"/>
  <c r="BI12" i="95"/>
  <c r="BU12" i="95"/>
  <c r="M12" i="95"/>
  <c r="V12" i="95"/>
  <c r="AN12" i="95"/>
  <c r="AE12" i="95"/>
  <c r="C49" i="118" l="1"/>
  <c r="K49" i="119"/>
  <c r="L49" i="119" s="1"/>
  <c r="M49" i="119" s="1"/>
  <c r="C49" i="119" s="1"/>
  <c r="E49" i="119" s="1"/>
  <c r="C17" i="118"/>
  <c r="K17" i="119"/>
  <c r="L17" i="119" s="1"/>
  <c r="M17" i="119" s="1"/>
  <c r="C17" i="119" s="1"/>
  <c r="E17" i="119" s="1"/>
  <c r="C27" i="118"/>
  <c r="K27" i="119"/>
  <c r="L27" i="119" s="1"/>
  <c r="M27" i="119" s="1"/>
  <c r="C12" i="118"/>
  <c r="K12" i="119"/>
  <c r="L12" i="119" s="1"/>
  <c r="M12" i="119" s="1"/>
  <c r="C30" i="118"/>
  <c r="K30" i="119"/>
  <c r="L30" i="119" s="1"/>
  <c r="M30" i="119" s="1"/>
  <c r="C30" i="119" s="1"/>
  <c r="E30" i="119" s="1"/>
  <c r="C40" i="118"/>
  <c r="K40" i="119"/>
  <c r="L40" i="119" s="1"/>
  <c r="M40" i="119" s="1"/>
  <c r="C40" i="119" s="1"/>
  <c r="E40" i="119" s="1"/>
  <c r="C43" i="118"/>
  <c r="K43" i="119"/>
  <c r="L43" i="119" s="1"/>
  <c r="M43" i="119" s="1"/>
  <c r="C43" i="119" s="1"/>
  <c r="E43" i="119" s="1"/>
  <c r="C52" i="118"/>
  <c r="K52" i="119"/>
  <c r="L52" i="119" s="1"/>
  <c r="M52" i="119" s="1"/>
  <c r="C52" i="119" s="1"/>
  <c r="E52" i="119" s="1"/>
  <c r="BW41" i="95"/>
  <c r="BW38" i="95"/>
  <c r="BY37" i="95"/>
  <c r="BX29" i="95"/>
  <c r="BX32" i="95"/>
  <c r="BX30" i="95"/>
  <c r="BX33" i="95"/>
  <c r="BX31" i="95"/>
  <c r="BX34" i="95"/>
  <c r="AW37" i="95"/>
  <c r="AT37" i="95"/>
  <c r="BF37" i="95"/>
  <c r="BX13" i="95"/>
  <c r="BX24" i="95"/>
  <c r="BX20" i="95"/>
  <c r="BX17" i="95"/>
  <c r="BX16" i="95"/>
  <c r="BX21" i="95"/>
  <c r="BX14" i="95"/>
  <c r="BX26" i="95"/>
  <c r="BX25" i="95"/>
  <c r="BX28" i="95"/>
  <c r="BX19" i="95"/>
  <c r="BX18" i="95"/>
  <c r="BC37" i="95"/>
  <c r="AZ37" i="95"/>
  <c r="BX23" i="95"/>
  <c r="BX12" i="95"/>
  <c r="BI37" i="95"/>
  <c r="AK37" i="95"/>
  <c r="BL37" i="95"/>
  <c r="AB37" i="95"/>
  <c r="BR37" i="95"/>
  <c r="S37" i="95"/>
  <c r="AE37" i="95"/>
  <c r="M37" i="95"/>
  <c r="V37" i="95"/>
  <c r="Y37" i="95"/>
  <c r="BO37" i="95"/>
  <c r="AN37" i="95"/>
  <c r="AQ37" i="95"/>
  <c r="P37" i="95"/>
  <c r="AH37" i="95"/>
  <c r="BU37" i="95"/>
  <c r="C12" i="119" l="1"/>
  <c r="E12" i="119" s="1"/>
  <c r="C27" i="119"/>
  <c r="E27" i="119" s="1"/>
  <c r="C63" i="118"/>
  <c r="K63" i="119"/>
  <c r="L63" i="119" s="1"/>
  <c r="M63" i="119" s="1"/>
  <c r="C63" i="119" s="1"/>
  <c r="E63" i="119" s="1"/>
  <c r="C47" i="118"/>
  <c r="K47" i="119"/>
  <c r="L47" i="119" s="1"/>
  <c r="M47" i="119" s="1"/>
  <c r="C47" i="119" s="1"/>
  <c r="E47" i="119" s="1"/>
  <c r="C67" i="118"/>
  <c r="K67" i="119"/>
  <c r="L67" i="119" s="1"/>
  <c r="M67" i="119" s="1"/>
  <c r="C67" i="119" s="1"/>
  <c r="E67" i="119" s="1"/>
  <c r="C58" i="118"/>
  <c r="K58" i="119"/>
  <c r="L58" i="119" s="1"/>
  <c r="M58" i="119" s="1"/>
  <c r="C25" i="118"/>
  <c r="K25" i="119"/>
  <c r="L25" i="119" s="1"/>
  <c r="M25" i="119" s="1"/>
  <c r="C25" i="119" s="1"/>
  <c r="E25" i="119" s="1"/>
  <c r="C10" i="118"/>
  <c r="K10" i="119"/>
  <c r="L10" i="119" s="1"/>
  <c r="M10" i="119" s="1"/>
  <c r="C10" i="119" s="1"/>
  <c r="C20" i="118"/>
  <c r="K20" i="119"/>
  <c r="L20" i="119" s="1"/>
  <c r="M20" i="119" s="1"/>
  <c r="C20" i="119" s="1"/>
  <c r="E20" i="119" s="1"/>
  <c r="C38" i="118"/>
  <c r="K38" i="119"/>
  <c r="L38" i="119" s="1"/>
  <c r="M38" i="119" s="1"/>
  <c r="C38" i="119" s="1"/>
  <c r="E38" i="119" s="1"/>
  <c r="C33" i="118"/>
  <c r="K33" i="119"/>
  <c r="L33" i="119" s="1"/>
  <c r="M33" i="119" s="1"/>
  <c r="C33" i="119" s="1"/>
  <c r="E33" i="119" s="1"/>
  <c r="BX37" i="95"/>
  <c r="C58" i="119" l="1"/>
  <c r="E58" i="119" s="1"/>
  <c r="E10" i="119"/>
  <c r="C56" i="118"/>
  <c r="C71" i="118" s="1"/>
  <c r="J56" i="118" s="1"/>
  <c r="K56" i="119"/>
  <c r="L56" i="119" s="1"/>
  <c r="M56" i="119" s="1"/>
  <c r="BY38" i="95"/>
  <c r="C56" i="119" l="1"/>
  <c r="E56" i="119" s="1"/>
  <c r="J55" i="118"/>
  <c r="J55" i="119"/>
  <c r="K71" i="119"/>
  <c r="N56" i="119" l="1"/>
  <c r="N57" i="119" s="1"/>
  <c r="J56" i="119"/>
  <c r="L71" i="119"/>
  <c r="M71" i="119" s="1"/>
  <c r="C71" i="119" s="1"/>
  <c r="E71" i="11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Singkasalit</author>
  </authors>
  <commentList>
    <comment ref="B8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Singkasalit:</t>
        </r>
        <r>
          <rPr>
            <sz val="8"/>
            <color indexed="81"/>
            <rFont val="Tahoma"/>
            <family val="2"/>
          </rPr>
          <t xml:space="preserve">
ให้เลือกกิจกรรมในการประมาณราคา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</author>
  </authors>
  <commentList>
    <comment ref="L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pr:</t>
        </r>
        <r>
          <rPr>
            <sz val="8"/>
            <color indexed="81"/>
            <rFont val="Tahoma"/>
            <family val="2"/>
          </rPr>
          <t xml:space="preserve">
แก้ไขเฉพาะราคาน้ำมันที่
30.5 เท่านั้น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Used</author>
  </authors>
  <commentList>
    <comment ref="I28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Home Used:</t>
        </r>
        <r>
          <rPr>
            <sz val="8"/>
            <color indexed="81"/>
            <rFont val="Tahoma"/>
            <family val="2"/>
          </rPr>
          <t xml:space="preserve">
นีคือค่าN</t>
        </r>
      </text>
    </comment>
    <comment ref="I296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Home Used:</t>
        </r>
        <r>
          <rPr>
            <sz val="8"/>
            <color indexed="81"/>
            <rFont val="Tahoma"/>
            <family val="2"/>
          </rPr>
          <t xml:space="preserve">
นีคือค่าN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Used</author>
  </authors>
  <commentList>
    <comment ref="F27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Home Used:</t>
        </r>
        <r>
          <rPr>
            <sz val="8"/>
            <color indexed="81"/>
            <rFont val="Tahoma"/>
            <family val="2"/>
          </rPr>
          <t xml:space="preserve">
ถอดได้แล้วนำไปคูณ 1.50 จะได้คิวหลวม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Used</author>
  </authors>
  <commentList>
    <comment ref="F2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Home Used:</t>
        </r>
        <r>
          <rPr>
            <sz val="8"/>
            <color indexed="81"/>
            <rFont val="Tahoma"/>
            <family val="2"/>
          </rPr>
          <t xml:space="preserve">
ถอดได้แล้วนำไปคูณ 1.50 จะได้คิวหลวม</t>
        </r>
      </text>
    </comment>
  </commentList>
</comments>
</file>

<file path=xl/sharedStrings.xml><?xml version="1.0" encoding="utf-8"?>
<sst xmlns="http://schemas.openxmlformats.org/spreadsheetml/2006/main" count="6753" uniqueCount="1997">
  <si>
    <t xml:space="preserve"> -  ค่าวัสดุหินคลุก</t>
  </si>
  <si>
    <t xml:space="preserve"> -  ค่าวัสดุ  Prime  Coat</t>
  </si>
  <si>
    <t xml:space="preserve"> - Cold  Mix</t>
  </si>
  <si>
    <t xml:space="preserve"> - Tack  Coat</t>
  </si>
  <si>
    <t>... รวม (..1+2..)</t>
  </si>
  <si>
    <t>...  ส่วนขยายตัว (..3..) x 1.25</t>
  </si>
  <si>
    <t>... รวมค่างานต้นทุน (..4+5..)</t>
  </si>
  <si>
    <t>... รวมค่างานต้นทุน (..8..) x 1.60</t>
  </si>
  <si>
    <t>... รวม  (..6+7..)</t>
  </si>
  <si>
    <t>... รวมค่างานต้นทุน   (..9+10..)</t>
  </si>
  <si>
    <t>... รวม  (..11+12..)</t>
  </si>
  <si>
    <t xml:space="preserve"> -ปริมาณงาน Asphaltic  Concrete ทั้งโครงการ</t>
  </si>
  <si>
    <t xml:space="preserve"> - ค่าติดตั้งเครื่องผสม </t>
  </si>
  <si>
    <t xml:space="preserve"> -ค่าหิน 0.74 ลบ.ม. @  (หินผสม + ค่าขนส่ง) x 0.74 = ..(..X3..) x 0.74</t>
  </si>
  <si>
    <t xml:space="preserve"> - ค่าขนส่ง</t>
  </si>
  <si>
    <t>... รวมค่างานต้นทุน (..13..) x 1.70</t>
  </si>
  <si>
    <t>... รวมค่างานต้นทุน  (..14+15..)</t>
  </si>
  <si>
    <t>ค่าดำเนินการ+ค่าเสื่อมราคางานขุด-ขน</t>
  </si>
  <si>
    <t>อัตราส่วนการยุบตัวเมื่อบดทับ  (..19..) x 1.4</t>
  </si>
  <si>
    <t>ค่าดำเนินการ+ค่าเสื่อมราคาเมื่อบดทับ</t>
  </si>
  <si>
    <t>... รวม  (..22+23+24..)</t>
  </si>
  <si>
    <t>... รวม   (..28+29+30..)</t>
  </si>
  <si>
    <t>อัตราส่วนการยุบตัวเมื่อบดทับ  (…31...) x 1.6</t>
  </si>
  <si>
    <t>... รวมค่างานต้นทุน   (..32+33..)</t>
  </si>
  <si>
    <t>... รวมค่า   (..34+35+36..)</t>
  </si>
  <si>
    <t>... รวมค่างานต้นทุน   (..38+39..)</t>
  </si>
  <si>
    <t>... รวม  (..40+41+42..)</t>
  </si>
  <si>
    <t>... รวม   (..44 x 45..)</t>
  </si>
  <si>
    <t>... รวม    (..47+48+49..)</t>
  </si>
  <si>
    <t>... รวม   (..51 x 52..)</t>
  </si>
  <si>
    <t>... รวมค่างานต้นทุน…(..46+53..)</t>
  </si>
  <si>
    <t>อัตราส่วนการยุบตัวเมื่อบดทับ (..37..) x 1.6</t>
  </si>
  <si>
    <t>อัตราส่วนการยุบตัวเมื่อบดทับ (...43..) x 1.6</t>
  </si>
  <si>
    <t>อัตราส่วนการยุบตัวเมื่อบดทับ (..50...) x 1.4</t>
  </si>
  <si>
    <t>(หลวม)      (58)</t>
  </si>
  <si>
    <t>อัตราส่วนการยุบตัวเมื่อบดทับ (..61...)  x 1.6</t>
  </si>
  <si>
    <t>…รวม  (..63 x 64..)</t>
  </si>
  <si>
    <t>ค่าดำเนินการ+ค่าเสื่อมราคางาน(ขุด-ขน)</t>
  </si>
  <si>
    <t>ค่าดำเนินการ+ค่าเสื่อมราคา (ผสมวัสดุ)</t>
  </si>
  <si>
    <t>ค่าดำเนินการ+ค่าเสื่อมราคา (บดทับ)</t>
  </si>
  <si>
    <t>เมื่อวันที่</t>
  </si>
  <si>
    <t>ตามแบบเลขที่</t>
  </si>
  <si>
    <t xml:space="preserve">ตามแบบเลขที่  </t>
  </si>
  <si>
    <t>ระยะทาง (กม.)</t>
  </si>
  <si>
    <t xml:space="preserve"> = F [ A1 + 0.73857X2 + 0.02183X1 + 0.06150+D ]</t>
  </si>
  <si>
    <t xml:space="preserve"> ซม. (</t>
  </si>
  <si>
    <t xml:space="preserve"> บาท/ตร.ม.</t>
  </si>
  <si>
    <t>รวมค่าวัสดุ</t>
  </si>
  <si>
    <t>ค่าตัวแปร</t>
  </si>
  <si>
    <t>F  =  Traffic  Factor  สำหรับงานบำรุงทาง</t>
  </si>
  <si>
    <t>(Y1)</t>
  </si>
  <si>
    <t>X1 = ราคาหินฝุ่น ที่ปากโม่รวมค่าขนส่ง</t>
  </si>
  <si>
    <t>X = ราคาหิน 1/2 " ที่ปากโม่รวมค่าขนส่ง</t>
  </si>
  <si>
    <t>X2 = ราคาหิน 3/8 " ที่ปากโม่รวมค่าขนส่ง</t>
  </si>
  <si>
    <t>(X1)</t>
  </si>
  <si>
    <t>(X2)</t>
  </si>
  <si>
    <t>งาน Cold  Mix ( Wearing  Course )</t>
  </si>
  <si>
    <t>A1</t>
  </si>
  <si>
    <t>D = ค่าขนส่งวัสดุผสมระหว่างทำการฉาบผิว / เสริมผิว  คิดเป็นระยะทาง  1  ใน  4</t>
  </si>
  <si>
    <t>(D)</t>
  </si>
  <si>
    <t>ค่าทรายหยาบที่แหล่งรวมค่าขนส่ง</t>
  </si>
  <si>
    <t>ค่าทรายถมที่ ที่แหล่งรวมค่าขนส่ง</t>
  </si>
  <si>
    <t>ค่าหินย่อย ที่ปากโม่รวมค่าขนส่ง</t>
  </si>
  <si>
    <t>ค่าปูนซิเมนต์รวมค่าขนส่งถึงหน้างาน</t>
  </si>
  <si>
    <t>ตัน/ตร.ม.</t>
  </si>
  <si>
    <t>ความลึกในการขุดกัด</t>
  </si>
  <si>
    <t xml:space="preserve"> - งาน Tack Coat</t>
  </si>
  <si>
    <t xml:space="preserve"> -เส้นเตือนทางรถไฟ</t>
  </si>
  <si>
    <t xml:space="preserve"> -เป้าสะท้อนแสง</t>
  </si>
  <si>
    <t xml:space="preserve"> -หลักนำโค้ง ค.ส.ล.</t>
  </si>
  <si>
    <t xml:space="preserve"> -หลักกิโลเมตร</t>
  </si>
  <si>
    <t xml:space="preserve"> -หลักเขตทาง ค.ส.ล.</t>
  </si>
  <si>
    <t xml:space="preserve"> -ปุ่มสะท้อนแสง ( 2 หน้า )</t>
  </si>
  <si>
    <t xml:space="preserve"> -งานตีเส้นจราจร</t>
  </si>
  <si>
    <t xml:space="preserve"> -Timber  Barricade</t>
  </si>
  <si>
    <t xml:space="preserve"> -Rumble Strips</t>
  </si>
  <si>
    <t xml:space="preserve"> -ทางม้าลาย</t>
  </si>
  <si>
    <t>ออกแบบผิวทางกว้าง</t>
  </si>
  <si>
    <t>ออกแบบผิวไหล่ทางกว้างข้างละ</t>
  </si>
  <si>
    <t>( มหาชน ) ฃึ่งสำนักงานปลัดสำนักนายกรัฐมนตรีจะเป็นผู้แจ้งเวียนให้ส่วนราชการทราบและนำไปใช้</t>
  </si>
  <si>
    <t>กรณีใช้เงินกู้จากแหล่งเงินกู้  ให้ใช้ตาราง Factor  F สำหรับกรณีเงินกู้  ถึงแม้ค่าก่อสร้างจะมีเงินงบประมาณสมทบ</t>
  </si>
  <si>
    <t>หน้าที่ 4</t>
  </si>
  <si>
    <t>การคำนวณค่างานก่อสร้างสะพานและท่อเหลี่ยมในงานจ้างเหมาก่อสร้าง</t>
  </si>
  <si>
    <t>นายช่างโยธาชำนาญงาน</t>
  </si>
  <si>
    <t>ในงานจ้างเหมาก่อสร้าง  ค่างานจะคิดเป็นราคาต่อหน่วยของลักษณะงานต่าง ๆ   และค่างานทั้งโครงการ  ได้จากการ</t>
  </si>
  <si>
    <t>3. งาน Benching</t>
  </si>
  <si>
    <t>ค่างาน ลบ.ม. ละ</t>
  </si>
  <si>
    <t>... รวมค่างานต้นทุน Benching</t>
  </si>
  <si>
    <t>4. งานดินตัด</t>
  </si>
  <si>
    <t xml:space="preserve"> 4.1 งานดินตัด</t>
  </si>
  <si>
    <t>ค่า</t>
  </si>
  <si>
    <t>ค่าขนส่งวัสดุไปทิ้ง  ระยะทางขนส่ง</t>
  </si>
  <si>
    <t>4.2 งานตัดหินผุ</t>
  </si>
  <si>
    <t>ค่าขนส่งวัสดุ ระยะทางขนส่ง</t>
  </si>
  <si>
    <t>4.3 งานตัดหินแข็ง</t>
  </si>
  <si>
    <t>ค่าขนส่งวัสดุจากแหล่งถึงหน้างาน</t>
  </si>
  <si>
    <t>(แน่น)</t>
  </si>
  <si>
    <t>(ขนส่งมาจากงานดินตัด)</t>
  </si>
  <si>
    <t xml:space="preserve"> - งาน  Benching</t>
  </si>
  <si>
    <t>… รวมค่างานต้นทุน</t>
  </si>
  <si>
    <t>ค่าหิน+ค่ายาง+ค่าขนส่ง</t>
  </si>
  <si>
    <t>ค่ายาง+ค่าขนส่ง</t>
  </si>
  <si>
    <t>A (sst.)</t>
  </si>
  <si>
    <t>B (Fog)</t>
  </si>
  <si>
    <t>C (Slurry)</t>
  </si>
  <si>
    <t>6. งานวัสดุคัดเลือก</t>
  </si>
  <si>
    <t>7. งานรองพื้นทางลูกรัง</t>
  </si>
  <si>
    <t>8. งานชั้นพื้นทางหินคลุก</t>
  </si>
  <si>
    <t xml:space="preserve">ประมาณการตามแบบ   ปร.4 </t>
  </si>
  <si>
    <t>ตันละ</t>
  </si>
  <si>
    <t>(Y)</t>
  </si>
  <si>
    <t>ลบ.ม. ละ</t>
  </si>
  <si>
    <t>(X)</t>
  </si>
  <si>
    <t>บาท/ตร.ม.</t>
  </si>
  <si>
    <t>10. งานผิวทาง</t>
  </si>
  <si>
    <t>10.1 งานลาดยางแบบ CAPE SEAL</t>
  </si>
  <si>
    <t>B</t>
  </si>
  <si>
    <t>ฝนตกชุก</t>
  </si>
  <si>
    <t xml:space="preserve">ระยะทางที่ปูผิวทาง </t>
  </si>
  <si>
    <t>(L)</t>
  </si>
  <si>
    <t>ระยะทางขนส่งใช้ L/4</t>
  </si>
  <si>
    <t>ค่าขนหินส่งทำ CHIP SEAL (D)</t>
  </si>
  <si>
    <t xml:space="preserve">ค่าขนส่งวัสดุผสม SLURRY SEAL (P) </t>
  </si>
  <si>
    <t xml:space="preserve"> ค่าผสมวัสดุ ลูกรัง</t>
  </si>
  <si>
    <t xml:space="preserve"> ค่าบ่มวัสดุ  ลูกรัง</t>
  </si>
  <si>
    <t xml:space="preserve"> ค่าบ่มวัสดุ  หินคลุก</t>
  </si>
  <si>
    <t xml:space="preserve"> - ป้ายจราจรแบบ 3-น2</t>
  </si>
  <si>
    <t xml:space="preserve"> - ป้ายจราจรแบบ 2-น2</t>
  </si>
  <si>
    <t>งานผิวทางคอนกรีต</t>
  </si>
  <si>
    <t xml:space="preserve"> ด่าผสมคอนกรีต</t>
  </si>
  <si>
    <t xml:space="preserve">  ลบม.</t>
  </si>
  <si>
    <t xml:space="preserve"> ด่าขนส่งคอนกรีต</t>
  </si>
  <si>
    <t>ลบม./กม.</t>
  </si>
  <si>
    <t xml:space="preserve"> ค่าแบบข้างคิดตามยาว 2 ข้าง</t>
  </si>
  <si>
    <t>น้ำมันทาแบบ</t>
  </si>
  <si>
    <t>ยางมะตอย</t>
  </si>
  <si>
    <t>บาท/ตัน</t>
  </si>
  <si>
    <t>ข้อมูลโครงการ (โปรดกรอกข้อความในแถบสีเทา)</t>
  </si>
  <si>
    <t>หน่วยงาน</t>
  </si>
  <si>
    <t>เจ้าของงาน</t>
  </si>
  <si>
    <t>เจ้าของโครงการ</t>
  </si>
  <si>
    <t>โครงการก่อสร้าง</t>
  </si>
  <si>
    <t>งบประมาณประจำปี</t>
  </si>
  <si>
    <t>ประเภทงาน</t>
  </si>
  <si>
    <t>ผิวทางเดิม</t>
  </si>
  <si>
    <t>ไหล่ทางเดิม</t>
  </si>
  <si>
    <t>ประมาณราคาเมื่อวันที่</t>
  </si>
  <si>
    <t>ตรวจ</t>
  </si>
  <si>
    <t>เห็นชอบ</t>
  </si>
  <si>
    <t>ทรายถมหยาบข้างท่อ</t>
  </si>
  <si>
    <t>ทรายหยาบรองพื้น</t>
  </si>
  <si>
    <t>เหล็กเส้นกลม  RB  6  มม.</t>
  </si>
  <si>
    <t>สภาพงานถางป่าขุดตอ</t>
  </si>
  <si>
    <t>ดินตัด</t>
  </si>
  <si>
    <t>วัสดุคัดเลือก</t>
  </si>
  <si>
    <t>ค่าแรงงานผสมปูน+เท</t>
  </si>
  <si>
    <t>งานดินคันทาง</t>
  </si>
  <si>
    <t>ภาษี</t>
  </si>
  <si>
    <t>รหัสสายทาง</t>
  </si>
  <si>
    <t>บ2</t>
  </si>
  <si>
    <t>ต69</t>
  </si>
  <si>
    <t>ต74</t>
  </si>
  <si>
    <t>ต77</t>
  </si>
  <si>
    <t>น1</t>
  </si>
  <si>
    <t>น2</t>
  </si>
  <si>
    <t>น3</t>
  </si>
  <si>
    <t>น4</t>
  </si>
  <si>
    <t>น5</t>
  </si>
  <si>
    <t>ต้น</t>
  </si>
  <si>
    <t>รวมค่าใช้จ่ายตามข้อ 1.1 -1.4 (งานสะพานและท่อเหลี่ยม)</t>
  </si>
  <si>
    <t>รวมค่าใช้จ่ายตามข้อ 1.1 (งานสะพานและท่อเหลี่ยม)</t>
  </si>
  <si>
    <t>รวมค่าใช้จ่ายตามข้อ 1.2 (งานสะพานและท่อเหลี่ยม)</t>
  </si>
  <si>
    <t>Phat - โครงการ</t>
  </si>
  <si>
    <t>รวมค่าใช้จ่ายตามข้อ 1.3 (งานสะพานและท่อเหลี่ยม)</t>
  </si>
  <si>
    <t xml:space="preserve">  I    =   i/12*[r/100+(T+(D-1)*a/100-(a + r)/100*(T+1)/2-(D-1)]</t>
  </si>
  <si>
    <t>I   =</t>
  </si>
  <si>
    <t>D =</t>
  </si>
  <si>
    <t>i   =</t>
  </si>
  <si>
    <t xml:space="preserve">   % (ยกเลิก)</t>
  </si>
  <si>
    <t xml:space="preserve">  เดือน (ยกเลิก)</t>
  </si>
  <si>
    <t>ไม้เนื้อแข็ง</t>
  </si>
  <si>
    <t xml:space="preserve">กม.     </t>
  </si>
  <si>
    <t>รายการ</t>
  </si>
  <si>
    <t>จำนวน</t>
  </si>
  <si>
    <t>หน่วย</t>
  </si>
  <si>
    <t>ค่าแรง</t>
  </si>
  <si>
    <t>รวม</t>
  </si>
  <si>
    <t>ตัน</t>
  </si>
  <si>
    <t>จาก กม.</t>
  </si>
  <si>
    <t>รวมค่างานต้นทุนงานทาง  (1)</t>
  </si>
  <si>
    <t xml:space="preserve">คิดเป็นค่าก่อสร้างโดยประมาณ </t>
  </si>
  <si>
    <t xml:space="preserve"> -ป้ายกำหนดน้ำหนักบรรทุกขนาด1.20x2.40 ม.</t>
  </si>
  <si>
    <t xml:space="preserve">  - เงินประกันผลงานหัก</t>
  </si>
  <si>
    <t>ประมาณราคางานก่อสร้าง</t>
  </si>
  <si>
    <t>สถานที่ก่อสร้าง</t>
  </si>
  <si>
    <t>ลำดับที่</t>
  </si>
  <si>
    <t>รวมค่าวัสดุและ</t>
  </si>
  <si>
    <t>วัสดุ</t>
  </si>
  <si>
    <t>ขุดดิน</t>
  </si>
  <si>
    <t>คอนกรีตหยาบ</t>
  </si>
  <si>
    <t>คอนกรีต</t>
  </si>
  <si>
    <t>กระดาษชานอ้อย</t>
  </si>
  <si>
    <t>รวมค่าวัสดุ - ค่าแรง</t>
  </si>
  <si>
    <t>ผู้ประมาณราคา………...…………….…………….</t>
  </si>
  <si>
    <t>ที่</t>
  </si>
  <si>
    <t>รวมค่างานต้นทุน</t>
  </si>
  <si>
    <t>Factor  F</t>
  </si>
  <si>
    <t>สภาพภูมิอากาศของโครงการ</t>
  </si>
  <si>
    <t>บาท/ลบ.ม. ขนส่ง</t>
  </si>
  <si>
    <t>บาท/ตัน ขนส่ง</t>
  </si>
  <si>
    <t>บาท/ท่อน ขนส่ง</t>
  </si>
  <si>
    <t>12. งานเคลือบหิน ขจัดฝุ่น (Pre-coat)</t>
  </si>
  <si>
    <t>15. งาน stabilized layer</t>
  </si>
  <si>
    <t>16. งาน Pavement In
 Place Recycling</t>
  </si>
  <si>
    <t>17. งาน Slurry Seal</t>
  </si>
  <si>
    <t>18. งาน 
Fox Spray</t>
  </si>
  <si>
    <t>19. งาน Hot Mixed Recycling</t>
  </si>
  <si>
    <t>งานเคลือบหิน ขจัดฝุ่น (Pre-coat)</t>
  </si>
  <si>
    <t>งาน stabilized layer</t>
  </si>
  <si>
    <t>งาน Slurry Seal</t>
  </si>
  <si>
    <t>งาน Fox Spray</t>
  </si>
  <si>
    <t>งาน Hot Mixed Recycling</t>
  </si>
  <si>
    <t>เป็นเงิน</t>
  </si>
  <si>
    <t>อ.คอนสาร</t>
  </si>
  <si>
    <t xml:space="preserve"> -Guard Rall ติดตั้งที่คอสะพานและทางโค้ง</t>
  </si>
  <si>
    <t>น็อตยึด GUARD RAIL</t>
  </si>
  <si>
    <t>ค่าเบี้ยประกันภัยยานพาหนะ</t>
  </si>
  <si>
    <t>ราคา</t>
  </si>
  <si>
    <t>จ้างเหมา+ราคาเสา</t>
  </si>
  <si>
    <t>ขอนแก่น</t>
  </si>
  <si>
    <t>ยาง AC 60-70 (ถึง Plant Mobile)</t>
  </si>
  <si>
    <t>ป้ายห้ามรถบรรทุก</t>
  </si>
  <si>
    <t>งานติดตั้งเครื่องหมายจราจร</t>
  </si>
  <si>
    <t xml:space="preserve"> Ruble  Strips</t>
  </si>
  <si>
    <t>ทางม้าลาย</t>
  </si>
  <si>
    <t>เส้นเตือนทางรถไฟ</t>
  </si>
  <si>
    <t>หลักนำโค้ง คสล.</t>
  </si>
  <si>
    <t>หลักกิโลเมตร</t>
  </si>
  <si>
    <t>หลักเขตทาง คสล.</t>
  </si>
  <si>
    <t>TIMBER  BARRICADE</t>
  </si>
  <si>
    <t>เป้าสะท้อนแสง</t>
  </si>
  <si>
    <t>งานติดตั้งไฟกระพริบ</t>
  </si>
  <si>
    <t>งานสีพ่น</t>
  </si>
  <si>
    <t>งานปรับปรุงเครื่องหมายจราจร</t>
  </si>
  <si>
    <t>GUARD RAIL</t>
  </si>
  <si>
    <t>ปรับปรุงป้ายจราจร</t>
  </si>
  <si>
    <t xml:space="preserve"> - งานชั้นรองพื้นทาง (กรณีลูกรังผสมทราย)</t>
  </si>
  <si>
    <t xml:space="preserve"> - งานชั้นรองพื้นทาง (กรณีลูกรังผสมซีเมนต์)</t>
  </si>
  <si>
    <t xml:space="preserve"> - งานชั้นพื้นทาง (กรณีลูกรังผสมซีเมนต์)</t>
  </si>
  <si>
    <t>ข้อมูลประกอบการประมาณราคา</t>
  </si>
  <si>
    <t>แหล่งวัสดุ</t>
  </si>
  <si>
    <t xml:space="preserve"> - งานชั้นพื้นทาง(หินคลุก)</t>
  </si>
  <si>
    <t>ค่าใช้จ่ายด้านยานพาหนะ</t>
  </si>
  <si>
    <t>ผู้จัดการใหญ่</t>
  </si>
  <si>
    <t xml:space="preserve">      หลักเกณฑ์การคิดค่าใช้จ่ายยานพาหนะ</t>
  </si>
  <si>
    <t>ช่างเทคนิค</t>
  </si>
  <si>
    <t xml:space="preserve">        ค่าเช่ารถยนต์บรรทุกเล็กเครื่องยนต์ดีเซล</t>
  </si>
  <si>
    <t xml:space="preserve">  บาท/วัน</t>
  </si>
  <si>
    <t xml:space="preserve">  ความยาวของทางก่อสร้าง</t>
  </si>
  <si>
    <t xml:space="preserve">  กม.</t>
  </si>
  <si>
    <t>เจ้าหน้าที่บัญชี</t>
  </si>
  <si>
    <t xml:space="preserve">        อัตราความสิ้นเปลืองเฉลี่ย</t>
  </si>
  <si>
    <t xml:space="preserve">  กม./ลิตร</t>
  </si>
  <si>
    <t xml:space="preserve">  จำนวนเที่ยวของการใช้รถควบคุมงานไปกลับ</t>
  </si>
  <si>
    <t xml:space="preserve">  เที่ยว</t>
  </si>
  <si>
    <t>เจ้าหน้าที่ธุรการ</t>
  </si>
  <si>
    <t xml:space="preserve">         ราคาน้ำมันดีเซล</t>
  </si>
  <si>
    <t xml:space="preserve">  บาท/ลิตร</t>
  </si>
  <si>
    <t xml:space="preserve">  จำนวนวันใน  1  เดือน</t>
  </si>
  <si>
    <t xml:space="preserve">  วัน</t>
  </si>
  <si>
    <t>เจ้าหน้าที่ประสานงาน</t>
  </si>
  <si>
    <t>1.2.2 กรณีค่างานลงทุนไม่เกิน</t>
  </si>
  <si>
    <t>1.3.2 กรณีค่างานลงทุนไม่เกิน</t>
  </si>
  <si>
    <t>ค่าใช้จ่ายสำนักงานใหญ่(ดูแล 4 โครงการ)</t>
  </si>
  <si>
    <t>หน้าที่  7</t>
  </si>
  <si>
    <t>หน้าที่  10</t>
  </si>
  <si>
    <t>หน้าที่  13</t>
  </si>
  <si>
    <t>หน้าที่  16</t>
  </si>
  <si>
    <t xml:space="preserve">            1.1.2  ค่าธรรมเนียมธนาคารหนังสือค้ำประกันผลงานก่อสร้าง</t>
  </si>
  <si>
    <t>1.2.3 กรณีค่างานลงทุนไม่เกิน</t>
  </si>
  <si>
    <t>รวมค่าใช้จ่ายตามข้อ 1.1 -1.4</t>
  </si>
  <si>
    <t>%  ของค่างาน</t>
  </si>
  <si>
    <t>ปี</t>
  </si>
  <si>
    <t>อัตราค่าธรรมเนียม</t>
  </si>
  <si>
    <t xml:space="preserve">         % ของค่างาน</t>
  </si>
  <si>
    <t>รวมค่าใช้จ่ายข้อ 1.1</t>
  </si>
  <si>
    <t>รวมค่าใช้จ่ายข้อ 1.2</t>
  </si>
  <si>
    <t>รวมค่าใช้จ่ายข้อ 1.3</t>
  </si>
  <si>
    <t>รวมค่าใช้จ่ายข้อ 1.4</t>
  </si>
  <si>
    <t xml:space="preserve">     1.1.3  ค่าอากรแสตมป์ติดสัญญา</t>
  </si>
  <si>
    <t>ค่าอากรแสตมป์</t>
  </si>
  <si>
    <t xml:space="preserve">            1.1.4  เงินสมทบกองทุนเงินทดแทน กองทุนประกันสังคม และค่าอากรแสตมป์ติดสัญญา</t>
  </si>
  <si>
    <t>1.1.4.1 เงินสมทบกองทุนเงินทดแทน</t>
  </si>
  <si>
    <t>% ของค่าแรงงาน</t>
  </si>
  <si>
    <t>เงินสมทบ</t>
  </si>
  <si>
    <t>0.51*0.30</t>
  </si>
  <si>
    <t>1.1.4.2 เงินสมทบกองทุนประกันสังคม</t>
  </si>
  <si>
    <t xml:space="preserve">ค่าใช้จ่ายเอกสารด้านธุรการ </t>
  </si>
  <si>
    <t>0.35*0.30</t>
  </si>
  <si>
    <t>รวมค่าใช้จ่ายเงินสมทบกองทุนทดแทน และประกันสังคม</t>
  </si>
  <si>
    <t>1.2.4 กรณีค่างานลงทุนเกิน</t>
  </si>
  <si>
    <t>หน้าที่  8</t>
  </si>
  <si>
    <t>หน้าที่  11</t>
  </si>
  <si>
    <t>หน้าที่  14</t>
  </si>
  <si>
    <t>รวมค่าใช้จ่ายตามข้อ 1.1</t>
  </si>
  <si>
    <t>รวมค่าใช้จ่ายตามข้อ 1.2</t>
  </si>
  <si>
    <t>รวมค่าใช้จ่ายตามข้อ 1.3</t>
  </si>
  <si>
    <t>ข้อ 1.1.1</t>
  </si>
  <si>
    <t>ข้อ 1.1.2</t>
  </si>
  <si>
    <t>ข้อ 1.1.3</t>
  </si>
  <si>
    <t>ข้อ 1.1.4</t>
  </si>
  <si>
    <t>ค่าใช้จ่าย ข้อ 1-2</t>
  </si>
  <si>
    <t>ทุน</t>
  </si>
  <si>
    <t>รวมค่า</t>
  </si>
  <si>
    <t>ค้ำประกันสัญญา%</t>
  </si>
  <si>
    <t>ค้ำประกันผลงาน%</t>
  </si>
  <si>
    <t>ค่าอากร%</t>
  </si>
  <si>
    <t>กองทุนทดแทน+ประกันสังคม%</t>
  </si>
  <si>
    <t>ข้อ 1-2 เป็นเงิน</t>
  </si>
  <si>
    <t>ข้อ 1-2 ทั้งหมดเป็นเงิน</t>
  </si>
  <si>
    <t>คิดเป็นร้อยละของค่างาน</t>
  </si>
  <si>
    <t>ข้อ 1</t>
  </si>
  <si>
    <t xml:space="preserve">ใช้จ่ายข้อ 1 </t>
  </si>
  <si>
    <t>หมุนเวียน</t>
  </si>
  <si>
    <t>ใช้จ่ายข้อ 2</t>
  </si>
  <si>
    <t>ใช้จ่าย 1-2</t>
  </si>
  <si>
    <t>(บาท/เดือน)</t>
  </si>
  <si>
    <t>(บาท)</t>
  </si>
  <si>
    <t>(%)</t>
  </si>
  <si>
    <t>รวมค่าใช้จ่าย</t>
  </si>
  <si>
    <t>สีน้ำมัน</t>
  </si>
  <si>
    <t xml:space="preserve">...ค่างานต้นทุนขนส่งอุปกรณ์ </t>
  </si>
  <si>
    <t>…ค่าใช้จ่ายรวม (บน Prime Coat)      = (...109+101+111+112+113+114+116…)</t>
  </si>
  <si>
    <t>…ค่าใช้จ่ายรวม (บน Tack Coat)        = (...109+101+111+112+113+114+118…)</t>
  </si>
  <si>
    <t>…ค่างานต้นทุนราคาแอสฟัลติกที่เลือกปูลาดและบดทับ (บน Prime Coat)    = (..119 / 115…)</t>
  </si>
  <si>
    <t>...ค่างานต้นทุนราคาแอสฟัลติกที่เลือกปูลาดและบดทับ (บน Tack Coat)       = (..120 / 117…)</t>
  </si>
  <si>
    <t>(F)</t>
  </si>
  <si>
    <t>ค่าดำเนินการ+ค่าเสื่อมราคางานขุดรื้อพื้นทางเดิมแล้วบดทับ</t>
  </si>
  <si>
    <t xml:space="preserve"> -  ค่าดำเนินการ+ค่าเสื่อมราคาผสม (หินคลุก)</t>
  </si>
  <si>
    <t xml:space="preserve"> -  ค่าดำเนินการ+ค่าเสื่อมราคาบดทับ  (หินคลุก)</t>
  </si>
  <si>
    <t xml:space="preserve"> -  ค่าดำเนินการ+ค่าเสื่อมราคาลาดยาง  Prime  Coat  </t>
  </si>
  <si>
    <t>รวมค่าวัสดุ+ค่าแรงงานที่ใช้ในการแก้ Soft</t>
  </si>
  <si>
    <t>ค่าดำเนินการ+ค่าเสื่อมราคางาน  Tack  Coat  ปูลาดเเละบดทับ</t>
  </si>
  <si>
    <t>รวมค่าวัสดุ+ค่าแรงเป็นเงิน</t>
  </si>
  <si>
    <t xml:space="preserve"> - ค่าติดตั้งเครื่องผสม</t>
  </si>
  <si>
    <t>(ปริมาณแอสฟัลท์ซีเมนต์เป็นเปอร์เซนต์โดยน้ำหนักของวัสดุมวลรวม) /100</t>
  </si>
  <si>
    <t xml:space="preserve"> - งานปรับเกลี่ยแต่งและบดอัดคันทางเดิม</t>
  </si>
  <si>
    <t>ลบ.ฟ.</t>
  </si>
  <si>
    <t>งานกำแพงปากท่อ</t>
  </si>
  <si>
    <t>เหล็ก</t>
  </si>
  <si>
    <t>แบบ</t>
  </si>
  <si>
    <t>ค่าแรงงาน</t>
  </si>
  <si>
    <t>รวมค่างาน</t>
  </si>
  <si>
    <t xml:space="preserve"> - งานกรุยทางถางป่า</t>
  </si>
  <si>
    <t>งานดินตัด</t>
  </si>
  <si>
    <t xml:space="preserve"> - งานดินตัดหินผุ</t>
  </si>
  <si>
    <t xml:space="preserve"> - งานตัดหินแข็ง</t>
  </si>
  <si>
    <t>งานดินถม</t>
  </si>
  <si>
    <t>ค่าดำเนินการ+ค่าเสื่อมราคาเครื่องจักร</t>
  </si>
  <si>
    <t>ค่าดำเนินการ+ค่าเสื่อมราคา (งานตกแต่งขั้นบันได)</t>
  </si>
  <si>
    <t>ค่าดำเนินการ+ค่าเสื่อมราคางานบดทับ</t>
  </si>
  <si>
    <t>ค่าดำเนินการ+ค่าเสื่อมราคา (ตัก)</t>
  </si>
  <si>
    <t>ค่าดำเนินการ+ค่าเสื่อมราคา (ขุดตัด)</t>
  </si>
  <si>
    <t>... ค่างานต้นทุน CAPE SEAL  (..97+101+105..)</t>
  </si>
  <si>
    <t>วันที่………..เดือน……............……………พ.ศ…………..</t>
  </si>
  <si>
    <t xml:space="preserve"> บริษัท/หจก.  ........….....……………………………………</t>
  </si>
  <si>
    <t xml:space="preserve"> - ราคาค่าก่อสร้างนี้ ได้รวมภาษีมูลค่าเพิ่มตลอดจนภาษีอื่น ๆ และค่าใช้จ่ายทั้งปวงไว้ด้วยแล้ว</t>
  </si>
  <si>
    <t xml:space="preserve"> - ปริมาณงานในแบบฟอร์มสามารถแก้ไขได้(โดยเซ็นต์กำกับพร้อมประทับตรา)</t>
  </si>
  <si>
    <t xml:space="preserve">    หากไม่แก้ไขถือว่าผู้เสนอราคายอมรับตามปริมาณงานในแบบฟอร์ม</t>
  </si>
  <si>
    <t xml:space="preserve"> - งานดินถม (จากการขนส่ง)</t>
  </si>
  <si>
    <t xml:space="preserve"> - งานดินถม (จากงานดินตัด)</t>
  </si>
  <si>
    <t>งานโครงสร้างทาง และผิวจราจร</t>
  </si>
  <si>
    <t xml:space="preserve"> - งานวัสดุคัดเลือก</t>
  </si>
  <si>
    <t>งานอาคารระบายน้ำ</t>
  </si>
  <si>
    <t>งานท่อลอดกลม ค.ส.ล.</t>
  </si>
  <si>
    <t>ท่อน</t>
  </si>
  <si>
    <t xml:space="preserve">ชื่อสายทาง         </t>
  </si>
  <si>
    <t>ก.งานทาง</t>
  </si>
  <si>
    <t>ลบ.ม</t>
  </si>
  <si>
    <t>ชุด</t>
  </si>
  <si>
    <t>เมตร</t>
  </si>
  <si>
    <t>งานกำแพงปากท่อ (Head Wall,End Wall)</t>
  </si>
  <si>
    <t>แห่ง</t>
  </si>
  <si>
    <t>ค่างานต้นทุน</t>
  </si>
  <si>
    <t>ค่างานต้นทุนสูง</t>
  </si>
  <si>
    <t>ค่างานต้นทุนต่ำ</t>
  </si>
  <si>
    <t>ค่างาน Factor</t>
  </si>
  <si>
    <t xml:space="preserve">ผลต่างงานต้นทุน </t>
  </si>
  <si>
    <t xml:space="preserve">  - เงินภาษีมูลค่าเพิ่ม</t>
  </si>
  <si>
    <t>รถสิบล้อ</t>
  </si>
  <si>
    <t>ขนาด</t>
  </si>
  <si>
    <t xml:space="preserve">   ค่า</t>
  </si>
  <si>
    <t>Factor</t>
  </si>
  <si>
    <t>จำนวนเงิน</t>
  </si>
  <si>
    <t>อัตราค่าธรรมเนียมหนังสือค้ำ</t>
  </si>
  <si>
    <t xml:space="preserve">  %  ของวงเงินค้ำประกัน   </t>
  </si>
  <si>
    <t>1.4.1 ค่าธรรมเนียมในการประกันภัยโครงการ</t>
  </si>
  <si>
    <t>% ของค่างาน</t>
  </si>
  <si>
    <t>ค่างานลงทุน</t>
  </si>
  <si>
    <t>วงเงินค้ำประกัน</t>
  </si>
  <si>
    <t>ค่าธรรมเนียม</t>
  </si>
  <si>
    <t>ค่าธรรมเนียมเป็นร้อยละของค่างาน</t>
  </si>
  <si>
    <t>บุคคลากร</t>
  </si>
  <si>
    <t xml:space="preserve"> </t>
  </si>
  <si>
    <t>1.4.2 ค่าความเสี่ยงภัยที่ไม่ครอบคลุมอยู่ในการประกันภัย และค่าความเสี่ยงจาก</t>
  </si>
  <si>
    <t>อาคาร</t>
  </si>
  <si>
    <t>ผู้จัดการสนาม ( ดูแล 2 โครงการ )</t>
  </si>
  <si>
    <t>คน</t>
  </si>
  <si>
    <t xml:space="preserve">          การผันแปรของอัตราแลกเปลี่ยนเงินตราและอัตราเงินเฟ้อ</t>
  </si>
  <si>
    <t>สำนักงานสนาม เช่าตึกแถว  1  ห้อง</t>
  </si>
  <si>
    <t>ห้อง</t>
  </si>
  <si>
    <t>วิศวกรควบคุมงานสนาม</t>
  </si>
  <si>
    <t>รวมค่าใช้จ่ายในการประกันภัยโครงการ</t>
  </si>
  <si>
    <t>บ้านพักเจ้าหน้าที่</t>
  </si>
  <si>
    <t>หลัง</t>
  </si>
  <si>
    <t>ช่างควบคุมงาน</t>
  </si>
  <si>
    <t>150,000 /</t>
  </si>
  <si>
    <t>ราคาดิน</t>
  </si>
  <si>
    <t>กิโลเมตร</t>
  </si>
  <si>
    <t>ที่จอดเครื่องจักรและโรงฃ่อม</t>
  </si>
  <si>
    <t>ช่างเครื่องยนต์</t>
  </si>
  <si>
    <t>ค่าเอกสารสิ่งพิมพ์และด้านธุรการ</t>
  </si>
  <si>
    <t>โครงการ</t>
  </si>
  <si>
    <t>พนักงานธุรการ</t>
  </si>
  <si>
    <t>ยานพาหนะ</t>
  </si>
  <si>
    <t>คนงานทั่วไป</t>
  </si>
  <si>
    <t>ค่ารถควบคุมงาน+พนักงานขับรถ</t>
  </si>
  <si>
    <t>คัน</t>
  </si>
  <si>
    <t xml:space="preserve">       -ดันและตัก</t>
  </si>
  <si>
    <t>งานวัสดุคัดเลือก ลูกรังรองพื้นทาง</t>
  </si>
  <si>
    <t>หิน  3/4"</t>
  </si>
  <si>
    <t>หิน  1/2"</t>
  </si>
  <si>
    <t>หิน  3/8"</t>
  </si>
  <si>
    <t>หินผสม AC</t>
  </si>
  <si>
    <t>หินผสมคอนกรีต</t>
  </si>
  <si>
    <t>งานชุดรื้อคันทางเดิมแล้วบดทับ</t>
  </si>
  <si>
    <t xml:space="preserve"> ลูกรัง 10 ซม.</t>
  </si>
  <si>
    <t xml:space="preserve"> หินคลุก 10 ซม.</t>
  </si>
  <si>
    <t>กว้าง</t>
  </si>
  <si>
    <t xml:space="preserve">  Factor F</t>
  </si>
  <si>
    <t xml:space="preserve">  ตัน</t>
  </si>
  <si>
    <t>คอนกรีตพื้นล่าง</t>
  </si>
  <si>
    <t>ไม้แบบ 1" * 2" * 3.00 ม.</t>
  </si>
  <si>
    <t>รวมคอนกรีต</t>
  </si>
  <si>
    <t>ไม้แบบ 1" * 6" * 3.00 ม.</t>
  </si>
  <si>
    <t>ไม้แบบ 1" * 8" * 3.00 ม.</t>
  </si>
  <si>
    <t>ลวด</t>
  </si>
  <si>
    <t>เหล็ก  9  มม.</t>
  </si>
  <si>
    <t>เส้น</t>
  </si>
  <si>
    <t>ค่าปูนซีเมนต์</t>
  </si>
  <si>
    <t>9.3 งาน TACK COAT</t>
  </si>
  <si>
    <t>9.1 งาน PRIME COAT บนพื้นทาง</t>
  </si>
  <si>
    <t>9.2 งาน PRIME COAT บนพื้นทางผสมวัสดุซีเมนต์</t>
  </si>
  <si>
    <t xml:space="preserve">ค่ายาง CSS-1 (0.8 x Y1 /1000) </t>
  </si>
  <si>
    <t>ค่าวัสดุ=0.01286X+0.00123Y+0.01222D</t>
  </si>
  <si>
    <t>X3 = ราคาหินผสมแอสฟัล ที่ปากโม่รวมค่าขนส่ง</t>
  </si>
  <si>
    <t>(X3)</t>
  </si>
  <si>
    <t xml:space="preserve">ค่างานต้นทุน CHIP SEAL </t>
  </si>
  <si>
    <t>ค่าวัสดุ=0.00031Y1</t>
  </si>
  <si>
    <t xml:space="preserve">ค่างานต้นทุน FOG SPRAY </t>
  </si>
  <si>
    <t xml:space="preserve">ค่างานต้นทุน SLURRY SEAL </t>
  </si>
  <si>
    <t>ค่าวัสดุ = (527.7+1.21550X1+0.25779Y2+1.85P)*1/185</t>
  </si>
  <si>
    <t>ตัวแปรค่าดำเนินการปูลาดและบดทับตามความหนา</t>
  </si>
  <si>
    <t>รวมราคาค่าเสื่อมราคา</t>
  </si>
  <si>
    <t>ราคาต่อหน่วย</t>
  </si>
  <si>
    <t>ราคากลาง</t>
  </si>
  <si>
    <t>ราคาทุน</t>
  </si>
  <si>
    <t>แบบประเมินราคางานก่อสร้างทาง สะพาน และท่อเหลี่ยม</t>
  </si>
  <si>
    <t>ชื่อโครงการ</t>
  </si>
  <si>
    <t>ส่วนราชการ</t>
  </si>
  <si>
    <t>กระทรวง</t>
  </si>
  <si>
    <t>ประเภทผิวจราจร</t>
  </si>
  <si>
    <t>รวมค่าก่อสร้าง</t>
  </si>
  <si>
    <t>ประเภทงานทาง</t>
  </si>
  <si>
    <t xml:space="preserve">ประเภทงานสะพานและท่อเหลี่ยม </t>
  </si>
  <si>
    <t>กม.              เฉลี่ยราคา    กม. ละ</t>
  </si>
  <si>
    <t xml:space="preserve"> - งาน Prime Coat (บนพื้นทางผสมวัสดุอื่น)</t>
  </si>
  <si>
    <t xml:space="preserve"> - งาน Prime Coat (บนพื้นทางหินคลุก)</t>
  </si>
  <si>
    <t>กำหนดให้  มุม = 30  เป็นมุมที่กำแพง คสล. กันน้ำเซาะที่ปลายท่อระบายน้ำ</t>
  </si>
  <si>
    <t>เหล็ก  12  มม.</t>
  </si>
  <si>
    <t xml:space="preserve">เหล็ก  </t>
  </si>
  <si>
    <t xml:space="preserve"> ค่าติดตั้งเครื่องผสม</t>
  </si>
  <si>
    <t xml:space="preserve">  ครั้ง</t>
  </si>
  <si>
    <t>สายทาง</t>
  </si>
  <si>
    <t>บ1</t>
  </si>
  <si>
    <t>งานตีเส้น</t>
  </si>
  <si>
    <t>อำเภอ</t>
  </si>
  <si>
    <t>พื้นที่</t>
  </si>
  <si>
    <t>ทางเชื่อม</t>
  </si>
  <si>
    <t>บุรีรัมย์</t>
  </si>
  <si>
    <t>สุรินทร์</t>
  </si>
  <si>
    <t>หน้าที่ 1/12</t>
  </si>
  <si>
    <t>ตาราง  Factor  F  งานก่อสร้างทาง</t>
  </si>
  <si>
    <t>เงินล่วงหน้าจ่าย</t>
  </si>
  <si>
    <t>%</t>
  </si>
  <si>
    <t>ดอกเบี้ยเงินกู้</t>
  </si>
  <si>
    <t>% ต่อปี</t>
  </si>
  <si>
    <t>เงินประกันผลงานหัก</t>
  </si>
  <si>
    <t>ค่าภาษีมูลค่าเพิ่ม(VAT)</t>
  </si>
  <si>
    <t>ค่างาน</t>
  </si>
  <si>
    <t>ค่าใช้จ่ายในการดำเนินงานก่อสร้าง</t>
  </si>
  <si>
    <t>ภาษีมูลค่าเพิ่ม</t>
  </si>
  <si>
    <t>(ทุน)</t>
  </si>
  <si>
    <t>ในรูป</t>
  </si>
  <si>
    <t>VAT</t>
  </si>
  <si>
    <t>ล้านบาท</t>
  </si>
  <si>
    <t>อำนวยการ</t>
  </si>
  <si>
    <t>ดอกเบี้ย</t>
  </si>
  <si>
    <t>กำไร</t>
  </si>
  <si>
    <t>ค่าใช้จ่าย</t>
  </si>
  <si>
    <t>&lt;</t>
  </si>
  <si>
    <t>&gt;</t>
  </si>
  <si>
    <t>... ต้นทุนปูนทรายผสมยาแนวท่อ(ซิเมนต์ 420 กก. ทราย 1.44 ลบ.ม.)</t>
  </si>
  <si>
    <t xml:space="preserve"> - ค่าขุดดิน</t>
  </si>
  <si>
    <t xml:space="preserve"> - ค่าวางและกลบกลับ</t>
  </si>
  <si>
    <t>จำนวน/เที่ยว</t>
  </si>
  <si>
    <t>ค่าวาง</t>
  </si>
  <si>
    <t>8.1 งานชั้นพื้นทางหินคลุก</t>
  </si>
  <si>
    <t xml:space="preserve"> - งานดินตัด</t>
  </si>
  <si>
    <t>(กว้าง 0.10 ม.)</t>
  </si>
  <si>
    <t>8.2 งานพื้นทางลูกรัง (กรณีมีการผสมกับวัสดุซีเมนต์)</t>
  </si>
  <si>
    <t>AC ในสายทาง</t>
  </si>
  <si>
    <t>ไม้อัดยาง หนา 4 มม.</t>
  </si>
  <si>
    <t>ไม้เคร่ารัดแบบ (คิด 30 % )</t>
  </si>
  <si>
    <t>ไม้กระบาก (คิด 30 % )</t>
  </si>
  <si>
    <t>ไม้อัดยางหนา 4 มม. (คิด 30% )</t>
  </si>
  <si>
    <t>ไม้แบบ (คิด 30 % )</t>
  </si>
  <si>
    <t>คำนวณหาปริมาณงานแต่ละลักษณะงาน คูณด้วยค่างานต่อหน่วย เมื่อรวมค่างานแต่ละลัษณะงานเข้าด้วยกัน ก็จะได้ต้นทุน</t>
  </si>
  <si>
    <t>ค่างานทั้งโครงการ   แต่ในงานจ้างเหมาผู้รับจ้างจะต้องมีค่าใช้จ่าย ด้านอำนวยการทั้งในสำนักงานใหญ่  และสำนักงานสนาม</t>
  </si>
  <si>
    <t>(หลวม)</t>
  </si>
  <si>
    <t>นอกจากนี้  ยังมีค่าใช้จ่ายด้านดอกเบี้ย ค่าความเสี่ยงต่อความเสียหายจากภัยธรรมชาติหรืออุบัติภัย และภาษีต่างๆ ที่ต้องจ่าย</t>
  </si>
  <si>
    <t>ให้แก่รัฐจากเงินที่ได้จากการก่อสร้างนี้</t>
  </si>
  <si>
    <t>สภาพภูมิอากาศของภาคต่างๆ ของประเทศ มีผลกระทบต่อค่าใช้จ่ายต่างๆ ดังกล่าวข้างต้น ในพื้นที่ที่มีฝนตกชุก หรือมี</t>
  </si>
  <si>
    <t>ช่วงเวลาฤดูฝนยาวนานกว่าภาคอื่นๆ จะมีขั่วโมงการทำงานก่อสร้างต่อปีน้อยกว่าพื้นที่แล้งกว่ามีผลทำให้ค่าอำนวยการต่างๆ</t>
  </si>
  <si>
    <t>สูงขึ้นและยังกระทบถีงค่าครอบครองเครื่องจักร  โดยเฉพาะค่าเสื่อมราคาเครื่องจักรจะสูงกว่าเครื่องจักรที่ทำงานในพื้นที่ที่แล้ง</t>
  </si>
  <si>
    <t>กว่า</t>
  </si>
  <si>
    <r>
      <t xml:space="preserve">          ค่าใช้จ่ายในการดำเนินโครงการก่อสร้าง</t>
    </r>
    <r>
      <rPr>
        <sz val="14"/>
        <rFont val="Cordia New"/>
        <family val="2"/>
      </rPr>
      <t xml:space="preserve">  ประกอบด้วย</t>
    </r>
  </si>
  <si>
    <t>ค่าอำนวยการ</t>
  </si>
  <si>
    <t>1. ค่าอำนวยการ</t>
  </si>
  <si>
    <t>กม.   ผิวจราจรกว้าง</t>
  </si>
  <si>
    <t>ค่าใช้จ่ายในขั้นตอนการทำสัญญา</t>
  </si>
  <si>
    <t>1.1.1  ค่าธรรมเนียมหนังสือค้ำประกันสัญญา(Performance Bond)</t>
  </si>
  <si>
    <t>1.1.2  ค่าธรรมเนียมหนังสือค้ำประกันผลงานก่อสร้าง  2  ปี</t>
  </si>
  <si>
    <t>1.1.3  ค่าอากรแสตมป์ติดสัญญา</t>
  </si>
  <si>
    <t>1.1.4  ค่าเงินสมทบกองทุนทดแทนและกองทุนประกันสังคม</t>
  </si>
  <si>
    <t>ค่าใช้จ่ายสำนักงานสนาม ที่พักเจ้าหน้าที่และยานพาหนะ</t>
  </si>
  <si>
    <t>ค่าใช้จ่ายบุคคลากรและค่าใช้จ่ายสำนักงานใหญ่</t>
  </si>
  <si>
    <t>ค่าธรรมเนียมประกันภัยโครงการ</t>
  </si>
  <si>
    <t xml:space="preserve">     คำนวณจากอัตราดอกเบี้ยเงินกู้ขั้นต่ำ ( MLR ) ของธนาคารกรุงไทย จำกัด ( มหาชน )  ซึ่งสำนักงานปลัดสำนักนายก</t>
  </si>
  <si>
    <t>รัฐมนตรี จะเป็นผู้แจ้งเวียนอัตราดอกเบี้ดังกล่าวให้หน่วยราชการทราบ</t>
  </si>
  <si>
    <t xml:space="preserve">     เนื่องจาก  การดำเนินการก่อสร้างต้องใช้วงเงินลงทุนสูงมาก  บางครั้งจำเป็นต้องกู้ยืมจากสถาบันการเงิน   เพื่อมาใช้</t>
  </si>
  <si>
    <t>หมุนเวียนในงานก่อสร้าง  แม้ว่าทางราชการจะมีการจ่ายเงินล่วงหน้าให้แก่ผู้รับจ้าง  เพื่อใช้หมุนเวียนในการเตรียมงานก่อสร้าง</t>
  </si>
  <si>
    <t>จำนวนร้อยละ 10  ของค่างานทั้งโครงการแล้วก็ตาม  เงินจำนวนนี้จะพอเพียงสำหรับการเตรียมการเบื้องต้น  และจัดหาวัสดุมา</t>
  </si>
  <si>
    <t>ใช้ก่อสร้างได้เพียงบางส่วนเท่านั้น นอกจากนี้เงินจ่ายล่วงหน้าจะถูกหักคืนทุกงวดที่ทางราชการจ่ายค่างาน และยังมีการหักเงิน</t>
  </si>
  <si>
    <t>ประกันผลงานจากค่างานที่จ่ายให้อีกด้วย  ดังนั้นจึงยังคงต้องมีการกู้ยืมเงินมาใช้หมุนเวียน</t>
  </si>
  <si>
    <t xml:space="preserve">    โดยทั่วไปดอกเบี้ยจะคิดให้สำหรับระยะเวลาประมาณ 3 เดือนหรือ 1/4 ของปี  เพราะในการทำงานผู้รับจ้างต้องจัดหา</t>
  </si>
  <si>
    <t>วัสดุล่วงหน้าและภายหลังส่งมอบงานแต่ละงวดแล้วยังต้องรอขั้นตอนการเบิกจ่ายค่างานอีก</t>
  </si>
  <si>
    <t>หน้าที่ 5</t>
  </si>
  <si>
    <t>รวมค่าใช้จ่ายทั้งหมด</t>
  </si>
  <si>
    <t>รถสิบล้อลากพ่วง</t>
  </si>
  <si>
    <t>ถึง  กม.</t>
  </si>
  <si>
    <t>ตารางแสดงขนาดต่าง ๆ ของกำแพง คสล. กันน้ำเซาะที่ปลายท่อระบายน้ำ</t>
  </si>
  <si>
    <t>HEAD  WALL  ต่อสองด้าน</t>
  </si>
  <si>
    <t>คอนกรีตรองท่อ</t>
  </si>
  <si>
    <t>ลักษณะท่อ</t>
  </si>
  <si>
    <t>มุม</t>
  </si>
  <si>
    <t>ขนาดท่อ (ซม.)</t>
  </si>
  <si>
    <t>ท่อแถวเดียว</t>
  </si>
  <si>
    <t>ท่อสองแถว</t>
  </si>
  <si>
    <t>ท่อสามแถว</t>
  </si>
  <si>
    <t>ขนาดท่อ</t>
  </si>
  <si>
    <t>ปูนซีเมนต์</t>
  </si>
  <si>
    <t>T</t>
  </si>
  <si>
    <t>L</t>
  </si>
  <si>
    <t>จำนวนแถว</t>
  </si>
  <si>
    <t>ถุง</t>
  </si>
  <si>
    <t>ชนิดปากลิ้นราง</t>
  </si>
  <si>
    <t>ยาว</t>
  </si>
  <si>
    <t>ทราย</t>
  </si>
  <si>
    <t>คอนกรีตผนัง</t>
  </si>
  <si>
    <t>หิน</t>
  </si>
  <si>
    <t xml:space="preserve"> งานป้ายจราจร </t>
  </si>
  <si>
    <t xml:space="preserve">  ขุด-ขน</t>
  </si>
  <si>
    <t>ลบม. หลวม</t>
  </si>
  <si>
    <t xml:space="preserve">  บดทับ</t>
  </si>
  <si>
    <t>ลบม. แน่น</t>
  </si>
  <si>
    <t>ซม.</t>
  </si>
  <si>
    <t>รถบรรทุกสิบล้อ</t>
  </si>
  <si>
    <t>รถบรรทุกสิบล้อ-รถลากพ่วง</t>
  </si>
  <si>
    <t>&gt;=201</t>
  </si>
  <si>
    <t>1. งานถางป่าขุดตอ</t>
  </si>
  <si>
    <t>2. งานดินคันทาง</t>
  </si>
  <si>
    <t>3. งานตัด-ขึ้นรูปคันทาง</t>
  </si>
  <si>
    <t>4. งานวัสดุคัดเลือก 
ลูกรังรองพื้นทาง</t>
  </si>
  <si>
    <t>5. งานไหล่ทางลูกรัง 
ผสม-บดทับ</t>
  </si>
  <si>
    <t>6. งานพื้นทาง
(หินคลุก)</t>
  </si>
  <si>
    <t>7. งานตัดแต่ง
ขั้นบันได</t>
  </si>
  <si>
    <t>8. งานชุดรื้อคันทาง
เดิมแล้วบดทับ</t>
  </si>
  <si>
    <t>9. งานราดยาง
ไพรม์โค้ด</t>
  </si>
  <si>
    <t>10. งานราดยางแทคโค้ด</t>
  </si>
  <si>
    <t>11. งานผิวทางแบบบาง</t>
  </si>
  <si>
    <t>13. งานผิวทางแอสฟัลติกคอนกรีต</t>
  </si>
  <si>
    <t>14. งานผิวทางคอนกรีต</t>
  </si>
  <si>
    <t>20 งาน Milling</t>
  </si>
  <si>
    <t>ดำเนิน</t>
  </si>
  <si>
    <t>งาน Pavement In Place Recycling</t>
  </si>
  <si>
    <t>ขุดลึกเฉลี่ย 15 ซม.</t>
  </si>
  <si>
    <t>ขุดลึกเฉลี่ย 20 ซม.</t>
  </si>
  <si>
    <t>ขุดลึกเฉลี่ย 25 ซม.</t>
  </si>
  <si>
    <t>ขุดลึก 3 ซม.</t>
  </si>
  <si>
    <t>ขุดลึก 4 ซม.</t>
  </si>
  <si>
    <t>ขุดลึก 5 ซม.</t>
  </si>
  <si>
    <t>ขุดลึก 6 ซม.</t>
  </si>
  <si>
    <t>งาน Milling</t>
  </si>
  <si>
    <t>ขุดลึก 10 ซม.</t>
  </si>
  <si>
    <t>5. งานดินถมและทรายถม</t>
  </si>
  <si>
    <t xml:space="preserve"> 5.1 งานทรายถม (Sand Embankment)</t>
  </si>
  <si>
    <t xml:space="preserve"> - งานทรายถม</t>
  </si>
  <si>
    <t>7.1 งานรองพื้นทางลูกรัง</t>
  </si>
  <si>
    <t>อัตราส่วนผสมที่ใช้..........................</t>
  </si>
  <si>
    <t>เปอร์เซ็นต์</t>
  </si>
  <si>
    <t>ค่าวัสดุที่แหล่ง (ลูกรัง)</t>
  </si>
  <si>
    <t>ค่าวัสดุที่แหล่ง (ทราย)</t>
  </si>
  <si>
    <t>7.2.1 วัสดุลูกรัง</t>
  </si>
  <si>
    <t>7.2.2 วัสดุทราย</t>
  </si>
  <si>
    <t>7.2 งานรองพื้นทางลูกรัง (กรณีมีการผสมกับวัสดุทราย)</t>
  </si>
  <si>
    <t xml:space="preserve"> ค่าผสมวัสดุ หินคลุก</t>
  </si>
  <si>
    <t>7.3 งานรองพื้นทางลูกรัง (กรณีมีการผสมกับวัสดุซีเมนต์)</t>
  </si>
  <si>
    <t>กก./ลบ.ม.</t>
  </si>
  <si>
    <t>หน่วยน้ำหนักของวัสดุ</t>
  </si>
  <si>
    <t>... รวมค่างานต้นทุน…</t>
  </si>
  <si>
    <t>ค่าวัสดุที่แหล่งปากโม่ (รวมค่าตัก)</t>
  </si>
  <si>
    <t xml:space="preserve">9. งานลาดยาง </t>
  </si>
  <si>
    <t xml:space="preserve">ค่ายาง CRS-2 (0.3 x Y /1000) </t>
  </si>
  <si>
    <t xml:space="preserve"> หมายเหตุ  กรณีค่างานอยู่ระหว่างช่วงของค่างานต้นทุนที่กำหนด ให้เทียบอัตราส่วนเพื่อหาค่า FACTOR F</t>
  </si>
  <si>
    <t>หน้าที่  17</t>
  </si>
  <si>
    <t>2. ดอกเบี้ย</t>
  </si>
  <si>
    <t xml:space="preserve">  % ต่อปี</t>
  </si>
  <si>
    <t>เงินจ่ายล่วงหน้า</t>
  </si>
  <si>
    <t xml:space="preserve">  % ของค่างาน</t>
  </si>
  <si>
    <t>ระยะเวลาการเบิกจ่าย</t>
  </si>
  <si>
    <t xml:space="preserve">  เดือน</t>
  </si>
  <si>
    <t>หักเงินประกันผลงาน</t>
  </si>
  <si>
    <t>สูตร</t>
  </si>
  <si>
    <t>I    =   i/12*[r/100+(T+(D-1)*a/100-(a+r)/100*(T+1)/2-(D-1)]</t>
  </si>
  <si>
    <t>ค่างาน(ทุน)</t>
  </si>
  <si>
    <t>ระยะเวลา</t>
  </si>
  <si>
    <t>เงินจ่าย</t>
  </si>
  <si>
    <t>หักเงินประกัน</t>
  </si>
  <si>
    <t>อัตรา</t>
  </si>
  <si>
    <t>จำนวนดอกเบี้ยต่อ</t>
  </si>
  <si>
    <t>ล่วงหน้า</t>
  </si>
  <si>
    <t>ผลงาน</t>
  </si>
  <si>
    <t>ค่างาน ( ทุน )</t>
  </si>
  <si>
    <t>เดือน</t>
  </si>
  <si>
    <t xml:space="preserve"> เมื่อ</t>
  </si>
  <si>
    <t>I  =</t>
  </si>
  <si>
    <t>ดอกเบี้ยรวมทั้งโครงการ(%)</t>
  </si>
  <si>
    <t>T  =</t>
  </si>
  <si>
    <t>ระยะเวลา(เดือน)</t>
  </si>
  <si>
    <t>D  =</t>
  </si>
  <si>
    <t>ช่วงเวลาการรับเงิน(เดือน)</t>
  </si>
  <si>
    <t>a  =</t>
  </si>
  <si>
    <t>อัตราเงินล่วงหน้าจ่าย(%)</t>
  </si>
  <si>
    <t>i  =</t>
  </si>
  <si>
    <t>อัตราดอกเบี้ยเงินกู้ต่อปี(%)</t>
  </si>
  <si>
    <t>r  =</t>
  </si>
  <si>
    <t>อัตราเงินประกันผลงาน(%)</t>
  </si>
  <si>
    <t>หน้าที่  18</t>
  </si>
  <si>
    <t>ความหนา</t>
  </si>
  <si>
    <t>บาท / ตร.ม.</t>
  </si>
  <si>
    <t xml:space="preserve"> ตร.ม./ตัน )</t>
  </si>
  <si>
    <t>ยาง AC 60-70</t>
  </si>
  <si>
    <t>3. กำไร</t>
  </si>
  <si>
    <t>ดอกเบี้ยเงินฝากประจำ 12 เดือน สำหรับนิติบุคคล</t>
  </si>
  <si>
    <t xml:space="preserve">  %(ยกเลิก)</t>
  </si>
  <si>
    <t>ระยะเวลาการเบิกจ่ายค่างาน</t>
  </si>
  <si>
    <t xml:space="preserve">  เดือน(ยกเลิก)</t>
  </si>
  <si>
    <t>กำไรปกติ</t>
  </si>
  <si>
    <t>กำไรเชิงธุรกิจ</t>
  </si>
  <si>
    <t>รวมกำไร</t>
  </si>
  <si>
    <t>หน้าที่  6</t>
  </si>
  <si>
    <t>หน้าที่  9</t>
  </si>
  <si>
    <t>หน้าที่  12</t>
  </si>
  <si>
    <t>หน้าที่  15</t>
  </si>
  <si>
    <t xml:space="preserve">      1. ค่าอำนวยการ</t>
  </si>
  <si>
    <t>1.3 ค่าใช้จ่ายเกี่ยวกับบุคคลากรและสำนักงานใหญ่</t>
  </si>
  <si>
    <t xml:space="preserve">       1.1 ค่าใช้จ่ายขั้นตอนในการทำสัญญา</t>
  </si>
  <si>
    <t>1.2 ค่าใช้จ่ายเกี่ยวกับสำนักงานสนาม,ที่พักเจ้าหน้าที่และยานพาหนะ</t>
  </si>
  <si>
    <t>1.3.1 กรณีค่างานลงทุนไม่เกิน</t>
  </si>
  <si>
    <t>1.4 ค่าใช้จ่ายในการประกันภัยโครงการ</t>
  </si>
  <si>
    <t xml:space="preserve">         1.1.1 ค่าธรรมเนียมธนาคารหนังสือค้ำประกันสัญญา</t>
  </si>
  <si>
    <t>1.2.1 กรณีค่างานลงทุนไม่เกิน</t>
  </si>
  <si>
    <t>ประเภท</t>
  </si>
  <si>
    <t>อัตราค่าเช่า/เงินเดือน</t>
  </si>
  <si>
    <t>ค่าเช่า/เงินเดือน</t>
  </si>
  <si>
    <t>ประกอบด้วย</t>
  </si>
  <si>
    <t xml:space="preserve">    วงเงินค้ำประกัน</t>
  </si>
  <si>
    <t>การคำนวณ  Box Culvert  ขนาด  3 - 2.10 X 2.10  ม.</t>
  </si>
  <si>
    <t>X 2.10</t>
  </si>
  <si>
    <t>h1 O  12 มม.</t>
  </si>
  <si>
    <t>Box</t>
  </si>
  <si>
    <t>a</t>
  </si>
  <si>
    <t>a1</t>
  </si>
  <si>
    <t>b</t>
  </si>
  <si>
    <t>b1</t>
  </si>
  <si>
    <t>b2</t>
  </si>
  <si>
    <t>v1</t>
  </si>
  <si>
    <t>h</t>
  </si>
  <si>
    <t>h1</t>
  </si>
  <si>
    <t>เหล็กเดือย</t>
  </si>
  <si>
    <t>เหล็กคาน</t>
  </si>
  <si>
    <t>ความยาว Box</t>
  </si>
  <si>
    <t>ใช้เหล็กยาว</t>
  </si>
  <si>
    <t>DBO16 mm.</t>
  </si>
  <si>
    <t>DBO12 mm.</t>
  </si>
  <si>
    <t>RBO 20 mm.</t>
  </si>
  <si>
    <t>RBO 9 mm.</t>
  </si>
  <si>
    <t>RBO 6 mm.</t>
  </si>
  <si>
    <r>
      <t>ม.</t>
    </r>
    <r>
      <rPr>
        <vertAlign val="superscript"/>
        <sz val="14"/>
        <rFont val="Cordia New"/>
        <family val="2"/>
        <charset val="222"/>
      </rPr>
      <t>3</t>
    </r>
  </si>
  <si>
    <r>
      <t>ม.</t>
    </r>
    <r>
      <rPr>
        <vertAlign val="superscript"/>
        <sz val="14"/>
        <rFont val="Cordia New"/>
        <family val="2"/>
        <charset val="222"/>
      </rPr>
      <t>2</t>
    </r>
  </si>
  <si>
    <t>เหล็กที่แปรผันตามความยาว</t>
  </si>
  <si>
    <t>เหล็กเดือย DB O 20 มม.</t>
  </si>
  <si>
    <t>2.10 X 2.10</t>
  </si>
  <si>
    <t>a   O 16 มม.</t>
  </si>
  <si>
    <t>ความยาว/เส้น</t>
  </si>
  <si>
    <t>คานยึดบน,ล่าง RB O 9  มม.</t>
  </si>
  <si>
    <t>a1  O 12 มม.</t>
  </si>
  <si>
    <t>เหล็กปลอก RB O  6  มม.</t>
  </si>
  <si>
    <t>V1</t>
  </si>
  <si>
    <t>V2</t>
  </si>
  <si>
    <t>V3</t>
  </si>
  <si>
    <t>H1</t>
  </si>
  <si>
    <t>H2</t>
  </si>
  <si>
    <t>เหล็กที่ไม่แปรผันตามความยาว</t>
  </si>
  <si>
    <t>b  O  12 มม.</t>
  </si>
  <si>
    <t>V1  O  9 มม.</t>
  </si>
  <si>
    <t>b1  O  12 มม.</t>
  </si>
  <si>
    <t>V2  O  12 มม.</t>
  </si>
  <si>
    <t>สรุปปริมาณวัสดุ</t>
  </si>
  <si>
    <t>b2  O  12 มม.</t>
  </si>
  <si>
    <t>V3  O  12 มม.</t>
  </si>
  <si>
    <t>ใช้</t>
  </si>
  <si>
    <r>
      <t>ม.</t>
    </r>
    <r>
      <rPr>
        <b/>
        <vertAlign val="superscript"/>
        <sz val="14"/>
        <rFont val="Cordia New"/>
        <family val="2"/>
        <charset val="222"/>
      </rPr>
      <t>3</t>
    </r>
  </si>
  <si>
    <t>v1  O  12 มม.</t>
  </si>
  <si>
    <t>H1  O  12 มม.</t>
  </si>
  <si>
    <r>
      <t>ม.</t>
    </r>
    <r>
      <rPr>
        <b/>
        <vertAlign val="superscript"/>
        <sz val="14"/>
        <rFont val="Cordia New"/>
        <family val="2"/>
        <charset val="222"/>
      </rPr>
      <t>2</t>
    </r>
  </si>
  <si>
    <t>ไม้แบบ  50%</t>
  </si>
  <si>
    <t>เคร่ารัดแบบ 30%</t>
  </si>
  <si>
    <t>h  O  12 มม.</t>
  </si>
  <si>
    <t>แหล่ง</t>
  </si>
  <si>
    <t>ระยะ</t>
  </si>
  <si>
    <t>(ระยะทางรวม / 4 )</t>
  </si>
  <si>
    <t>H2  O  12 มม.</t>
  </si>
  <si>
    <t>เผื่อ   10  %</t>
  </si>
  <si>
    <t>ทำเป็น กก.</t>
  </si>
  <si>
    <t>ใช้เหล็ก</t>
  </si>
  <si>
    <t>เหล็กปลอก  O  6  มม.</t>
  </si>
  <si>
    <t>DBO 20 mm.</t>
  </si>
  <si>
    <t>ระยะเวลาดำเนินการ</t>
  </si>
  <si>
    <t>วัน</t>
  </si>
  <si>
    <t>คิดเป็น %</t>
  </si>
  <si>
    <t>งวดที่ 1  ระยะเวลา</t>
  </si>
  <si>
    <t>งวดที่ 2  ระยะเวลา</t>
  </si>
  <si>
    <t>งวดที่ 3  ระยะเวลา</t>
  </si>
  <si>
    <t>งวดที่ 4  ระยะเวลา</t>
  </si>
  <si>
    <t>งวดที่ 5  ระยะเวลา</t>
  </si>
  <si>
    <t>ปริมาณงาน</t>
  </si>
  <si>
    <t>งานที่ปรับราคาได้  ประเภทงานดิน</t>
  </si>
  <si>
    <t>งานที่ปรับราคาไม่ได้  ประเภทงานจราจรสงเคราะห์</t>
  </si>
  <si>
    <t>กำหนดแล้วเสร็จภายใน</t>
  </si>
  <si>
    <t>จำนวนงวดงาน</t>
  </si>
  <si>
    <t>งวด</t>
  </si>
  <si>
    <t>งวดที่ 1</t>
  </si>
  <si>
    <t xml:space="preserve">         (  ซึ่งจะแล้วเสร็จภายใน</t>
  </si>
  <si>
    <t>วัน  ถัดจากวันลงนามในสัญญา )</t>
  </si>
  <si>
    <t>งวดที่ 2</t>
  </si>
  <si>
    <t>งวดที่ 3</t>
  </si>
  <si>
    <t>อุปกรณ์</t>
  </si>
  <si>
    <t>ท่อยาง ขนาด 50 x 250 มม.</t>
  </si>
  <si>
    <t>Neoprene Bearing Pad</t>
  </si>
  <si>
    <t xml:space="preserve"> - ขนาด 200 มม.</t>
  </si>
  <si>
    <t xml:space="preserve"> - ขนาด 300 มม.</t>
  </si>
  <si>
    <t>ระยะทาง</t>
  </si>
  <si>
    <t>กม.</t>
  </si>
  <si>
    <t>ราคาน้ำมัน</t>
  </si>
  <si>
    <t>บาท/ลิตร</t>
  </si>
  <si>
    <t>1. งานกรุยทาง</t>
  </si>
  <si>
    <t>ปกติ</t>
  </si>
  <si>
    <t>ฝนชุก</t>
  </si>
  <si>
    <t>ค่าดำเนินการและค่าเสื่อมราคา</t>
  </si>
  <si>
    <t>ค่างาน ตร.ม. ละ</t>
  </si>
  <si>
    <t>(ระยะทางขนส่งใช้ L/4)</t>
  </si>
  <si>
    <t>บาท/โครงการ</t>
  </si>
  <si>
    <t xml:space="preserve"> - ค่าขนส่งอุปกรณ์ 80 ตัน       ระยะทางขนส่ง (ไป - กลับ)    คิด</t>
  </si>
  <si>
    <t>ตัวแปร</t>
  </si>
  <si>
    <t>บน Prime</t>
  </si>
  <si>
    <t>บน Tack</t>
  </si>
  <si>
    <t>ค่าดำเนิน+ค่าเสื่อม</t>
  </si>
  <si>
    <t>ชนิดมวลรวม</t>
  </si>
  <si>
    <t>ชั้นรองผิวทาง</t>
  </si>
  <si>
    <t>ชั้นผิวทาง</t>
  </si>
  <si>
    <t>Asphaltic</t>
  </si>
  <si>
    <t>Boundbasc</t>
  </si>
  <si>
    <t>หินปูน</t>
  </si>
  <si>
    <t>หินแกรนิต</t>
  </si>
  <si>
    <t>หินบะซอลต์</t>
  </si>
  <si>
    <t>-</t>
  </si>
  <si>
    <t>ปริมาณแอสฟัลท์ซีเมนต์เป็นเปอร์เซ็นโดย นน.ของวัสดุมวลรวม</t>
  </si>
  <si>
    <t>ลำดับ</t>
  </si>
  <si>
    <t>พื้นที่ ตร.ม./ตัน</t>
  </si>
  <si>
    <t>คิดเป็น</t>
  </si>
  <si>
    <t>ตร.ม./ตัน</t>
  </si>
  <si>
    <t xml:space="preserve">...ตัวแปรการปูลาดแลบดทับตามความหนา(บน Prime Coat) </t>
  </si>
  <si>
    <t>...ตัวแปรการปูลาดแลบดทับตามความหนา(บน Tack Coat)</t>
  </si>
  <si>
    <t>บาท / ตัน</t>
  </si>
  <si>
    <t>โชคชัย , บุรีรัมย์ , สุรินทร์</t>
  </si>
  <si>
    <t>สระบุรี</t>
  </si>
  <si>
    <t xml:space="preserve"> -แหล่งหินผิวที่ใช้</t>
  </si>
  <si>
    <t>(กรอกตัวเลขแหล่งหินผิว)</t>
  </si>
  <si>
    <t>12.  งานผิวทางแอสฟัลท์ติคคอนกรีต ( Plant Mobile )</t>
  </si>
  <si>
    <t>13. งาน  Pavement In-Place Recycling</t>
  </si>
  <si>
    <t>14. งานขุดซ่อมผิวทางเดิม  (Deep  Patch)</t>
  </si>
  <si>
    <t>15. งานปะซ่อมผิวทางเดิม  (Skin  Patch)</t>
  </si>
  <si>
    <t>16. งานคอนกรีตเสริมเหล็ก</t>
  </si>
  <si>
    <t xml:space="preserve">17. งานวางท่อ คสล. </t>
  </si>
  <si>
    <t>2. งานปรับเกลี่ยแต่งและบดอัดคันทางเดิม</t>
  </si>
  <si>
    <t>... รวม    (..58+59+60..)</t>
  </si>
  <si>
    <t>... รวม..(..72+73..)</t>
  </si>
  <si>
    <t>อัตราส่วนการยุบตัวเมื่อบดทับ (…74...) x 1.5</t>
  </si>
  <si>
    <t>... รวมค่างานต้นทุน (..75+76+77..)</t>
  </si>
  <si>
    <t>(หลวม)      (74)</t>
  </si>
  <si>
    <t>อัตราส่วนการยุบตัวเมื่อบดทับ (..77..) x 1.6</t>
  </si>
  <si>
    <t>... รวม..(..74+75+76..)</t>
  </si>
  <si>
    <t>... รวมค่างานต้นทุน…(..78+81+82+83+84+85...)</t>
  </si>
  <si>
    <t>... รวมค่างานต้นทุน  (..86+87..)</t>
  </si>
  <si>
    <t>... รวมค่างานต้นทุน  (..88+89..)</t>
  </si>
  <si>
    <t>... รวมค่างานต้นทุน   (..90+91..)</t>
  </si>
  <si>
    <t>ค่าดำเนินการ+ค่าเสื่อมราคา (บ่มวัสดุ)</t>
  </si>
  <si>
    <t xml:space="preserve">ค่าดำเนินการ+ค่าเสื่อมราคา (BLEND) </t>
  </si>
  <si>
    <t xml:space="preserve">ค่าดำเนินการ+ค่าเสื่อมราคา (บดทับ) </t>
  </si>
  <si>
    <t>ค่าดำเนินการ+ค่าเสื่อมราคา</t>
  </si>
  <si>
    <t>ค่างานต้นทุน CHIP SEAL = ค่าดำเนินการ+ค่าเสื่อมราคา+ค่าหิน+ค่ายาง+ค่าขนส่ง</t>
  </si>
  <si>
    <t>ค่างานต้นทุน FOG SPRAY = ค่าดำเนินการ+ค่าเสื่อมราคา+ค่ายาง</t>
  </si>
  <si>
    <t>ค่างานต้นทุน SLURRY SEAL = ค่าดำเนินการ+ค่าเสื่อมราคา+ค่าหิน+ค่ายาง+ค่าขนส่ง</t>
  </si>
  <si>
    <t>บนวัสดุผสม</t>
  </si>
  <si>
    <t xml:space="preserve"> - ป้ายจราจรแบบ ต64,ต67</t>
  </si>
  <si>
    <t xml:space="preserve"> - ป้ายจราจรแบบ ต69</t>
  </si>
  <si>
    <t xml:space="preserve"> - ป้ายจราจรแบบ ต74</t>
  </si>
  <si>
    <t>1 แผ่นป้ายต่อชุด</t>
  </si>
  <si>
    <t>2 แผ่นป้ายต่อชุด</t>
  </si>
  <si>
    <t>GUARD RAIL พร้อมเสา (Class 2 type 1) คิดที่ความยาว 64 ม.</t>
  </si>
  <si>
    <t>GUARD RAIL พร้อมเสา (Class 2 type 1) ติดตั้งคอสะพาน 32 ม. (ข้างละ 16  ม.)</t>
  </si>
  <si>
    <t xml:space="preserve"> - ป้ายจราจรแบบ น1</t>
  </si>
  <si>
    <t xml:space="preserve"> - ป้ายจราจรแบบ น2</t>
  </si>
  <si>
    <t xml:space="preserve"> - ป้ายจราจรแบบ น3</t>
  </si>
  <si>
    <t xml:space="preserve"> - ป้ายจราจรแบบ น4</t>
  </si>
  <si>
    <t xml:space="preserve"> - ป้ายจราจรแบบ น5</t>
  </si>
  <si>
    <t xml:space="preserve"> - งานหินคลุกปรับระดับ</t>
  </si>
  <si>
    <t>หลักนำโค้ง (ปรับปรุง)</t>
  </si>
  <si>
    <t>ปุ่มสะท้อนแสง ( 2 หน้า )</t>
  </si>
  <si>
    <t>คอนกรีตโครงสร้าง</t>
  </si>
  <si>
    <t>ป้ายจราจรแบบ น1</t>
  </si>
  <si>
    <t>Rumble Strips</t>
  </si>
  <si>
    <t>ป้ายจราจรแบบ 2-น2</t>
  </si>
  <si>
    <t>11. งานไหล่ทาง</t>
  </si>
  <si>
    <t>11.1 ใช้อัตราเดียวกับงานผิวจราจร</t>
  </si>
  <si>
    <t>จังหวัด</t>
  </si>
  <si>
    <t>ตำบล</t>
  </si>
  <si>
    <t>บาท/ท่อน</t>
  </si>
  <si>
    <t>ลบ.ม.</t>
  </si>
  <si>
    <t xml:space="preserve"> - ค่าคอนกรีตหยาบ</t>
  </si>
  <si>
    <t>ราคาต่อเมตร</t>
  </si>
  <si>
    <t xml:space="preserve">    อัตรากำไรกำหนดโดยใช้อัตรากำไรทางธุรกิจ ( Financial  Profit ) คือกำไรเชิงธุรกิจ ( Excess Profit ) หมายถึงส่วนที่</t>
  </si>
  <si>
    <t>สูงกว่าอัตราดอกเบี้ยเงินฝากประจำ  ฃึ่งจะต้องมีค่าเพียงพอที่จะดึงดูดผู้ลงทุนให้สนใจมาลงทุน</t>
  </si>
  <si>
    <t>4. ภาษี</t>
  </si>
  <si>
    <t xml:space="preserve">    ภาษีที่ผู้รับจ้างจะต้องจ่ายคือ ภาษีมูลค่าเพิ่ม ( VAT ) ในอัตราปัจจุบันโดยหัก ณ ที่จ่าย </t>
  </si>
  <si>
    <t xml:space="preserve">      1. ค่าอำนวยการ (งานสะพานและท่อเหลี่ยม)</t>
  </si>
  <si>
    <t>1.3 ค่าใช้จ่ายเกี่ยวกับบุคคลากรและสำนักงานใหญ่ (งานสะพานและท่อเหลี่ยม)</t>
  </si>
  <si>
    <t>1.2 ค่าใช้จ่ายเกี่ยวกับสำนักงานสนาม,ที่พักเจ้าหน้าที่และยานพาหนะ (งานสะพานและท่อเหลี่ยม)</t>
  </si>
  <si>
    <t xml:space="preserve">       1.1.1 ค่าธรรมเนียมธนาคารหนังสือค้ำประกันสัญญา</t>
  </si>
  <si>
    <t xml:space="preserve">  ระยะทาง</t>
  </si>
  <si>
    <t xml:space="preserve">  เมตร</t>
  </si>
  <si>
    <t xml:space="preserve"> ค่าบ่มผิวทางคอนกรีต</t>
  </si>
  <si>
    <t>D</t>
  </si>
  <si>
    <t>ไม้แบบ</t>
  </si>
  <si>
    <t>ตะปู</t>
  </si>
  <si>
    <t>กก.</t>
  </si>
  <si>
    <t>ลิตร</t>
  </si>
  <si>
    <t>ม.</t>
  </si>
  <si>
    <t>ตร.ม.</t>
  </si>
  <si>
    <t>แผ่น</t>
  </si>
  <si>
    <t>ลวดผูกเหล็ก</t>
  </si>
  <si>
    <t>ปูนชีเมนต์</t>
  </si>
  <si>
    <t>ทรายหยาบ</t>
  </si>
  <si>
    <t>หมายเหตุ</t>
  </si>
  <si>
    <t>ข้อมูลราคาวัสดุ</t>
  </si>
  <si>
    <t>ลูกรัง</t>
  </si>
  <si>
    <t>บาท/ลบ.ม.</t>
  </si>
  <si>
    <t>ดินถม</t>
  </si>
  <si>
    <t>ค่าวัสดุที่แหล่ง</t>
  </si>
  <si>
    <t>=</t>
  </si>
  <si>
    <t>ทรายถม</t>
  </si>
  <si>
    <t>หินฝุ่น</t>
  </si>
  <si>
    <t>หินคลุก</t>
  </si>
  <si>
    <t>(ภายในโครงการ)</t>
  </si>
  <si>
    <t>บาท / ลบ.ม.</t>
  </si>
  <si>
    <t>ยาง MC -70</t>
  </si>
  <si>
    <t xml:space="preserve">  - เงินล่วงหน้าจ่าย  </t>
  </si>
  <si>
    <t xml:space="preserve">  - ดอกเบี้ยเงินกู้    </t>
  </si>
  <si>
    <t>ต63,ต66</t>
  </si>
  <si>
    <t>ต64,ต67</t>
  </si>
  <si>
    <t xml:space="preserve">  รวมเป็นค่าก่อสร้าง</t>
  </si>
  <si>
    <t>สรุป</t>
  </si>
  <si>
    <t xml:space="preserve">  คิดเป็นเงินค่าก่อสร้างประมาณ</t>
  </si>
  <si>
    <t xml:space="preserve">ราคาวัสดุ - ค่าแรง / หน่วย </t>
  </si>
  <si>
    <t>บัญชีรายการก่อสร้าง</t>
  </si>
  <si>
    <t>ข้อมูลประมาณราคา</t>
  </si>
  <si>
    <t>บาท</t>
  </si>
  <si>
    <t>คณะกรรมการกำหนดราคากลางได้ตรวจสอบเเล้ว</t>
  </si>
  <si>
    <t>ทรายรองพื้นและถมข้าง</t>
  </si>
  <si>
    <t>เหล็กเส้นกลม  RB  9  มม.</t>
  </si>
  <si>
    <t>ปากช่อง</t>
  </si>
  <si>
    <t>ราคาค่างานต้นทุนป้ายจราจร</t>
  </si>
  <si>
    <t>แบบป้ายจราจร</t>
  </si>
  <si>
    <t>หนา</t>
  </si>
  <si>
    <t>เหล็กปลอก</t>
  </si>
  <si>
    <t>บาท/เดือน</t>
  </si>
  <si>
    <r>
      <t xml:space="preserve">       %</t>
    </r>
    <r>
      <rPr>
        <sz val="14"/>
        <rFont val="Cordia New"/>
        <family val="2"/>
      </rPr>
      <t xml:space="preserve"> ของค่างาน</t>
    </r>
  </si>
  <si>
    <t>บ่อพัก คสล.</t>
  </si>
  <si>
    <t>เฉลี่ยต่อเมตร</t>
  </si>
  <si>
    <t>เฉลี่ยราคาต่อ 1 บ่อ</t>
  </si>
  <si>
    <t>เหล็กเส้นกลม  DB  12  มม.</t>
  </si>
  <si>
    <t>เหล็กเส้นกลม  DB  16  มม.</t>
  </si>
  <si>
    <t>เหล็กเส้นกลม  DB  20  มม.</t>
  </si>
  <si>
    <t>เหล็ก L  50 * 50 * 4  มม.</t>
  </si>
  <si>
    <t>นายช่างโยธา  6</t>
  </si>
  <si>
    <t xml:space="preserve">ประมาณราคางานก่อสร้างบ่อพักน้ำ  คสล.  ขนาดกว้าง  1.10 * 1.10   เมตร  </t>
  </si>
  <si>
    <t>บ่อ</t>
  </si>
  <si>
    <t>เหล็กแผ่นขนาด 0.05*0.80 ม.* 5 มม.</t>
  </si>
  <si>
    <t>เหล็กแผ่นขนาด 0.10*0.80 ม.*10 มม.</t>
  </si>
  <si>
    <t>ระยะทางรวม</t>
  </si>
  <si>
    <t xml:space="preserve">น้ำมันโซล่าเฉลี่ย </t>
  </si>
  <si>
    <t>ระยะขนส่ง</t>
  </si>
  <si>
    <t>ค่าบรรทุก</t>
  </si>
  <si>
    <t>ต61</t>
  </si>
  <si>
    <t>ค่าใช้จ่ายเอกสารด้านธุรการ</t>
  </si>
  <si>
    <t>ค่าน้ำมันเชื้อเพลิง</t>
  </si>
  <si>
    <t>ค่าใช้จ่ายสำนักงานใหญ่ ( ดูแล 4 โครงการ )</t>
  </si>
  <si>
    <t>ค่าฃ่อมบำรุง</t>
  </si>
  <si>
    <t xml:space="preserve">    -ตัก</t>
  </si>
  <si>
    <t>เพชรบูรณ์</t>
  </si>
  <si>
    <t xml:space="preserve">  หินผุ-ขุดตัด</t>
  </si>
  <si>
    <t xml:space="preserve">     -ดันและตัก</t>
  </si>
  <si>
    <t xml:space="preserve">  หินแข็ง-เจาะระเบิด</t>
  </si>
  <si>
    <t>ลพบุรี</t>
  </si>
  <si>
    <t>ราคาหิน</t>
  </si>
  <si>
    <t>งาน Pemix  ปิดข้างราง</t>
  </si>
  <si>
    <t xml:space="preserve">  ผสม (ผสมกับวัสดุอื่นๆ)</t>
  </si>
  <si>
    <t xml:space="preserve"> - ค่าท่อ คสล. </t>
  </si>
  <si>
    <t>งานไหล่ทางลูกรัง ผสม-บดทับ</t>
  </si>
  <si>
    <t>งานพื้นทาง(หินคลุก)</t>
  </si>
  <si>
    <t xml:space="preserve">  ผสม (Blend)</t>
  </si>
  <si>
    <t>ปูน</t>
  </si>
  <si>
    <t>เผื่อ5%</t>
  </si>
  <si>
    <t>เผื่อ20%</t>
  </si>
  <si>
    <t>เผื่อ15%</t>
  </si>
  <si>
    <t xml:space="preserve"> - ค่างานต้นทุนคอนกรีต   ค.2  ( ปูนซีเมนต์ 336 กก. ทราย 0.715 ลบ. ม. หิน 0.878 ลบ. ม. )</t>
  </si>
  <si>
    <t xml:space="preserve"> - ค่างานต้นทุนคอนกรีต   ค.3  ( ปูนซีเมนต์ 367 กก. ทราย 0.686 ลบ. ม. หิน 0.846 ลบ. ม. )</t>
  </si>
  <si>
    <t>... ต้นทุนคอนกรีตหยาบ(ซิเมนต์ 252 กก. ทราย 0.624 ลบ.ม. หิน 1.000 ลบ.ม.)</t>
  </si>
  <si>
    <t>(ปกติ)          (1)</t>
  </si>
  <si>
    <t>(ปกติ)          (4)</t>
  </si>
  <si>
    <t>(หลวม)        (5)</t>
  </si>
  <si>
    <t>(ปกติ)         (6)</t>
  </si>
  <si>
    <t>(ปกติ)           (9)</t>
  </si>
  <si>
    <t>(หลวม)      (10)</t>
  </si>
  <si>
    <t>(หลวม)      (15)</t>
  </si>
  <si>
    <t>(ปกติ)        (14)</t>
  </si>
  <si>
    <t>(ปกติ)        (11)</t>
  </si>
  <si>
    <t>(หลวม)     (16)</t>
  </si>
  <si>
    <t>(หลวม)      (22)</t>
  </si>
  <si>
    <t>(หลวม)      (28)</t>
  </si>
  <si>
    <t>(หลวม)      (34)</t>
  </si>
  <si>
    <t>(หลวม)      (40)</t>
  </si>
  <si>
    <t>(หลวม)      (47)</t>
  </si>
  <si>
    <t>(หลวม)      (72)</t>
  </si>
  <si>
    <t>สรุปผลการประมาณราคาค่าก่อสร้าง</t>
  </si>
  <si>
    <t>ตัวอักษร</t>
  </si>
  <si>
    <t>งานตัดแต่งขั้นบันได</t>
  </si>
  <si>
    <t xml:space="preserve"> - ป้ายจราจร ต61</t>
  </si>
  <si>
    <t xml:space="preserve"> - ค่าขนส่งถึงหน้างาน</t>
  </si>
  <si>
    <t>งานผิวทางแบบบาง</t>
  </si>
  <si>
    <t xml:space="preserve"> ชั้นเดียว (1/2")</t>
  </si>
  <si>
    <t xml:space="preserve"> - งานชั้นรองพื้นทาง (ลูกรัง)</t>
  </si>
  <si>
    <t>ประมาณราคางานก่อสร้างรางระบายน้ำ คสล.แบบ ก -30 ฝาปิดตะแกรงเหล็ก</t>
  </si>
  <si>
    <t>คิดที่ความยาวเฉลี่ย 10 เมตร</t>
  </si>
  <si>
    <t>ขุดดินปรับระดับ</t>
  </si>
  <si>
    <t>ไม้แบบ (คิด 20 % )</t>
  </si>
  <si>
    <t>ไม้เคร่ารัดแบบ (คิด 20 % )</t>
  </si>
  <si>
    <t>น้ำแบบทาแบบ(คิด15ตร.ม./ลิตร)</t>
  </si>
  <si>
    <t>ฝาปิดตะแกรงเหล็ก</t>
  </si>
  <si>
    <t>ชิ้น</t>
  </si>
  <si>
    <t>ขนาด 1.00 x 0.40 x0.10 ม.</t>
  </si>
  <si>
    <t xml:space="preserve">รางระบายน้ำ </t>
  </si>
  <si>
    <t>5.3.1</t>
  </si>
  <si>
    <t>5.3.2</t>
  </si>
  <si>
    <t xml:space="preserve"> ชั้นเดียว (3/4")</t>
  </si>
  <si>
    <t xml:space="preserve"> สองชั้น (3/4"+3/8")</t>
  </si>
  <si>
    <t xml:space="preserve"> สองชั้น (1"+1/2")</t>
  </si>
  <si>
    <t xml:space="preserve"> ค่าขนส่งอุปกรณ์ 80 ตัน ระยะทางขนส่ง 100-300 กม.</t>
  </si>
  <si>
    <t>ค่าแรงงานทรายหยาบ</t>
  </si>
  <si>
    <t>ค่าแรงงานผูกเหล็ก</t>
  </si>
  <si>
    <t>ค่าแรงงานตีไม้แบบ</t>
  </si>
  <si>
    <t>ไม้เคร่ารัดแบบ</t>
  </si>
  <si>
    <t>ตารางสรุปค่าดำเนินการและค่าเสื่อมราคา</t>
  </si>
  <si>
    <t>ราคาน้ำมันโซล่า ที่อำเภอเมืองเฉลี่ย ลิตร ละ</t>
  </si>
  <si>
    <t>ค่าเสื่อมราคา (บาท)</t>
  </si>
  <si>
    <t xml:space="preserve"> รวมค่างาน (บาท)</t>
  </si>
  <si>
    <t xml:space="preserve">     ลักษณะงาน</t>
  </si>
  <si>
    <t xml:space="preserve">  หน่วย</t>
  </si>
  <si>
    <t>ดำเนินการ</t>
  </si>
  <si>
    <t>บาท/หน่วย</t>
  </si>
  <si>
    <t xml:space="preserve">  ปกติ</t>
  </si>
  <si>
    <t xml:space="preserve">  ฝนชุก</t>
  </si>
  <si>
    <t>งานถางป่าขุดตอ</t>
  </si>
  <si>
    <t xml:space="preserve">  ขนาดเบา</t>
  </si>
  <si>
    <t xml:space="preserve">  ตรม.</t>
  </si>
  <si>
    <t xml:space="preserve">  ขนาดกลาง</t>
  </si>
  <si>
    <t xml:space="preserve">  ขนาดหนัก</t>
  </si>
  <si>
    <t>ค่างาน Premix</t>
  </si>
  <si>
    <t>ราคาทราย</t>
  </si>
  <si>
    <t>นครราชสีมา</t>
  </si>
  <si>
    <t>ชัยภูมิ</t>
  </si>
  <si>
    <t>อ.พิมาย</t>
  </si>
  <si>
    <t>อ.ชุมพวง</t>
  </si>
  <si>
    <t>อ.สตึก</t>
  </si>
  <si>
    <t>อ.ท่าตูม</t>
  </si>
  <si>
    <t>รวมเป็นเงิน</t>
  </si>
  <si>
    <t>หลัก</t>
  </si>
  <si>
    <t>ผู้ประมาณราคา</t>
  </si>
  <si>
    <t>ตำแหน่ง</t>
  </si>
  <si>
    <t>งานตัด-ขึ้นรูปคันทาง</t>
  </si>
  <si>
    <t xml:space="preserve">  ดิน-ขุดตัด</t>
  </si>
  <si>
    <t>ลบม. ปกติ</t>
  </si>
  <si>
    <t>ตาราง Factor F งานก่อสร้างสะพานและท่อเหลี่ยม</t>
  </si>
  <si>
    <r>
      <t>หมายเหตุ</t>
    </r>
    <r>
      <rPr>
        <sz val="12"/>
        <rFont val="Cordia New"/>
        <family val="2"/>
      </rPr>
      <t xml:space="preserve">  กรณีค่างานอยู่ระหว่างช่วงของค่างานต้นทุนที่กำหนด ให้เทียบอัตราส่วนเพื่อหาค่า FACTOR F</t>
    </r>
  </si>
  <si>
    <t xml:space="preserve">          ต.ค. 2544</t>
  </si>
  <si>
    <t>หน้าที่ 2/1</t>
  </si>
  <si>
    <t>ตาราง Factor F งานก่อสร้างสะพานและท่อเหลี่ยม เงินกู้</t>
  </si>
  <si>
    <t>หน้าที่ 3</t>
  </si>
  <si>
    <t>หลักเกณฑ์การใช้ตาราง FACTOR F งานก่อสร้างสะพานและท่อเหลี่ยม</t>
  </si>
  <si>
    <t>กรณีค่างานอยู่ระหว่างช่วงของค่างานต้นทุนที่กำหนด  ให้เทียบอัตราส่วนเพื่อหา Factor F</t>
  </si>
  <si>
    <t>แผนที่สังเขปแหล่งวัสดุ</t>
  </si>
  <si>
    <t>(กม.)</t>
  </si>
  <si>
    <t>ดิน</t>
  </si>
  <si>
    <t>(ถึงโครงการ)</t>
  </si>
  <si>
    <t>ยางแอสฟัลท์</t>
  </si>
  <si>
    <t>(โรงผสม AC)</t>
  </si>
  <si>
    <t>หินคลุกโรงโม่</t>
  </si>
  <si>
    <t>หินผิว</t>
  </si>
  <si>
    <t>งานสะพานและ/หรือท่อเหลี่ยม ทางแยกต่างระดับที่อยู่ในงานทาง ให้แยกค่างานต้นทุนและใช้ Factor F งานสะพาน</t>
  </si>
  <si>
    <t>และท่อเหลี่ยม</t>
  </si>
  <si>
    <t>ตาราง  Factor  F  นี้ใช้ได้กับค่าน้ำมันเชื้อเพลิงทุกราคา   แต่จะแปรเปลี่ยนตามอัตราดอกเบี้ยเงินกู้ธนาคารพาณิชย์</t>
  </si>
  <si>
    <t>อัตราการจ่ายเงินล่วงหน้า อัตราการหักเงินประกันผลงาน และอัตราภาษีมูลค่าเพิ่ม</t>
  </si>
  <si>
    <t>อัตราดอกเบี้ยเงินกู้เป็นอัตราดอกเบี้ยขั้นต่ำในการกู้สำหรับลูกค้าชั้นดี ( MLR ) เป็นอัตราของธนาคารกรุงไทย จำกัด</t>
  </si>
  <si>
    <t>ผิวทาง  (ขนทิ้ง)</t>
  </si>
  <si>
    <t>(</t>
  </si>
  <si>
    <t>ม.)</t>
  </si>
  <si>
    <t>ราคา/หน่วย</t>
  </si>
  <si>
    <t>ราคายางที่ อ.ศรีราชา  จ.ชลบุรี</t>
  </si>
  <si>
    <t>อ.ศรีราชา  จ.ชลบุรี</t>
  </si>
  <si>
    <t xml:space="preserve">ม. </t>
  </si>
  <si>
    <t>ทรายหยาบบดอัดแน่น</t>
  </si>
  <si>
    <t>ลบ. ม. @</t>
  </si>
  <si>
    <t>ค่าแรงทรายหยาบบดอัดแน่น</t>
  </si>
  <si>
    <t>คอนกรีต ค2</t>
  </si>
  <si>
    <t>เหล็กเสริม RB 9</t>
  </si>
  <si>
    <t>กก. @</t>
  </si>
  <si>
    <t>ค่าแรงงานเหล็ก</t>
  </si>
  <si>
    <t>ยางแอสฟัลยาแนวรอยต่อ</t>
  </si>
  <si>
    <t>บาท/เมตร</t>
  </si>
  <si>
    <t>งานบ่อรับน้ำ คสล.</t>
  </si>
  <si>
    <t>ก. R.C. MANHOLE (ไม่รวมฝาปิด)</t>
  </si>
  <si>
    <t>เหล็ก RB9</t>
  </si>
  <si>
    <t>ตร.ม @</t>
  </si>
  <si>
    <t>ค่างานต้นทุนเฉพาะ</t>
  </si>
  <si>
    <t>ข. ฝาปิดบ่อ</t>
  </si>
  <si>
    <t>ท่อ PVC 2 1/2''</t>
  </si>
  <si>
    <t>ท่อน. @</t>
  </si>
  <si>
    <t xml:space="preserve">ค่างานต้นทุน= ค่างาน MANHOLE+ฝาปิด                     </t>
  </si>
  <si>
    <t>ค่าดำเนินการ และค่าเสื่อมสภาพ</t>
  </si>
  <si>
    <t>หินผิว 1/2</t>
  </si>
  <si>
    <t>รวมค่างานต้นทุนงานสะพานและท่อเหลี่ยม (2)</t>
  </si>
  <si>
    <t>ข. งานสะพานและท่อเหลี่ยม</t>
  </si>
  <si>
    <t>นายสมบูรณ์  ชัยศิรินิรันดร์</t>
  </si>
  <si>
    <t>รวมค่างานก่อสร้างโดยประมาณ (1) + (2) + (3)</t>
  </si>
  <si>
    <t>แบบสรุปราคากลางงานก่อสร้างทาง สะพาน และท่อเหลี่ยม</t>
  </si>
  <si>
    <t>หน่วยงานเจ้าของโครงการ</t>
  </si>
  <si>
    <t>ผลรวมค่างานต้นทุนงานก่อสร้างทาง</t>
  </si>
  <si>
    <t xml:space="preserve"> =</t>
  </si>
  <si>
    <t>ผลรวมค่างานต้นทุนงานก่อสร้างสะพานและท่อเหลี่ยม</t>
  </si>
  <si>
    <t>ผลรวมค่าใช้จ่ายพิเศษตามข้อกำหนดและค่าใช้จ่ายอื่นๆ</t>
  </si>
  <si>
    <t>ค่า Factor F งานก่อสร้างทาง</t>
  </si>
  <si>
    <t>ค่า Factor F งานก่อสร้างสะพานและท่อเหลี่ยม</t>
  </si>
  <si>
    <t>ค่า Factor F ค่าช้จ่ายพิเศษตามข้อกำหนดฯ</t>
  </si>
  <si>
    <t xml:space="preserve"> =1 + [ 3 ÷ ( 1×4 + 2×5 ) ]</t>
  </si>
  <si>
    <t>ประธานกรรมการกำหนดราคากลาง</t>
  </si>
  <si>
    <t>……………………………………………………</t>
  </si>
  <si>
    <t>กรรมการกำหนดราคากลาง</t>
  </si>
  <si>
    <t>(ลงชื่อ)....................................................(วิศวกรผู้ประมาณราคา)</t>
  </si>
  <si>
    <t>(ลงชื่อ)...........................................................ผู้เสนอราคา</t>
  </si>
  <si>
    <t xml:space="preserve">     (                                                   )</t>
  </si>
  <si>
    <t xml:space="preserve">      (                                                  )</t>
  </si>
  <si>
    <t>ปีงบประมาณ</t>
  </si>
  <si>
    <t xml:space="preserve">กม.     ช่วง  กม.  </t>
  </si>
  <si>
    <t xml:space="preserve">ถึง  กม. </t>
  </si>
  <si>
    <t xml:space="preserve">ระยะทาง Prime  Coat </t>
  </si>
  <si>
    <t>ระยะทาง Tack  Coat</t>
  </si>
  <si>
    <t>ทั้งหมด</t>
  </si>
  <si>
    <t>งานที่ปรับราคาได้  ประเภทงานไพร์มโค้ท,แทคโค้ท</t>
  </si>
  <si>
    <t xml:space="preserve">2.1 Prime  Coat </t>
  </si>
  <si>
    <t>2.2 Tack  Coat</t>
  </si>
  <si>
    <t>งานที่ปรับราคาได้  ประเภทงานผิวทางแอสฟัสติกคอนกรีต</t>
  </si>
  <si>
    <t>ค่า Factor F</t>
  </si>
  <si>
    <t>คิดเป็นเงินทั้งสิ้น</t>
  </si>
  <si>
    <t>เฉลี่ยต่องวด</t>
  </si>
  <si>
    <t>ผู้แบ่งงวดงาน ………………………………</t>
  </si>
  <si>
    <t>รายละเอียดการแบ่งงวดงาน</t>
  </si>
  <si>
    <t>ระยะเวลาก่อสร้าง</t>
  </si>
  <si>
    <t>วัน   นับถัดจากวันลงนามในสัญญา</t>
  </si>
  <si>
    <t>ราคาค่าก่อสร้าง</t>
  </si>
  <si>
    <t>บาท  (…………………………………….…….…………….)</t>
  </si>
  <si>
    <t>ซึ่งได้รวมภาษีมูลค่าเพิ่ม</t>
  </si>
  <si>
    <t>ตลอดจนภาษีอื่นๆ และค่าใช้จ่ายทั้งปวงไว้ด้วยแล้ว  โดยถือราคาเหมารวมเป็นเกณฑ์</t>
  </si>
  <si>
    <t>การจ่ายเงินค่าจ้าง</t>
  </si>
  <si>
    <t>ผู้ว่าจ้างตกลงจ่ายเงินให้ผู้รับจ้าง  เป็นเงินตามที่กำหนดไว้แต่ละงวด  เมื่อผู้รับจ้างได้ทำงานแล้วเสร็จงวดหนึ่งงวดใด</t>
  </si>
  <si>
    <t>ตามที่กำหนดไว้ในงวดนั้น ๆ และคณะกรรมการตรวจการจ้างได้ตรวจรับไว้ถูกต้องแล้ว  ตามรายละเอียดดังนี้</t>
  </si>
  <si>
    <t>บาท  (………………………………………………….)</t>
  </si>
  <si>
    <t>งานที่ปรับราคาได้  ประเภทงานผิวทางไพร์มโค้ท,แทคโค้ท</t>
  </si>
  <si>
    <t>งานที่ปรับราคาได้  ประเภทผิวทางแอสฟัสติกคอนกรีต</t>
  </si>
  <si>
    <t>งานที่ปรับราคาได้  ประเภทผิวทางไพร์มโค้ท,แทคโค้ท</t>
  </si>
  <si>
    <t>ถูกต้อง  ครบถ้วน  ตามรูปแบบและรายละเอียด  ของสัญญาข้อ  2  และคำชี้แจงประกอบแบบแปลนทุกประการ</t>
  </si>
  <si>
    <t>ลงชื่อ……………...……….…...….………แบ่งงวดงาน</t>
  </si>
  <si>
    <t>ลงชื่อ……………...……….…...….………ตรวจ</t>
  </si>
  <si>
    <t>ลงชื่อ………...………………………………..เห็นชอบ</t>
  </si>
  <si>
    <t>งานที่ปรับราคาได้  ประเภทงานท่อกลมระบายน้ำ  คสล.</t>
  </si>
  <si>
    <t>2.1 งานท่อกลมระบายน้ำ  คสล.</t>
  </si>
  <si>
    <t>2.2 งานกำแพงปากท่อ  คสล.</t>
  </si>
  <si>
    <t>5.1 งานติดตั้งเครื่องหมายจราจร</t>
  </si>
  <si>
    <t>งานที่ปรับราคาได้  ประเภทงานท่อระบายน้ำ  คสล.</t>
  </si>
  <si>
    <t>งวดที่ 4</t>
  </si>
  <si>
    <t>งวดที่ 5</t>
  </si>
  <si>
    <t xml:space="preserve">    ถึง        กม.</t>
  </si>
  <si>
    <t>ทางตรง</t>
  </si>
  <si>
    <t xml:space="preserve"> - ป้ายจราจรแบบ ต75</t>
  </si>
  <si>
    <t>ต75</t>
  </si>
  <si>
    <t>บ3 - บ36</t>
  </si>
  <si>
    <t>บ37 - บ55</t>
  </si>
  <si>
    <t xml:space="preserve">  -ป้ายจราจร บ3 - บ36</t>
  </si>
  <si>
    <t xml:space="preserve"> - ป้ายจราจร บ37 - บ55</t>
  </si>
  <si>
    <t>ต28 - ต30</t>
  </si>
  <si>
    <t xml:space="preserve"> - ป้ายจราจรแบบ ต28 - ต30</t>
  </si>
  <si>
    <t xml:space="preserve"> - ป้ายจราจรแบบ ต1 - ต27,ต31 -ต60</t>
  </si>
  <si>
    <t>ต1 - ต27,ต31 - ต60</t>
  </si>
  <si>
    <t>ต62</t>
  </si>
  <si>
    <t xml:space="preserve"> - ป้ายจราจร ต62</t>
  </si>
  <si>
    <t>ต65,ต68,ต70</t>
  </si>
  <si>
    <t xml:space="preserve"> - ป้ายจราจรแบบ ต65,ต68,ต70</t>
  </si>
  <si>
    <t>ต71</t>
  </si>
  <si>
    <t xml:space="preserve"> - ป้ายจราจรแบบ ต71</t>
  </si>
  <si>
    <t xml:space="preserve"> - ป้ายจราจรแบบ ต72 - ต73</t>
  </si>
  <si>
    <t>ต72,ต73</t>
  </si>
  <si>
    <t xml:space="preserve"> - ป้ายจราจรแบบ น6</t>
  </si>
  <si>
    <t>น6</t>
  </si>
  <si>
    <t>น7</t>
  </si>
  <si>
    <t>น8</t>
  </si>
  <si>
    <t>บ3 -บ55+ ต1-ต27</t>
  </si>
  <si>
    <t>บ3 -บ55+ ต31-ต60</t>
  </si>
  <si>
    <t xml:space="preserve"> - ป้ายจราจรแบบ 2-น3</t>
  </si>
  <si>
    <t>2-น2 (ป้าย 2 ชิ้น)</t>
  </si>
  <si>
    <t>3-น2 (ป้าย 3 ชิ้น)</t>
  </si>
  <si>
    <t>2-น3 (ป้าย 2 ชิ้น)</t>
  </si>
  <si>
    <t>3-น3 (ป้าย 3 ชิ้น)</t>
  </si>
  <si>
    <t>ต1-ต27,ต31-ต60 + ต78</t>
  </si>
  <si>
    <t>ทางโค้ง+สะพาน</t>
  </si>
  <si>
    <t>ลบ-ตัดออก</t>
  </si>
  <si>
    <t>บวก-เพิ่ม</t>
  </si>
  <si>
    <t>งานก่อสร้าง</t>
  </si>
  <si>
    <t>งาน  Recycling</t>
  </si>
  <si>
    <t>งวดที่</t>
  </si>
  <si>
    <t>งวดที่ 6  ระยะเวลา</t>
  </si>
  <si>
    <t>งวดที่ 7  ระยะเวลา</t>
  </si>
  <si>
    <t>งวดที่ 8  ระยะเวลา</t>
  </si>
  <si>
    <t>งวดที่ 9  ระยะเวลา</t>
  </si>
  <si>
    <t>งวดที่ 10  ระยะเวลา</t>
  </si>
  <si>
    <t>งวดที่ 11  ระยะเวลา</t>
  </si>
  <si>
    <t>งวดที่ 12  ระยะเวลา</t>
  </si>
  <si>
    <t>งวดที่ 13  ระยะเวลา</t>
  </si>
  <si>
    <t>งวดที่ 14  ระยะเวลา</t>
  </si>
  <si>
    <t>งวดที่ 15  ระยะเวลา</t>
  </si>
  <si>
    <t>งวดที่ 16  ระยะเวลา</t>
  </si>
  <si>
    <t>1.1 Deep  Patch</t>
  </si>
  <si>
    <t>1.2 หินคลุกปรับระดับโครงสร้าง</t>
  </si>
  <si>
    <t>1.3  Pavement In-Place Recycling</t>
  </si>
  <si>
    <t>1.5 ป้ายจราจรระหว่างการก่อสร้าง</t>
  </si>
  <si>
    <t xml:space="preserve"> 3.1 Asphaltic  Concrete   บน Prime  Coat </t>
  </si>
  <si>
    <t xml:space="preserve"> 3.2 Asphaltic  Concrete   บน Tack  Coat </t>
  </si>
  <si>
    <t>งวดที่ 17  ระยะเวลา</t>
  </si>
  <si>
    <t>1.4 งานดิน</t>
  </si>
  <si>
    <t>1.4 ลูกรัง</t>
  </si>
  <si>
    <t>1.4 หินคลุก</t>
  </si>
  <si>
    <t xml:space="preserve"> -งานติดตั้งไฟกระพริบ+บ1</t>
  </si>
  <si>
    <t xml:space="preserve">  -ป้ายจราจรแบบ บ1</t>
  </si>
  <si>
    <t>งานติดตั้งไฟกระพริบ+บ1</t>
  </si>
  <si>
    <t>อ.พิมาย  จ.นครราชสีมา</t>
  </si>
  <si>
    <t>ป้ายกิโลเมตร</t>
  </si>
  <si>
    <t>เสาเหล็ก</t>
  </si>
  <si>
    <t>สะพาน................................</t>
  </si>
  <si>
    <t xml:space="preserve"> - ป้ายจราจรแบบ ต77</t>
  </si>
  <si>
    <t xml:space="preserve"> - งานผิวจราจรลาดยางแบบ Cape Seal</t>
  </si>
  <si>
    <t xml:space="preserve"> - งานไหล่ทางแบบ Cape Seal</t>
  </si>
  <si>
    <t>ตามรูปแบบและรายละเอียดของสัญญาข้อ  2   คำชี้แจงประกอบแบบแปลนทุกประการ</t>
  </si>
  <si>
    <t xml:space="preserve">ของดินตัด  งานดินถมบดอัดแน่น  งานชั้นรองพื้นทางและงานชั้นพื้นทาง ระยะทางที่เหลือทั้งหมดแล้วเสร็จ  เรียบร้อย  ถูกต้อง  ครบถ้วน </t>
  </si>
  <si>
    <t>งวดที่ 6</t>
  </si>
  <si>
    <t>หมู่บ้าน</t>
  </si>
  <si>
    <t>คลอง</t>
  </si>
  <si>
    <t>ต1-ต27,ต31-ต60 + ต77</t>
  </si>
  <si>
    <t>ต1-ต27,ต31-ต60 + ต75</t>
  </si>
  <si>
    <t>แบบปี53(หัวแหลม)</t>
  </si>
  <si>
    <t>หนา 5 มม.</t>
  </si>
  <si>
    <t>หนา 3 มม.</t>
  </si>
  <si>
    <t xml:space="preserve">ของดินตัดและงานดินถมบดอัดแน่น   แล้วเสร็จ  เป็นระยะทาง   </t>
  </si>
  <si>
    <t>กรุงเทพฯ</t>
  </si>
  <si>
    <t>ปูน, อื่นๆ</t>
  </si>
  <si>
    <t>คิดเป็นราคากลาง</t>
  </si>
  <si>
    <t>Factor F</t>
  </si>
  <si>
    <t>ระยะห่างระหว่างเสา</t>
  </si>
  <si>
    <t xml:space="preserve">   1. เสาไฟฟ้าพร้อมกิ่งโคมและอุปกรณ์</t>
  </si>
  <si>
    <t>บาท/ต้น จำนวน</t>
  </si>
  <si>
    <t xml:space="preserve">ต้น </t>
  </si>
  <si>
    <t>บาท/ชุด</t>
  </si>
  <si>
    <t xml:space="preserve">ชุด </t>
  </si>
  <si>
    <t>บาท (สีส้ม 4 แผ่น)</t>
  </si>
  <si>
    <t>บาท/แห่ง</t>
  </si>
  <si>
    <t xml:space="preserve">แห่ง </t>
  </si>
  <si>
    <t>บาท/ม.</t>
  </si>
  <si>
    <t xml:space="preserve">     1.7 งานขุดวางสายไฟฟ้า  พร้อมเทรีนปิดทับ</t>
  </si>
  <si>
    <t xml:space="preserve">   2. อุปกรณ์ที่ใช้ร่วมกัน  สำหรับดวงโคม</t>
  </si>
  <si>
    <t xml:space="preserve">     2.1 ตู้ควบคุมพร้อมโฟโตเซล  พร้อมรีเลย์  (30x60A.220V.)</t>
  </si>
  <si>
    <t xml:space="preserve">     2.3 ท่อ RSC  Ø  2-1/2"  พร้อมค่าดันลอด / ตัดถนน (กรณีต้องวางสายข้ามถนน)</t>
  </si>
  <si>
    <t xml:space="preserve">   3. ค่าติดตั้ง</t>
  </si>
  <si>
    <t>บาท/ต้น</t>
  </si>
  <si>
    <t xml:space="preserve">   5. ค่าขนส่งจาก กทม. ถึงหน้างาน</t>
  </si>
  <si>
    <t xml:space="preserve">  รวมค่าติดตั้งทั้งหมดต่อต้น (1+2+3+4+5)</t>
  </si>
  <si>
    <t>คิดให้</t>
  </si>
  <si>
    <t>ค่างานต้นทุนงานติดตั้งไฟฟ้าแสงสว่าง</t>
  </si>
  <si>
    <t xml:space="preserve">   1. กรณีมีใบค่าใช้จ่ายการไฟฟ้า  (ตามใบแจ้งของการไฟฟ้า)</t>
  </si>
  <si>
    <t xml:space="preserve">   2. กรณีไม่มีใบค่าใช้จ่ายการไฟฟ้า  (ประมาณราคาเอง) </t>
  </si>
  <si>
    <t xml:space="preserve">      ค่าธรรมเนียมขยายเขตไฟฟ้า และติดตั้งหม้อแปลงขนาด  30   kVA  ,ค่าธรรมเนียมต่อไฟฟ้า, ค่าตรวจสอบ</t>
  </si>
  <si>
    <t xml:space="preserve">      การติดตั้ง ,ค่ามิเตอร์</t>
  </si>
  <si>
    <t>งานไฟฟ้าส่องสว่าง</t>
  </si>
  <si>
    <t xml:space="preserve"> -งานติดตั้งไฟฟ้าส่องสว่าง</t>
  </si>
  <si>
    <t xml:space="preserve"> -งานขยายเขตหม้อแปลงไฟฟ้า</t>
  </si>
  <si>
    <t xml:space="preserve">(บนPrime Coat)  </t>
  </si>
  <si>
    <t xml:space="preserve">(บนTack Coat)  </t>
  </si>
  <si>
    <t>ค.งานอำนวยการ</t>
  </si>
  <si>
    <t>งานบำรุงรักษาและการป้องกันผลกระทบด้านการจราจร</t>
  </si>
  <si>
    <t>งานสำนักงาน เครื่องใช้และอุปกรณ์อำนวยความสะดวก</t>
  </si>
  <si>
    <t>การขนส่งสำหรับวิศวกรของผู้ว่าจ้าง</t>
  </si>
  <si>
    <t>งานประชาสัมพันธ์โครงการเพื่อการสร้างความเข้าใจ</t>
  </si>
  <si>
    <t>และการมีส่วนร่วมภาคประชาชน</t>
  </si>
  <si>
    <t>เงินจร</t>
  </si>
  <si>
    <t>ราคากลาง  หมวดงานอำนวยการ</t>
  </si>
  <si>
    <t xml:space="preserve">ระยะเวลาการก่อสร้าง  </t>
  </si>
  <si>
    <t>เหตุผลความจำเป็น (เงินจร)</t>
  </si>
  <si>
    <t xml:space="preserve">เป็นค่าใช้จ่ายที่เตรียมไว้ในกรณีที่พบว่างานก่อสร้างมีผลกระทบต่อการสัญจรของประชาชนโดยเหตุผลที่กำหนดเป็น " เงินจร" (PS) </t>
  </si>
  <si>
    <t>เนื่องจากอาจมีการดำเนินการหรืออาจไม่ต้องดำเนินการ ขึ้นอยู่กับสถานการณ์ที่เกิดขึ้นในระหว่างการก่อสร้าง และหากต้องดำเนินการ</t>
  </si>
  <si>
    <t>ก็จะเบิกจ่ายเงินตามมูลค่างานที่ทำจริง</t>
  </si>
  <si>
    <r>
      <rPr>
        <u/>
        <sz val="16"/>
        <color indexed="8"/>
        <rFont val="AngsanaDSE"/>
        <family val="1"/>
      </rPr>
      <t>งานบำรุงรักษาและการป้องกันผลกระทบด้านการจราจร</t>
    </r>
    <r>
      <rPr>
        <sz val="16"/>
        <color indexed="8"/>
        <rFont val="AngsanaDSE"/>
        <charset val="222"/>
      </rPr>
      <t xml:space="preserve">   (คิดระยะเวลา</t>
    </r>
    <r>
      <rPr>
        <sz val="16"/>
        <color indexed="8"/>
        <rFont val="AngsanaDSE"/>
        <family val="1"/>
      </rPr>
      <t>จำนวนเดือนตามสัญญา)</t>
    </r>
  </si>
  <si>
    <t>ต้นทุน</t>
  </si>
  <si>
    <t>เดือนที่</t>
  </si>
  <si>
    <r>
      <t>ค่าใช้จ่ายรายเดือน</t>
    </r>
    <r>
      <rPr>
        <sz val="16"/>
        <color indexed="8"/>
        <rFont val="AngsanaDSE"/>
        <charset val="222"/>
      </rPr>
      <t xml:space="preserve"> (คิดเป็นค่าเช่าต่อปี)</t>
    </r>
  </si>
  <si>
    <t>(บาท/ปี)</t>
  </si>
  <si>
    <t>รวมค่างานต้นทุน(1)</t>
  </si>
  <si>
    <t>รวมเป็นเงิน(คิดต่อปี)</t>
  </si>
  <si>
    <t>แบบ ปร.1(อำนวยการ )</t>
  </si>
  <si>
    <t>แผ่นที่...2..../…4...</t>
  </si>
  <si>
    <t>เป็นค่าใช้จ่ายตามข้อกำหนดในเอกสารประกวดราคาจ้าง เพื่อเป็นการอำนวยความสะดวกสำหรับการควบคุมงานของผู้ว่าจ้าง</t>
  </si>
  <si>
    <r>
      <rPr>
        <u/>
        <sz val="16"/>
        <color indexed="8"/>
        <rFont val="AngsanaDSE"/>
        <family val="1"/>
      </rPr>
      <t>2.1 สำนักงานสนามและค่าใช้จ่ายต่อเดือน</t>
    </r>
    <r>
      <rPr>
        <sz val="16"/>
        <color indexed="8"/>
        <rFont val="AngsanaDSE"/>
        <family val="1"/>
      </rPr>
      <t xml:space="preserve">    (คิดระยะเวลาจำนวนเดือนตามสัญญา)</t>
    </r>
  </si>
  <si>
    <t>2.1.1</t>
  </si>
  <si>
    <t>ค่าเช่าที่ดินว่างเปล่า</t>
  </si>
  <si>
    <t>ค่าเช่าตู้คอนเทนเนอร์  ตู้ละ  5,000 บาท  จำนวน 2 ตู้</t>
  </si>
  <si>
    <t>ค่าน้ำประปาและค่าไฟฟ้า</t>
  </si>
  <si>
    <t>ค่าเช่าบ้านพักอาศัยสำหรับช่างควบคุมงานของผู้ว่าจ้าง</t>
  </si>
  <si>
    <t>2.1.2</t>
  </si>
  <si>
    <t>ค่าใช้จ่ายครั้งเดียว</t>
  </si>
  <si>
    <t>ค่าเช่ารถเครนยกตู้คอนเทนเนอร์  (ขนส่ง - ติดตั้งและรื้อย้าย)</t>
  </si>
  <si>
    <t>ค่าจัดทำอาคารโรงเรือนชั่วคราวสำหรับเจ้าหน้าที่</t>
  </si>
  <si>
    <t>ค่าจัดทำห้องสุขาชั่วคราวและระบบบำบัดน้ำเสีย</t>
  </si>
  <si>
    <t>ค่าดำเนินการทั่วไป</t>
  </si>
  <si>
    <t>2.2 เครื่องใช้และอุปกรณ์ประจำสำนักงาน</t>
  </si>
  <si>
    <t>2.2.1</t>
  </si>
  <si>
    <t xml:space="preserve">คอมพิวเตอร์แบบตั้งโต๊ะ พร้อมอุปกรณ์ที่จำเป็นต่อการใช้งาน </t>
  </si>
  <si>
    <t>2   ชุด</t>
  </si>
  <si>
    <t>คอมพิวเตอร์แบบพกพา พร้อมอุปกรณ์ที่จำเป็นต่อการใช้งาน</t>
  </si>
  <si>
    <t>1   ชุด</t>
  </si>
  <si>
    <t>Printer สี     แบบ Laser   ขนาด  A3</t>
  </si>
  <si>
    <t>1   เครื่อง</t>
  </si>
  <si>
    <t>Scanner   ขนาด  A3</t>
  </si>
  <si>
    <t>กล้องถ่ายภาพแบบ Digital (ความละเอียด 5 ล้านพิกเซลขึ้นไป)</t>
  </si>
  <si>
    <t>2   เครื่อง</t>
  </si>
  <si>
    <t>เครื่องมัลติมีเดียโปรเจคเตอร์ พร้อมจอ</t>
  </si>
  <si>
    <t>วัสดุสิ้นเปลือง</t>
  </si>
  <si>
    <t>เช่น   กระดาษ  ปากกา  ยางลบ  น้ำยาลบคำผิด  และแฟ้มใส่เอกสาร เป็นต้น</t>
  </si>
  <si>
    <t>โดยมีปริมาณให้เหมาะสมและเพียงพอต่อการใช้งานตลอดระยะเวลาสัญญา</t>
  </si>
  <si>
    <t>2.2.2</t>
  </si>
  <si>
    <t>(คิด  50%  ของราคาซื้อ)</t>
  </si>
  <si>
    <t>โต๊ะทำงาน   พร้อมเก้าอี้</t>
  </si>
  <si>
    <t>โต๊ะวางคอมพิวเตอร์  พร้อมเก้าอี้</t>
  </si>
  <si>
    <t>โต๊ะปฏิบัติการแบบพับได้ สำหรับใช้ประชุม</t>
  </si>
  <si>
    <t>4   ตัว</t>
  </si>
  <si>
    <t>บาท/ตัว</t>
  </si>
  <si>
    <t>เก้าอี้สำหรับใช้ประชุม</t>
  </si>
  <si>
    <t>16   ตัว</t>
  </si>
  <si>
    <t>ตู้เหล็กแบบ  4  ลิ้นชัก</t>
  </si>
  <si>
    <t>2   ตู้</t>
  </si>
  <si>
    <t>บาท/ตู้</t>
  </si>
  <si>
    <t>White Board  ขนาด  1.20 x 2.40  เมตร</t>
  </si>
  <si>
    <t>2   แผ่น</t>
  </si>
  <si>
    <t>บาท/แผ่น</t>
  </si>
  <si>
    <t>ตู้ยาสามัญประจำบ้าน พร้อมยาที่จำเป็น</t>
  </si>
  <si>
    <t>แผ่นที่...3..../…4...</t>
  </si>
  <si>
    <r>
      <rPr>
        <u/>
        <sz val="16"/>
        <color indexed="8"/>
        <rFont val="AngsanaDSE"/>
        <family val="1"/>
      </rPr>
      <t>การขนส่งสำหรับวิศวกรของผู้ว่าจ้าง</t>
    </r>
    <r>
      <rPr>
        <sz val="16"/>
        <color indexed="8"/>
        <rFont val="AngsanaDSE"/>
        <family val="1"/>
      </rPr>
      <t xml:space="preserve">   (คิดระยะเวลาจำนวนเดือนตามสัญญา)</t>
    </r>
  </si>
  <si>
    <t>ค่าเช่ารถ สำหรับช่างควบคุมงานของผู้ว่าจ้าง จำนวน 1 คัน</t>
  </si>
  <si>
    <t>ค่าน้ำมันเชื้อเพลิง (ใช้น้ำมันเฉลี่ย 8  ลิตร/วัน ลิตรละ  23.00  บาท) จำนวน 1 คัน</t>
  </si>
  <si>
    <t>ค่าทะเบียนและประกันภัย</t>
  </si>
  <si>
    <t>ค่าบำรุงปกติ</t>
  </si>
  <si>
    <t>แผ่นที่…4..../…4...</t>
  </si>
  <si>
    <t xml:space="preserve">เป็นกิจกรรมที่ต้องปฏิบัติให้เป็นไปตามระเบียบสำนักนายกรัฐมนตรีว่าด้วยการรับฟัง ความคิดเห็นของประชาชน พ.ศ. 2548 </t>
  </si>
  <si>
    <t>โดยมีวัตถุประสงค์เพื่อประชาสัมพันธ์ให้ประชาชนในพื้นที่ได้รับทราบว่าจะมีการดำเนินการโครงการและทราบถึงข้อมูลรายละเอียดของ</t>
  </si>
  <si>
    <t>โครงการรวมทั้งเพื่อให้ประชาชนได้แจ้งปัญหาผลกระทบจากโครงการ  ตลอดจนแสดงความคิดเห็นข้อเสนอแนะที่จะปรับปรุงแก้ไข</t>
  </si>
  <si>
    <t xml:space="preserve">ปัญหาเพิ่มเติม ของงานก่อสร้างให้เกิดประโยชน์แก่ประชาชน ในพื้นที่และผุ้ใช้เส้นทางมากที่สุด โดยเหตุผลที่กำหนดเป็น "เงินจร" (PS) </t>
  </si>
  <si>
    <t>เนื่องจากต้องการให้มีการเบิกจ่ายเงินตามค่าใช้จ่ายที่เกิดขึ้นจริง ซึ่งจะขึ้นอยู่กับรายละเอียดกิจกรรมที่ดำเนินการ</t>
  </si>
  <si>
    <t>และจำนวนประชาชนที่มาร่วม</t>
  </si>
  <si>
    <t>งานประชาสัมพันธ์โครงการเพื่อการสร้างความเข้าใจและการมีส่วนร่วมภาคประชาชน</t>
  </si>
  <si>
    <t xml:space="preserve"> (ก่อนดำเนินการ,ระหว่างการก่อสร้างและก่อนการดำเนินการแล้วเสร็จ)</t>
  </si>
  <si>
    <t>ค่าเช่าสถานที่ประชุม พร้อมอุปกรณ์โสตทัศน์</t>
  </si>
  <si>
    <t>บาท/ครั้ง</t>
  </si>
  <si>
    <t>ค่าบอร์ดข้อมูลประกอบการประชุมโครงการ</t>
  </si>
  <si>
    <t>เอกสารประกอบการประชุม</t>
  </si>
  <si>
    <t>เป็นเงินรวมต่อครั้ง</t>
  </si>
  <si>
    <t>รวมค่าใช้จ่ายการประชุมจำนวน 3 ครั้ง  เป็นเงิน</t>
  </si>
  <si>
    <t xml:space="preserve"> - งานก่อสร้างที่มีการปิดช่องจราจร(รูปแบบที่2)</t>
  </si>
  <si>
    <t xml:space="preserve">1.1 ป้ายงานก่อสร้างทางข้างหน้า (ป้ายแบบที่ 2) </t>
  </si>
  <si>
    <t xml:space="preserve">1.2 ป้ายสิ้นสุดเขตก่อสร้าง (ป้ายแบบที่ 6) </t>
  </si>
  <si>
    <t xml:space="preserve">1.3 ป้ายงานก่อสร้าง (ป้ายแบบที่ 19) </t>
  </si>
  <si>
    <t xml:space="preserve">1.4 ป้ายให้รถสวนทางมาก่อน (ป้ายแบบที่ 27) </t>
  </si>
  <si>
    <t xml:space="preserve">1.5 ป้ายปิดช่องจราจรทางด้านซ้ายมือ (ป้ายแบบที่ 28) </t>
  </si>
  <si>
    <t xml:space="preserve">1.6 ป้ายปิดช่องจราจรทางด้านขวามือ (ป้ายแบบที่ 28) </t>
  </si>
  <si>
    <t xml:space="preserve">1.7 ป้ายกำหนดความเร็ว 40 กม./ซม. (ป้ายแบบที่ 33) </t>
  </si>
  <si>
    <t>1.8 แผงกั้น 3 ชั้น</t>
  </si>
  <si>
    <t>1.9 ไฟกระพริบฉุกเฉิน</t>
  </si>
  <si>
    <t>1.10 แบตเตอรี่</t>
  </si>
  <si>
    <t>1.11 กรวยยาง</t>
  </si>
  <si>
    <t>รวมค่างานคิดตามสัญญา จำนวน 10 เดือน  เป็นเงิน</t>
  </si>
  <si>
    <r>
      <t>ค่าใช้จ่ายรายเดือน</t>
    </r>
    <r>
      <rPr>
        <sz val="16"/>
        <color indexed="8"/>
        <rFont val="AngsanaDSE"/>
        <charset val="222"/>
      </rPr>
      <t xml:space="preserve">   (คิดรวม 10 เดือน)</t>
    </r>
  </si>
  <si>
    <t>สัญญา 300 วัน</t>
  </si>
  <si>
    <t>คิดเป็นค่าใช้จ่ายรายเดือน  (คิดรวม 10 เดือน)</t>
  </si>
  <si>
    <t>ค่าเครื่องดื่มและอาหารว่าง จำนวนประมาณ 100 คน  (50 บาท/คน)</t>
  </si>
  <si>
    <t>ค่าอาหารกลางวัน จำนวนประมาณ 100 คน  (150  บาท/คน)</t>
  </si>
  <si>
    <t xml:space="preserve"> - งานรื้อถอน ผิวจราจรคอนกรีตเดิม</t>
  </si>
  <si>
    <t>เหมาจ่าย</t>
  </si>
  <si>
    <t xml:space="preserve"> - งานขุดรื้อย้ายท่อประปาเดิม ติดตั้งใหม่</t>
  </si>
  <si>
    <t>งานอื่น ๆ</t>
  </si>
  <si>
    <t>รวมค่างานอำนวยการ (3)</t>
  </si>
  <si>
    <t>ประเภทงานอำนวยการ</t>
  </si>
  <si>
    <t>งานรางระบายน้ำ</t>
  </si>
  <si>
    <t>คิดจากความยาว</t>
  </si>
  <si>
    <t>(ไม่รวมฝาปิด)</t>
  </si>
  <si>
    <t>ค่าแรงงานไม้แบบ (1)</t>
  </si>
  <si>
    <t>/10</t>
  </si>
  <si>
    <t>ตร.ม.@</t>
  </si>
  <si>
    <t>ค่าแรงคอนกรีตหยาบ</t>
  </si>
  <si>
    <t>เหล็กเสริม RB 6</t>
  </si>
  <si>
    <t xml:space="preserve">ลวดผูกเหล็ก </t>
  </si>
  <si>
    <t>ตร. ม. @</t>
  </si>
  <si>
    <t>ค่าแรงคอนกรีต ค2</t>
  </si>
  <si>
    <t>เหล็กฉาก L 50x50x6</t>
  </si>
  <si>
    <t xml:space="preserve">ค่างานต้นทุน                     </t>
  </si>
  <si>
    <t>ก.รางระบายน้ำคอนกรีตเสริมเหล็กแบบ ข-30</t>
  </si>
  <si>
    <t>(เฉพาะฝาปิด)</t>
  </si>
  <si>
    <t>ไม้แบบ(1) = 28 ตร.ม. ใช้ 20%</t>
  </si>
  <si>
    <t>ไม้แบบ(1) = 8 ตร.ม. ใช้ 20%</t>
  </si>
  <si>
    <t>ค่างานต้นทุนเฉลี่ย (ก+ข)</t>
  </si>
  <si>
    <t>ข.ฝาปิดคอนกรีตเสริมเหล็กแบบ ข-30</t>
  </si>
  <si>
    <t>รางระบายน้ำ คสล. แบบ ข - 30 (ฝาปิดตะแกรงเหล็ก)</t>
  </si>
  <si>
    <t xml:space="preserve">รางระบายน้ำ คสล. แบบ ข - 30(ฝาปิด คสล.) </t>
  </si>
  <si>
    <t>ค่าเชื่อม</t>
  </si>
  <si>
    <t>ค่าทาสีกันสนิม 2 ชั้น</t>
  </si>
  <si>
    <t>ค่าทาสีน้ำมัน 1 ชั้น</t>
  </si>
  <si>
    <t>คิดแป็นค่าต้นทุนงานรางระบายน้ำคอนกรีตเสริมเหล็กแบบ ข-30(ฝาปิด คสล.) =(ก+ข)/10</t>
  </si>
  <si>
    <t>ค.ฝาปิดตะแกรงเหล็ก รางระบายน้ำแบบ ข-30 (คิด 1 ฝา ขนาด 0.39 x 1.00 ม.)</t>
  </si>
  <si>
    <t>แผ่นเหล็ก  5 มม. X 50 มม.</t>
  </si>
  <si>
    <t>แผ่นเหล็ก  9 มม. X 100 มม.</t>
  </si>
  <si>
    <t>ค่างานต้นทุน (ก+ค)</t>
  </si>
  <si>
    <t>คิดแป็นค่าต้นทุนงานรางระบายน้ำคอนกรีตเสริมเหล็กแบบ ข-30(ฝาปิดตะแกรงเหล็ก) =(ก+ค)/10</t>
  </si>
  <si>
    <t>เหล็กฉาก L50x50x6 mm</t>
  </si>
  <si>
    <t xml:space="preserve"> - งานไหล่ทางแบบ Asphaltic Concrete(หนา 0.05 ม.)</t>
  </si>
  <si>
    <r>
      <t xml:space="preserve"> - ป้ายจราจรแบบ (ต63 + ต66) </t>
    </r>
    <r>
      <rPr>
        <sz val="11"/>
        <rFont val="TH SarabunPSK"/>
        <family val="2"/>
      </rPr>
      <t>2 แผ่นป้ายต่อชุด</t>
    </r>
  </si>
  <si>
    <t>จึงเรียนมาเพื่อโปรดพิจารณาให้ความเห็นชอบ</t>
  </si>
  <si>
    <t>รวมเป็นเงินค่าก่อสร้างทั้งสิ้น  (ก) + (ข) + (ค)</t>
  </si>
  <si>
    <t>รวมเป็นเงินค่าก่อสร้างงานสะพานและท่อเหลี่ยม (ข)</t>
  </si>
  <si>
    <t>รวมเป็นเงินค่างานอำนวยการ (ค)</t>
  </si>
  <si>
    <t>รวมเป็นเงินค่าก่อสร้างงานทาง  (ก)</t>
  </si>
  <si>
    <t xml:space="preserve"> - ป้ายจราจรแบบ (ต63 + ต66) 2 แผ่นป้ายต่อชุด</t>
  </si>
  <si>
    <r>
      <t xml:space="preserve"> - ขนาด  </t>
    </r>
    <r>
      <rPr>
        <sz val="16"/>
        <rFont val="Symbol"/>
        <family val="1"/>
        <charset val="2"/>
      </rPr>
      <t>f</t>
    </r>
    <r>
      <rPr>
        <sz val="16"/>
        <rFont val="CordiaUPC"/>
        <family val="2"/>
        <charset val="222"/>
      </rPr>
      <t xml:space="preserve">    0.40 ม.</t>
    </r>
  </si>
  <si>
    <r>
      <t xml:space="preserve"> - ขนาด  </t>
    </r>
    <r>
      <rPr>
        <sz val="16"/>
        <rFont val="Symbol"/>
        <family val="1"/>
        <charset val="2"/>
      </rPr>
      <t>f</t>
    </r>
    <r>
      <rPr>
        <sz val="16"/>
        <rFont val="CordiaUPC"/>
        <family val="2"/>
        <charset val="222"/>
      </rPr>
      <t xml:space="preserve">    0.60 ม.</t>
    </r>
  </si>
  <si>
    <r>
      <t xml:space="preserve"> - ขนาด  </t>
    </r>
    <r>
      <rPr>
        <sz val="16"/>
        <rFont val="Symbol"/>
        <family val="1"/>
        <charset val="2"/>
      </rPr>
      <t>f</t>
    </r>
    <r>
      <rPr>
        <sz val="16"/>
        <rFont val="CordiaUPC"/>
        <family val="2"/>
        <charset val="222"/>
      </rPr>
      <t xml:space="preserve">    0.80 ม.</t>
    </r>
  </si>
  <si>
    <r>
      <t xml:space="preserve"> - ขนาด  </t>
    </r>
    <r>
      <rPr>
        <sz val="16"/>
        <rFont val="Symbol"/>
        <family val="1"/>
        <charset val="2"/>
      </rPr>
      <t>f</t>
    </r>
    <r>
      <rPr>
        <sz val="16"/>
        <rFont val="CordiaUPC"/>
        <family val="2"/>
        <charset val="222"/>
      </rPr>
      <t xml:space="preserve">    1.00 ม.</t>
    </r>
  </si>
  <si>
    <r>
      <t xml:space="preserve"> - 1  -  </t>
    </r>
    <r>
      <rPr>
        <sz val="16"/>
        <rFont val="Symbol"/>
        <family val="1"/>
        <charset val="2"/>
      </rPr>
      <t>f</t>
    </r>
    <r>
      <rPr>
        <sz val="16"/>
        <rFont val="CordiaUPC"/>
        <family val="2"/>
        <charset val="222"/>
      </rPr>
      <t xml:space="preserve">     0.80 ม. (HW+EW = 2 )</t>
    </r>
  </si>
  <si>
    <r>
      <t xml:space="preserve"> - 2  -  </t>
    </r>
    <r>
      <rPr>
        <sz val="16"/>
        <rFont val="Symbol"/>
        <family val="1"/>
        <charset val="2"/>
      </rPr>
      <t>f</t>
    </r>
    <r>
      <rPr>
        <sz val="16"/>
        <rFont val="CordiaUPC"/>
        <family val="2"/>
        <charset val="222"/>
      </rPr>
      <t xml:space="preserve">     0.80 ม. (HW+EW = 2 )</t>
    </r>
  </si>
  <si>
    <r>
      <t xml:space="preserve"> - 1  -  </t>
    </r>
    <r>
      <rPr>
        <sz val="16"/>
        <rFont val="Symbol"/>
        <family val="1"/>
        <charset val="2"/>
      </rPr>
      <t>f</t>
    </r>
    <r>
      <rPr>
        <sz val="16"/>
        <rFont val="CordiaUPC"/>
        <family val="2"/>
        <charset val="222"/>
      </rPr>
      <t xml:space="preserve">     1.00 ม. (HW+EW = 2 )</t>
    </r>
  </si>
  <si>
    <r>
      <t xml:space="preserve"> - 2  -  </t>
    </r>
    <r>
      <rPr>
        <sz val="16"/>
        <rFont val="Symbol"/>
        <family val="1"/>
        <charset val="2"/>
      </rPr>
      <t>f</t>
    </r>
    <r>
      <rPr>
        <sz val="16"/>
        <rFont val="CordiaUPC"/>
        <family val="2"/>
        <charset val="222"/>
      </rPr>
      <t xml:space="preserve">     1.00 ม. (HW+EW = 2 )</t>
    </r>
  </si>
  <si>
    <t xml:space="preserve"> - งานผิวจราจรลาดยางแบบ Asphaltic Concrete(หนา0.05ม.)</t>
  </si>
  <si>
    <t>ระยะทางก่อสร้าง</t>
  </si>
  <si>
    <t>2.3งานรางระบายน้ำ ฝา คสล.</t>
  </si>
  <si>
    <t>2.4งานรางระบายน้ำ ฝา เหล็ก</t>
  </si>
  <si>
    <t>5.2 งานรื้อถอนท่อปะปา รื้อถนน คสล.</t>
  </si>
  <si>
    <t>5.4 งานระบบไฟฟ้าแสงสว่าง พร้อมอุปกรณ์</t>
  </si>
  <si>
    <t>5.5งานบำรุงรักษาและการป้องกันผลกระทบด้านการจราจร</t>
  </si>
  <si>
    <t>5.6งานสำนักงาน เครื่องใช้และอุปกรณ์อำนวยความสะดวก</t>
  </si>
  <si>
    <t>5.7การขนส่งสำหรับวิศวกรของผู้ว่าจ้าง</t>
  </si>
  <si>
    <t>5.8งานประชาสัมพันธ์โครงการเพื่อการสร้างความเข้าใจ</t>
  </si>
  <si>
    <t>งวดที่ 18  ระยะเวลา</t>
  </si>
  <si>
    <t>งวดที่ 19  ระยะเวลา</t>
  </si>
  <si>
    <t>งวดที่ 20 ระยะเวลา</t>
  </si>
  <si>
    <t>งวดที่ 21  ระยะเวลา</t>
  </si>
  <si>
    <t>งวดที่ 22 (สุดท้าย)ระยะเวลา</t>
  </si>
  <si>
    <t>งานที่ปรับราคาไม่ได้</t>
  </si>
  <si>
    <t xml:space="preserve"> - เมื่อผู้รับจ้างได้ปฏิบัติงาน  งานกรุยทางถางป่า  งานปรับเกลี่ยและบดอัดคันทางเดิม  งานดินตัดและบดอัดลาดคันทางเดิม(BENCHING) </t>
  </si>
  <si>
    <t xml:space="preserve"> - เมื่อผู้รับจ้างได้ปฏิบัติงาน  งานชั้นรองพื้นทาง  แล้วเสร็จ  เป็นระยะทาง   </t>
  </si>
  <si>
    <t xml:space="preserve"> - เมื่อผู้รับจ้างได้ปฏิบัติงาน  งานวางท่อระบายน้ำ คสล.  แล้วเสร็จ เรียบร้อยทั้งหมด</t>
  </si>
  <si>
    <t xml:space="preserve">ตามรูปแบบและรายละเอียดของสัญญาข้อ 2  และคำชี้แจงประกอบแบบแปลนทุกประการ  รวมทั้งทำสถานที่ก่อสร้างให้สะอาดเรียบร้อย </t>
  </si>
  <si>
    <t>ตามที่กำหนดไว้ในสัญญา  ข้อ 19</t>
  </si>
  <si>
    <t>129..04</t>
  </si>
  <si>
    <t>424..00</t>
  </si>
  <si>
    <t>ตารางค่าขนส่งค่าวัสดุก่อสร้าง + รถบรรทุกสิบล้อ  (บาท / ตัน)</t>
  </si>
  <si>
    <t>ระยะทาง / ราคาน้ำมัน</t>
  </si>
  <si>
    <t>ตารางค่าขนส่งค่าวัสดุก่อสร้าง + รถบรรทุกสิบล้อ ลากพ่วง  (บาท / ตัน)</t>
  </si>
  <si>
    <t>67.49.</t>
  </si>
  <si>
    <t>278..90</t>
  </si>
  <si>
    <t>ตารางค่าดำเนินการและค่าเสื่อมราคา</t>
  </si>
  <si>
    <t>ช่วงที่ 2</t>
  </si>
  <si>
    <t>ช่วงที่ 3</t>
  </si>
  <si>
    <t>2.000</t>
  </si>
  <si>
    <t>อ.เมือง  จ.นครราชสีมา</t>
  </si>
  <si>
    <t>1 = ปากช่อง</t>
  </si>
  <si>
    <t xml:space="preserve">งานการจัดการเครื่องหมายจราจรระหว่างการก่อสร้าง </t>
  </si>
  <si>
    <t xml:space="preserve">ค่ายาง CSS - 1 (1.0 x Y1 /1000) </t>
  </si>
  <si>
    <t xml:space="preserve"> - งานผิวจราจรลาดยางแบบ Asphaltic Concrete</t>
  </si>
  <si>
    <t xml:space="preserve"> - งานไหล่ทางแบบ Asphaltic Concrete</t>
  </si>
  <si>
    <t xml:space="preserve"> - เมื่อผู้รับจ้างได้ปฏิบัติงาน  งานชั้นพื้นทาง  แล้วเสร็จ  เป็นระยะทาง   </t>
  </si>
  <si>
    <t>งวดที่ 7 (สุดท้าย)</t>
  </si>
  <si>
    <t xml:space="preserve">          1. งานการจัดการเครื่องหมายจราจรระหว่างการก่อสร้าง </t>
  </si>
  <si>
    <t xml:space="preserve">         2. งานตีเส้นจราจร  ติดตั้ง ,งานปรับปรุงเครื่องหมายจราจร  และอื่น ๆ ที่เหลือทั้งหมด  แล้วเสร็จเรียบร้อย  ถูกต้อง  ครบถ้วน</t>
  </si>
  <si>
    <t xml:space="preserve">เมื่อผู้รับจ้างได้ปฏิบัติงาน  งานลาดยางไพร์มโค้ท ผิวทางและไหล่ทาง แล้วเสร็จ เป็นระยะทาง   </t>
  </si>
  <si>
    <t xml:space="preserve">แล้วเสร็จ เป็นระยะทาง    </t>
  </si>
  <si>
    <t xml:space="preserve">เมื่อผู้รับจ้างได้ปฏิบัติงาน  งานลาดยางแทคโค้ท ผิวทางและไหล่ทาง แล้วเสร็จ เป็นระยะทาง   </t>
  </si>
  <si>
    <t>เมื่อผู้รับจ้างได้ปฏิบัติงาน  งานปูผิวทางและไหล่ทางแบบแอสฟัลติกคอนกรีต (กรณีปูบนลาดยางไพร์มโค้ท)</t>
  </si>
  <si>
    <t>เมื่อผู้รับจ้างได้ปฏิบัติงาน  งานปูผิวทางและไหล่ทางแบบแอสฟัลติกคอนกรีต (กรณีปูบนลาดยางแทคโค้ท)</t>
  </si>
  <si>
    <t xml:space="preserve">   - เมื่อผู้รับจ้างได้ปฏิบัติงาน  งานกรุยทางถางป่า งานปรับเกลี่ยและบดอัดคันทางเดิม  งานดินตัดและบดอัดลาดคันทางเดิม(BENCHING)</t>
  </si>
  <si>
    <t xml:space="preserve">   - เมื่อผู้รับจ้างได้ปฏิบัติงาน  งานลาดยางไพร์มโค้ทและแทคโค้ท  ผิวทางและไหล่ทาง  ระยะทางที่เหลือทั้งหมด  แล้วเสร็จ   เรียบร้อย   </t>
  </si>
  <si>
    <t xml:space="preserve">  - เมื่อผู้รับจ้างได้ปฏิบัติงาน  งานปูผิวทางและไหล่ทางแบบแอสฟัลติกคอนกรีต  ระยะทางที่เหลือทั้งหมด  แล้วเสร็จ   เรียบร้อย     </t>
  </si>
  <si>
    <t xml:space="preserve">  - เมื่อผู้รับจ้างได้ปฏิบัติงาน </t>
  </si>
  <si>
    <t>ชื่อสายทาง  แยก ทล.2148-บ้านปะคำ  อำเภอด่านขุนทด  จังหวัดนครราชสีมา</t>
  </si>
  <si>
    <t xml:space="preserve"> สถานที่ตั้ง   ตำบล   อำเภอด่านขุนทด   จังหวัดนครราชสีมา</t>
  </si>
  <si>
    <t xml:space="preserve"> งานดิน (EARTHWORK)</t>
  </si>
  <si>
    <t>1</t>
  </si>
  <si>
    <t xml:space="preserve"> งานถางป่าและขุดตอ</t>
  </si>
  <si>
    <t>1.1</t>
  </si>
  <si>
    <t xml:space="preserve">  งานถางป่าและขุดตอ  ขนาดเบา  (CLEARING AND GRUBBING)</t>
  </si>
  <si>
    <t>1.1.1</t>
  </si>
  <si>
    <t>งานปรับเกลี่ยแต่งและบดอัดคันทางเดิม</t>
  </si>
  <si>
    <t>1.1.2</t>
  </si>
  <si>
    <t xml:space="preserve"> งานปรับเกลี่ยแต่งและบดอัดคันทางเดิม</t>
  </si>
  <si>
    <t>1.1.2.2</t>
  </si>
  <si>
    <t xml:space="preserve"> งาน Benching</t>
  </si>
  <si>
    <t>1.2</t>
  </si>
  <si>
    <t xml:space="preserve"> งานตัดคันทาง (ROADWAY EXCAVATION)</t>
  </si>
  <si>
    <t>1.2.1</t>
  </si>
  <si>
    <t xml:space="preserve"> งานตัดดิน (EARTH EXCAVATION)</t>
  </si>
  <si>
    <t>1.3</t>
  </si>
  <si>
    <t xml:space="preserve"> งานดินคันทาง (EMBANKMENT)</t>
  </si>
  <si>
    <t>1.3.1</t>
  </si>
  <si>
    <t xml:space="preserve">  งานดินถมคันทาง (EARTH EMBANKMENT)</t>
  </si>
  <si>
    <t>2</t>
  </si>
  <si>
    <t xml:space="preserve"> งานรองพื้นทางและพื้นทาง (SUBBASE AND BASE COURSES)</t>
  </si>
  <si>
    <t>2.1</t>
  </si>
  <si>
    <t xml:space="preserve"> งานรองพื้นทาง (SUBBASES)</t>
  </si>
  <si>
    <t xml:space="preserve">  งานรองพื้นทางวัสดุมวลรวม (SOIL AGGREGATE SUBBASE)</t>
  </si>
  <si>
    <t>2.2</t>
  </si>
  <si>
    <t xml:space="preserve"> งานพื้นทาง (BASE COURSES)</t>
  </si>
  <si>
    <t xml:space="preserve">  งานพื้นทางหินคลุก (CRUSHED ROCK SOIL AGGREGATE TYPE BASE)</t>
  </si>
  <si>
    <t>3</t>
  </si>
  <si>
    <t xml:space="preserve"> งานผิวทาง (SURFACE COURSES)</t>
  </si>
  <si>
    <t>3.1</t>
  </si>
  <si>
    <t xml:space="preserve"> งานไพรม์โค้ต และแทคโค้ต (PRIME COAT &amp; TACK COAT)</t>
  </si>
  <si>
    <t>3.1.1</t>
  </si>
  <si>
    <t xml:space="preserve">  งานลาดแอสฟัลต์ไพรม์โค้ต (PRIME COAT)    (พื้นทางหินคลุก)</t>
  </si>
  <si>
    <t>3.1.2</t>
  </si>
  <si>
    <t xml:space="preserve">  งานลาดแอสฟัลต์แทคโค้ต (TACK COAT)</t>
  </si>
  <si>
    <t>3.2</t>
  </si>
  <si>
    <t xml:space="preserve"> งานแอสฟัลต์คอนกรีต (ASPHALT CONCRETE)</t>
  </si>
  <si>
    <t>3.2.1</t>
  </si>
  <si>
    <t>งานชั้นผิวทางแอสฟัลต์คอนกรีต หนา....ซม.(ASPHALT CONCRETE WEARING COURSE) กรณีบน Prime Coat</t>
  </si>
  <si>
    <t>3.2.2</t>
  </si>
  <si>
    <t>งานชั้นผิวทางแอสฟัลต์คอนกรีต (ASPHALT CONCRETE WEARING COURSE) กรณีบน Tack Coat</t>
  </si>
  <si>
    <t>3.2.3</t>
  </si>
  <si>
    <t>งานผิวไหล่ทางแอสฟัลต์คอนกรีต (ASPHALT CONCRETE SHOULDER) กรณีบน Prime Coat</t>
  </si>
  <si>
    <t>3.2.4</t>
  </si>
  <si>
    <t>งานผิวไหล่ทางแอสฟัลต์คอนกรีต หนา....ซม.(ASPHALT CONCRETE SHOULDER) กรณีบน Tack Coat</t>
  </si>
  <si>
    <t>4</t>
  </si>
  <si>
    <t xml:space="preserve"> งานโครงสร้าง (STRUCTURES)</t>
  </si>
  <si>
    <t>4.1</t>
  </si>
  <si>
    <t xml:space="preserve">  งานท่อกลมคอนกรีตเสริมเหล็ก (R.C.PIPE CULVERTS)  ขนาด  ศก. 0.80 ม.</t>
  </si>
  <si>
    <t>5</t>
  </si>
  <si>
    <t xml:space="preserve"> งานติดตั้งเครื่องหมายจราจร</t>
  </si>
  <si>
    <t>5.1</t>
  </si>
  <si>
    <t xml:space="preserve">  งานหลักนำโค้ง ค.ส.ล.</t>
  </si>
  <si>
    <t>5.2</t>
  </si>
  <si>
    <t xml:space="preserve">  งานหลักกิโลเมตร</t>
  </si>
  <si>
    <t>5.3</t>
  </si>
  <si>
    <t xml:space="preserve">  งานตีเส้นจราจร</t>
  </si>
  <si>
    <t>5.4</t>
  </si>
  <si>
    <t xml:space="preserve">  งาน Rumble Strips</t>
  </si>
  <si>
    <t>6</t>
  </si>
  <si>
    <t xml:space="preserve"> งานป้ายจราจร</t>
  </si>
  <si>
    <t>6.1</t>
  </si>
  <si>
    <t xml:space="preserve">  ป้ายจราจรแบบ บ1</t>
  </si>
  <si>
    <t>6.2</t>
  </si>
  <si>
    <t xml:space="preserve">  ต1 - ต27,ต31 -ต60</t>
  </si>
  <si>
    <t>6.3</t>
  </si>
  <si>
    <t xml:space="preserve">  รื้อย้ายป้ายจราจรเดิม ติดตั้งใหม่</t>
  </si>
  <si>
    <t>7</t>
  </si>
  <si>
    <t xml:space="preserve"> ค่าใช้จ่ายพิเศษตามข้อกำหนดฯ</t>
  </si>
  <si>
    <t>งานการจัดการเครื่องหมายจราจรระหว่างการก่อสร้าง</t>
  </si>
  <si>
    <t>LS</t>
  </si>
  <si>
    <t>รวมเป็นเงินค่าก่อสร้างงานทาง (บาท)</t>
  </si>
  <si>
    <t>บัญชีการประเมินราคา รายการก่อสร้าง</t>
  </si>
  <si>
    <t xml:space="preserve"> - ราคานี้ได้รวมค่าภาษีมูลค่าเพิ่มและค่าใช้จ่ายอื่น ๆ ทั้งปวงไว้ด้วยแล้ว</t>
  </si>
  <si>
    <t xml:space="preserve"> - ผู้รับจ้าง  ขอรับรองว่าจะดำเนินการก่อสร้างให้ครบถ้วนตามรูปแบบรายการ และข้อกำหนดของกรมทางหลวงชนบททุกประการ</t>
  </si>
  <si>
    <t xml:space="preserve"> - เอกสารบันทึกการประเมินราคาฉบับนี้ ทำขึ้นเป็น 2 ฉบับ มีข้อความถูกต้องตรงกันทั้ง 2 ฝ่าย ได้อ่านและเข้าใจข้อความ</t>
  </si>
  <si>
    <t xml:space="preserve"> - โดยตลอด จึงได้ลงมือชื่อ พร้อมประทับตรา(ถ้ามี)ไว้เป็นสำคัญต่อหน้าพยาน</t>
  </si>
  <si>
    <t>เห็นชอบ ………………………………………….</t>
  </si>
  <si>
    <t xml:space="preserve">    ( นายไพโรจน์  เริงสุทธิ์ )</t>
  </si>
  <si>
    <t xml:space="preserve">      ผู้อำนวยการกลุ่มวิชาการฯ</t>
  </si>
  <si>
    <t>ผู้จัดทำ……..…..........……….…………..          ตรวจ……......................……………….</t>
  </si>
  <si>
    <t xml:space="preserve">    ( นายเทวินทร์  กองพันธ์ )                    ( นายสิทธิพงษ์   จรรยาสุคนธ์ )</t>
  </si>
  <si>
    <t xml:space="preserve">    นายช่างโยธาชำนาญงาน                        นายช่างโยธาชำนาญงาน</t>
  </si>
  <si>
    <t>0+000</t>
  </si>
  <si>
    <t xml:space="preserve"> - งาน…………………………………………</t>
  </si>
  <si>
    <t xml:space="preserve">     1.1 เสาไฟฟ้าสูง  9.00 ม. พร้อมกิ่งเดี่ยวและอุปกรณ์ครบชุด</t>
  </si>
  <si>
    <t xml:space="preserve">     1.2 โคมไฟฟ้า HPS ขนาด 250 วัตต์ พร้อมอุปกรณ์ครบชุด</t>
  </si>
  <si>
    <t xml:space="preserve">     1.3 ฐานเสาไฟฟ้าคอนกรีตขนาด  0.40x0.80x1.20 ม.</t>
  </si>
  <si>
    <t xml:space="preserve">     1.4 สายไฟฟ้า CV  3C x 10 mm2  (สายไฟเดินระหว่างเสา)</t>
  </si>
  <si>
    <t xml:space="preserve">     1.5 สายไฟฟ้า CV  2C x 2.5 mm2  (สายไฟเดินเสาถึงดวงโคม)</t>
  </si>
  <si>
    <t xml:space="preserve">     1.6 ค่าทาสีและค่าติดตั้งแผ่นสะท้อนแสงชนิด Prismatic  Grade แบบที่ 9 </t>
  </si>
  <si>
    <t xml:space="preserve">     1.8 เทปเตือนอันตราย</t>
  </si>
  <si>
    <t xml:space="preserve">     1.9 Ground  rod</t>
  </si>
  <si>
    <t xml:space="preserve">     2.2 เซฟตี้สวิทซ์ชนิดกันน้ำ 60 A  พร้อมท่อเส้นผ่านศูนย์กลาง 1 1/4"</t>
  </si>
  <si>
    <t xml:space="preserve">     2.4 สายไฟฟ้า THW   1 x 35 mm2  </t>
  </si>
  <si>
    <t xml:space="preserve">     2.5 สายต่อฟิวส์แรงต่ำของ กฟภ. CV  3x10 mm2  </t>
  </si>
  <si>
    <t xml:space="preserve">     2.6 สายไฟฟ้า CV  3C x 10 mm2  (จากตู้ควบคุมถึงเสาไฟฟ้า)</t>
  </si>
  <si>
    <t xml:space="preserve">     2.7 Ground  rod  เหล็กกลมตัน หุ้มทองแดง ขนาด ศก. 16 มม.  ยาว 2.40 ม.</t>
  </si>
  <si>
    <t xml:space="preserve">ยางมะตอยซีเมนต์ปรับปรุงคุณภาพด้วยยางธรรมชาติ (PARA AC) </t>
  </si>
  <si>
    <t xml:space="preserve"> - งานถางป่าขุดตอ</t>
  </si>
  <si>
    <t xml:space="preserve"> - งานชุดรื้อคันทางเดิมแล้วบดทับ</t>
  </si>
  <si>
    <t>สะพาน คสล.ขนาด ................................</t>
  </si>
  <si>
    <t>อุปกรณ์ จาก อ.เมือง</t>
  </si>
  <si>
    <t>(Y2.1)</t>
  </si>
  <si>
    <t>(Y2.2)</t>
  </si>
  <si>
    <t>(Y3.1)</t>
  </si>
  <si>
    <t>(Y3.2)</t>
  </si>
  <si>
    <t>(ส่วนขยายตัวของดิน=1.15 , ส่วนขยายตัวของดินปนทราย=1.25)</t>
  </si>
  <si>
    <t>อัตราส่วนการยุบตัวเมื่อบดทับ  (...25...) x 1.6 (สูตรใช้ส่วนยุบตัวของดินปนทราย แนวถนนเก่า=1.6)</t>
  </si>
  <si>
    <t>ค่าตัดแต่งขั้นบันได</t>
  </si>
  <si>
    <t>... รวมค่างานต้นทุน (..26.1+26.2+27..)</t>
  </si>
  <si>
    <t>... รวมค่างานต้นทุน  (..20.1+20.2+21..)</t>
  </si>
  <si>
    <t>(Y4)</t>
  </si>
  <si>
    <t xml:space="preserve">ชุมแพ , ชัยบาดาล </t>
  </si>
  <si>
    <t>สระบุรี  , ปากช่อง</t>
  </si>
  <si>
    <t xml:space="preserve"> กม. =((ค่าขนส่ง+80) x 80))</t>
  </si>
  <si>
    <t xml:space="preserve">   =250,000 /10,000</t>
  </si>
  <si>
    <t>(Y5)</t>
  </si>
  <si>
    <t>กรณีผิวทางแอสฟัลท์ติคคอนกรีต(ปกติ)</t>
  </si>
  <si>
    <t xml:space="preserve">กรณียางมะตอยซีเมนต์ปรับปรุงคุณภาพด้วยยางธรรมชาติ (PARA AC) </t>
  </si>
  <si>
    <t xml:space="preserve"> - งานผิวจราจรลาดยางแบบ Para Asphaltic Concrete</t>
  </si>
  <si>
    <t xml:space="preserve"> - งานไหล่ทางแบบ Para Asphaltic Concrete</t>
  </si>
  <si>
    <t xml:space="preserve"> = (..108 / 107..)</t>
  </si>
  <si>
    <t xml:space="preserve"> -ค่ายาง AC         =…(..Y3.1  x  </t>
  </si>
  <si>
    <t xml:space="preserve"> -ค่ายาง AC         =…(..Y3.2  x  </t>
  </si>
  <si>
    <t xml:space="preserve">…ค่าใช้จ่ายรวม (บน Prime Coat)   </t>
  </si>
  <si>
    <t xml:space="preserve">…ค่าใช้จ่ายรวม (บน Tack Coat)        </t>
  </si>
  <si>
    <t xml:space="preserve">…ค่างานต้นทุนราคาแอสฟัลติกที่เลือกปูลาดและบดทับ (บน Prime Coat) </t>
  </si>
  <si>
    <t xml:space="preserve">...ค่างานต้นทุนราคาแอสฟัลติกที่เลือกปูลาดและบดทับ (บน Tack Coat)      </t>
  </si>
  <si>
    <t xml:space="preserve"> -  ค่าดำเนินการ+ค่าเสื่อมราคาค่าปูลาดและบดทับ  (บน Prime Coat)           หนา   </t>
  </si>
  <si>
    <t xml:space="preserve"> -  ค่าดำเนินการ+ค่าเสื่อมราคาค่าปูลาดและบดทับ (บน Tack Coat)               หนา</t>
  </si>
  <si>
    <t>หม้อ</t>
  </si>
  <si>
    <t>ปริมาณปูนซีเมนต์ (โดยน้ำหนัก)</t>
  </si>
  <si>
    <t>หน่วยน้ำหนักแห้งสูงสุดของวัสดุชั้นพื้นทางที่ขุด (γd)</t>
  </si>
  <si>
    <t>ตัน/ลบ.ม.</t>
  </si>
  <si>
    <t xml:space="preserve">ค่าดาเนินการ + ค่าเสื่อมราคา (งาน Pavement In Place Recycling </t>
  </si>
  <si>
    <t>ค่าดาเนินการ + ค่าเสื่อมราคา (งาน Stabilized Layer : ค่าบ่มวัสดุ หินคลุก................) X (ความหนา)</t>
  </si>
  <si>
    <t>ค่ายาง AC (รวมค่าขนส่ง) (ถ้ามี)</t>
  </si>
  <si>
    <t>ค่ายาง AC</t>
  </si>
  <si>
    <t xml:space="preserve">ค่างาน  Pavement In-Place Recycling  </t>
  </si>
  <si>
    <t xml:space="preserve">รวมค่างาน  Pavement In-Place Recycling </t>
  </si>
  <si>
    <t>ค่าปูนซีเมนต์ชนิด Bulk (รวมค่าขนส่ง)</t>
  </si>
  <si>
    <t>ปริมาณยางแอสฟัลต์(โดยน้ำหนัก)=................% X γd X 0.20 (ถ้ามี)</t>
  </si>
  <si>
    <t>ปริมาณปูนซีเมนต์ (โดยน้ำหนัก)=................% X  γd  X</t>
  </si>
  <si>
    <t>งานปรับปรุงชั้นทางเดิมในที่ ( Pavement In Place Recycling) (ชั้นพื้นทางหินคลุก/กรวดโม่)</t>
  </si>
  <si>
    <t>หมายเหตุ :</t>
  </si>
  <si>
    <t>งานปรับปรุงชั้นทางเดิมในที่ (Pavement In-Place Recycling) สาหรับการจัดทาราคากลางให้ใช้ข้อมูลจากผลการ</t>
  </si>
  <si>
    <t>ออกแบบส่วนผสม Job Mixed Design ในการคานวณราคากลาง</t>
  </si>
  <si>
    <t xml:space="preserve"> -ค่าดาเนินการ + ค่าเสื่อม (งานผิวทางแอสฟัลท์ติกคอนกรีต : ค่าผสมวัสดุแอสฟัลท์ติกคอนกรีต................) x 1.10</t>
  </si>
  <si>
    <t xml:space="preserve"> -ค่าดาเนินการ + ค่าเสื่อม (งานผิวทางแอสฟัลท์ติกคอนกรีต : ค่าผสมวัสดุแอสฟัลท์ติกคอนกรีต................)</t>
  </si>
  <si>
    <t xml:space="preserve"> -  ค่าดำเนินการ+ค่าเสื่อมราคาค่าปูลาดและบดทับ(บน Tack Coat )x1.10  หนา</t>
  </si>
  <si>
    <t xml:space="preserve"> -  ค่าดำเนินการ+ค่าเสื่อมราคาค่าปูลาดและบดทับ(บน Prime Coat )x1.10 หนา   </t>
  </si>
  <si>
    <t xml:space="preserve"> - งานทรายรองพื้นทาง</t>
  </si>
  <si>
    <t>5.4 งานดินถม (จากงานดินตัด)</t>
  </si>
  <si>
    <t xml:space="preserve"> 5.3 งานดินถม(จากการขนส่ง)</t>
  </si>
  <si>
    <t xml:space="preserve"> 5.2 งานทรายหยาบบดอัดแน่น</t>
  </si>
  <si>
    <t xml:space="preserve">... รวม </t>
  </si>
  <si>
    <t xml:space="preserve">(หลวม)   </t>
  </si>
  <si>
    <t xml:space="preserve">... รวมค่างานต้นทุน </t>
  </si>
  <si>
    <t>1.</t>
  </si>
  <si>
    <t>Expansion  Joint</t>
  </si>
  <si>
    <t>2.</t>
  </si>
  <si>
    <t>Contraction  Joint</t>
  </si>
  <si>
    <t>3.</t>
  </si>
  <si>
    <t>Longitudinal  Joint</t>
  </si>
  <si>
    <t>... รวม  (..16+18..)</t>
  </si>
  <si>
    <t>งานผิวทางคอนกรีตเสริมเหล็ก</t>
  </si>
  <si>
    <t xml:space="preserve">พิจารณาที่ความกว้าง </t>
  </si>
  <si>
    <t>ความยาว</t>
  </si>
  <si>
    <t>ค่าคอนกรีต  (สำหรับงานผิวทาง)</t>
  </si>
  <si>
    <t xml:space="preserve"> =.... ตร.ม. @</t>
  </si>
  <si>
    <t>เหล็กเสริมผิวทางคอนกรีต</t>
  </si>
  <si>
    <t>joint</t>
  </si>
  <si>
    <t xml:space="preserve"> - Dowel Bars ใช้         EXT. Joint</t>
  </si>
  <si>
    <t>Spacing</t>
  </si>
  <si>
    <t xml:space="preserve">cm. </t>
  </si>
  <si>
    <t>cm.</t>
  </si>
  <si>
    <t>จำนวนท่อน/Joint</t>
  </si>
  <si>
    <t xml:space="preserve"> ใช้จำนวน                   =</t>
  </si>
  <si>
    <t xml:space="preserve"> - จำนวน Contraction Joint  ทุกระยะ 10 เมตร</t>
  </si>
  <si>
    <t xml:space="preserve"> - Dowel Bars ใช้        Con. Joint</t>
  </si>
  <si>
    <t xml:space="preserve"> - จำนวน  Longitudinal  Joint </t>
  </si>
  <si>
    <t>ตลอดความยาว</t>
  </si>
  <si>
    <t xml:space="preserve"> - Ties Bars ใช้       Long. Joint</t>
  </si>
  <si>
    <t>จำนวนท่อน</t>
  </si>
  <si>
    <t>EXPANSION JOINT</t>
  </si>
  <si>
    <t xml:space="preserve">คิดจากความยาว </t>
  </si>
  <si>
    <t xml:space="preserve">CAP + ทาสี + จาระบี </t>
  </si>
  <si>
    <t xml:space="preserve">ชุด  @ </t>
  </si>
  <si>
    <t>JOINT  FILLER</t>
  </si>
  <si>
    <t>ตร.ม. @</t>
  </si>
  <si>
    <t xml:space="preserve">JOINT  SEALER </t>
  </si>
  <si>
    <t>ลิตร @</t>
  </si>
  <si>
    <t xml:space="preserve">ค่าหยอดยาง </t>
  </si>
  <si>
    <t xml:space="preserve"> ม. @</t>
  </si>
  <si>
    <t>แผ่นพลาสติก</t>
  </si>
  <si>
    <t>ลบ.ฟ.  @</t>
  </si>
  <si>
    <t>ค่าใช้จ่ายรวม</t>
  </si>
  <si>
    <t>ความกว้างช่องจราจร</t>
  </si>
  <si>
    <t>ความหนา         (ซม.)</t>
  </si>
  <si>
    <t>DOWEL  BAR      (กก.)</t>
  </si>
  <si>
    <t>METAL  CAP       (ชุด)</t>
  </si>
  <si>
    <t>JOINT  FILLER (ตร.ม.)</t>
  </si>
  <si>
    <t>JOINT  SEALER (ลิตร)</t>
  </si>
  <si>
    <t>แผ่นพลาสติก    (ตร.ม.)</t>
  </si>
  <si>
    <t>ไม้แบบ             (ตร.ม.)</t>
  </si>
  <si>
    <t>Cap</t>
  </si>
  <si>
    <t>ราคาชุดละ</t>
  </si>
  <si>
    <t>@       10.-   บาท   (ประมาณ)</t>
  </si>
  <si>
    <t>Joint  Filler</t>
  </si>
  <si>
    <t>ราคาตารางเมตรละ</t>
  </si>
  <si>
    <t>@     400.-   บาท   (ประมาณ)</t>
  </si>
  <si>
    <t>Joint  Sealer</t>
  </si>
  <si>
    <t>ลิตรละ</t>
  </si>
  <si>
    <t>@       45.-   บาท   (ประมาณ)</t>
  </si>
  <si>
    <t>เมตรละ</t>
  </si>
  <si>
    <t>CONTRACTION JOINT</t>
  </si>
  <si>
    <t xml:space="preserve">ม.  @ </t>
  </si>
  <si>
    <t xml:space="preserve">ทาสี + จาระบี  </t>
  </si>
  <si>
    <t>ชุด @</t>
  </si>
  <si>
    <t>JOINT  SEALER</t>
  </si>
  <si>
    <t xml:space="preserve">แผ่นพลาสติก </t>
  </si>
  <si>
    <t>LONGITUDINAL  JOINT</t>
  </si>
  <si>
    <t>ค่าตัด JOINT และหยอดยาง</t>
  </si>
  <si>
    <t>ม. @</t>
  </si>
  <si>
    <t xml:space="preserve"> ลิตร @</t>
  </si>
  <si>
    <t>ขนาด กว้าง................x 10.00 เมตร</t>
  </si>
  <si>
    <t>ปริมาณงานทั้งโครงการ</t>
  </si>
  <si>
    <t>ค่าติดตั้งเครื่องผสม 150,000 บาท /................ลบ.ม.</t>
  </si>
  <si>
    <t>กรณีที่ปริมาณงานทั้งโครงการน้อยกว่า 5,000 ลบ.ม. ให้ใช้ปริมาณงาน 5,000 ลบ.ม.</t>
  </si>
  <si>
    <t>ค่าคอนกรีต + ค่าติดตั้งเครื่องผสม=................+................</t>
  </si>
  <si>
    <t>ค1</t>
  </si>
  <si>
    <t>ค2</t>
  </si>
  <si>
    <t>ค3</t>
  </si>
  <si>
    <t>ค4</t>
  </si>
  <si>
    <t>ลีน1:3:5</t>
  </si>
  <si>
    <t>คิดจากพื้นที่ =................ตร.ม.</t>
  </si>
  <si>
    <t>ปริมาตรคอนกรีต=................x................/ 100</t>
  </si>
  <si>
    <t>ค่าคอนกรีต + ค่าติดตั้งเครื่องผสม................ลบ.ม. @................</t>
  </si>
  <si>
    <t>ค่าขนส่งคอนกรีต................กม. (ปกติคิดให้ L/4) (งานผิวทางคอนกรีต : ค่าขนส่งคอนกรีต................)</t>
  </si>
  <si>
    <t>คิดให้ L/4</t>
  </si>
  <si>
    <t>กม.  =</t>
  </si>
  <si>
    <t xml:space="preserve"> (งานผิวทางคอนกรีต : ค่าขนส่งคอนกรีต................)</t>
  </si>
  <si>
    <t>ค่าแบบเหล็ก (งานผิวทางคอนกรีต : ค่าแบบข้างติดตามยาว 2 ข้าง................)</t>
  </si>
  <si>
    <t>=................X 10 เมตร</t>
  </si>
  <si>
    <t>ค่าปูผิวคอนกรีต (งานผิวทางคอนกรีต : ค่าปูผิวคอนกรีต................)                                 =................X................ตร.ม.</t>
  </si>
  <si>
    <t xml:space="preserve"> ค่าปูผิวคอนกรีต</t>
  </si>
  <si>
    <t xml:space="preserve"> ค่าตัดรอยต่อคอนกรีต และหยอดยาง</t>
  </si>
  <si>
    <t xml:space="preserve"> ค่าหยอดยางรอยต่อคอนกรีต</t>
  </si>
  <si>
    <t>ค่าบ่ม (งานผิวทางคอนกรีต : ค่าบ่มผิวทางคอนกรีต................)=................X................ตร.ม.</t>
  </si>
  <si>
    <t>ค่าขัดหยาบผิวคอนกรีต................ตร.ม. x................บาท/ตร.ม. =................บาท</t>
  </si>
  <si>
    <t>ค่าใช้จ่ายรวม =................บาท</t>
  </si>
  <si>
    <t>ค่างานต้นทุน =................/................</t>
  </si>
  <si>
    <t>พร้อมขนส่ง</t>
  </si>
  <si>
    <t>21.1 รายการประมาณราคาอุปกรณ์และค่างานติดตั้งประกอบด้วย</t>
  </si>
  <si>
    <t xml:space="preserve"> 21.2 ค่าธรรมเนียมการไฟฟ้า</t>
  </si>
  <si>
    <t xml:space="preserve"> - จำนวน Expansion Joint  ทุกระยะ 200 - 250 เมตร</t>
  </si>
  <si>
    <t xml:space="preserve"> ใช้จำนวน            =</t>
  </si>
  <si>
    <t>ค่าวัสดุจากแหล่งรวมค่าตัก</t>
  </si>
  <si>
    <t xml:space="preserve">ส่วนยุบตัว = 1.40 x……………………. </t>
  </si>
  <si>
    <t>ค่าดาเนินการและค่าเสื่อมบดอัด 75%</t>
  </si>
  <si>
    <t>up 7สค.61</t>
  </si>
  <si>
    <t>ประมาณการตามแบบใบ BOQ</t>
  </si>
  <si>
    <t>ราคาพาณิชย์เดือน</t>
  </si>
  <si>
    <t>คค 0703/4452</t>
  </si>
  <si>
    <t>ขทช.นม</t>
  </si>
  <si>
    <t>บันทึกสืบ</t>
  </si>
  <si>
    <t>ขทช.ชย.</t>
  </si>
  <si>
    <t>ภูผาม่าน</t>
  </si>
  <si>
    <t>ชัยบาดาล</t>
  </si>
  <si>
    <t>บึงสามพัน</t>
  </si>
  <si>
    <t>(เฉพาะ บร.)</t>
  </si>
  <si>
    <t>ชมรม</t>
  </si>
  <si>
    <t>ขทช.บร.</t>
  </si>
  <si>
    <t xml:space="preserve"> แขวงทางหลวงชนบทจังหวัดนครราชสีมา</t>
  </si>
  <si>
    <t xml:space="preserve"> แขวงทางหลวงชนบทจังหวัดชัยภูมิ</t>
  </si>
  <si>
    <t xml:space="preserve"> แขวงทางหลวงชนบทจังหวัดบุรีรัมย์</t>
  </si>
  <si>
    <t xml:space="preserve"> แขวงทางหลวงชนบทจังหวัดสุรินทร์</t>
  </si>
  <si>
    <t>ขทช.สร.</t>
  </si>
  <si>
    <t>ผู้อำนวยการสำนักทางหลวงชนบทที่ 5 (นครราชสีมา)</t>
  </si>
  <si>
    <t>ฝากราคายางมะตอย</t>
  </si>
  <si>
    <t>    ชนิดเอซี เกรด AC - 60/70 บรรจุ BULK</t>
  </si>
  <si>
    <t>    ชนิดเออีแข็งตัวช้า เกรด CSS-1 บรรจุ BULK</t>
  </si>
  <si>
    <t>    ชนิดเออีแข็งตัวช้า เกรด CSS-1h บรรจุ BULK</t>
  </si>
  <si>
    <t>    ชนิดเออีแข็งตัวเร็ว เกรด CRS-2 บรรจุ BULK</t>
  </si>
  <si>
    <t>    ชนิดเออีแข็งตัวเร็วปานกลาง เกรด CMS-2h บรรจุ BULK</t>
  </si>
  <si>
    <t>    ชนิดคัทแบ็คแข็งตัวเร็วปานกลาง เกรด MC-70 บรรจุ BULK</t>
  </si>
  <si>
    <t>    ชนิด PMA (Polymer Modified Asphalt) บรรจุ BULK</t>
  </si>
  <si>
    <t>    ยางมะตอยซีเมนต์ปรับปรุงคุณภาพด้วยยางธรรมชาติ (PARA AC) บรรจุ BULK</t>
  </si>
  <si>
    <t>    ยางมะตอย ชนิดเออีแข็งตัวเร็ว เกรด EAP บรรจุ BULK</t>
  </si>
  <si>
    <t>    ยางมะตอย ชนิดเออีแข็งตัวเร็ว เกรด CSS-1h (EMA) บรรจุ BULK</t>
  </si>
  <si>
    <t>    ยางมะตอย ชนิด AC เกรด AC-40/50 บรรจุ BULK</t>
  </si>
  <si>
    <t xml:space="preserve">ยาง ชนิด PMA </t>
  </si>
  <si>
    <t>ยาง Para AC</t>
  </si>
  <si>
    <t>ยาง เออี</t>
  </si>
  <si>
    <t>21.งานติดตั้งไฟฟ้าแสงสว่างถนน(ใหม่)ตามหนังสือสำนักอำนวยความปลอดภัยที่ คค 0729.3/ว986 ลว. 5 กรกฎาคม 2561</t>
  </si>
  <si>
    <t>เสาไฟฟ้าแบบกิ่งเดี่ยวสูง 9 .00 ม. ชนิด HIGH PRESSURE SODIUM LAMPS 250 WATTS CUT - OFF TAPERED STEEL POLE SINGLE BRACKET</t>
  </si>
  <si>
    <t>มหาดไทย</t>
  </si>
  <si>
    <t>ยกระดับมาตรฐานทาง</t>
  </si>
  <si>
    <t>คลองเมือง</t>
  </si>
  <si>
    <t>จักราช</t>
  </si>
  <si>
    <t>กองช่าง</t>
  </si>
  <si>
    <t>ยาง CSS - 1</t>
  </si>
  <si>
    <t>ยาง CSS - 1h</t>
  </si>
  <si>
    <t>ยาง CRS - 2</t>
  </si>
  <si>
    <t>ยาง CMS - 2h</t>
  </si>
  <si>
    <t>ยาง เออี CSS - 1h</t>
  </si>
  <si>
    <t>ยาง AC 40-50</t>
  </si>
  <si>
    <t>ยาง CSS - 1h (EMA)</t>
  </si>
  <si>
    <t>ยาง MC - 70</t>
  </si>
  <si>
    <r>
      <t>เหล็กเสริม RB  Ø</t>
    </r>
    <r>
      <rPr>
        <sz val="14"/>
        <rFont val="TH SarabunPSK"/>
        <family val="2"/>
      </rPr>
      <t xml:space="preserve">  6 มม.</t>
    </r>
  </si>
  <si>
    <r>
      <t>เหล็กเสริม RB  Ø</t>
    </r>
    <r>
      <rPr>
        <sz val="14"/>
        <rFont val="TH SarabunPSK"/>
        <family val="2"/>
      </rPr>
      <t xml:space="preserve">  9 มม.</t>
    </r>
  </si>
  <si>
    <r>
      <t>เหล็กเสริม RB  Ø</t>
    </r>
    <r>
      <rPr>
        <sz val="14"/>
        <rFont val="TH SarabunPSK"/>
        <family val="2"/>
      </rPr>
      <t xml:space="preserve">  12 มม.</t>
    </r>
  </si>
  <si>
    <r>
      <t>เหล็กเสริม RB  Ø</t>
    </r>
    <r>
      <rPr>
        <sz val="14"/>
        <rFont val="TH SarabunPSK"/>
        <family val="2"/>
      </rPr>
      <t xml:space="preserve">  15 มม.</t>
    </r>
  </si>
  <si>
    <r>
      <t>เหล็กเสริม RB  Ø</t>
    </r>
    <r>
      <rPr>
        <sz val="14"/>
        <rFont val="TH SarabunPSK"/>
        <family val="2"/>
      </rPr>
      <t xml:space="preserve">  19 มม.</t>
    </r>
  </si>
  <si>
    <r>
      <t>เหล็กเสริม RB  Ø</t>
    </r>
    <r>
      <rPr>
        <sz val="14"/>
        <rFont val="TH SarabunPSK"/>
        <family val="2"/>
      </rPr>
      <t xml:space="preserve">  25 มม.</t>
    </r>
  </si>
  <si>
    <r>
      <t>เหล็กเสริม DB  Ø</t>
    </r>
    <r>
      <rPr>
        <sz val="14"/>
        <rFont val="TH SarabunPSK"/>
        <family val="2"/>
      </rPr>
      <t xml:space="preserve">  12 มม.</t>
    </r>
  </si>
  <si>
    <r>
      <t>เหล็กเสริม DB  Ø</t>
    </r>
    <r>
      <rPr>
        <sz val="14"/>
        <rFont val="TH SarabunPSK"/>
        <family val="2"/>
      </rPr>
      <t xml:space="preserve">  16 มม.</t>
    </r>
  </si>
  <si>
    <r>
      <t>เหล็กเสริม DB  Ø</t>
    </r>
    <r>
      <rPr>
        <sz val="14"/>
        <rFont val="TH SarabunPSK"/>
        <family val="2"/>
      </rPr>
      <t xml:space="preserve">  20 มม.</t>
    </r>
  </si>
  <si>
    <r>
      <t>เหล็กเสริม DB  Ø</t>
    </r>
    <r>
      <rPr>
        <sz val="14"/>
        <rFont val="TH SarabunPSK"/>
        <family val="2"/>
      </rPr>
      <t xml:space="preserve">  25 มม.</t>
    </r>
  </si>
  <si>
    <r>
      <t>ท่อ คสล.  Ø</t>
    </r>
    <r>
      <rPr>
        <sz val="14"/>
        <rFont val="TH SarabunPSK"/>
        <family val="2"/>
      </rPr>
      <t xml:space="preserve">  0.40 ม.</t>
    </r>
  </si>
  <si>
    <r>
      <t>ท่อ คสล.  Ø</t>
    </r>
    <r>
      <rPr>
        <sz val="14"/>
        <rFont val="TH SarabunPSK"/>
        <family val="2"/>
      </rPr>
      <t xml:space="preserve">  0.60 ม.</t>
    </r>
  </si>
  <si>
    <r>
      <t>ท่อ คสล.  Ø</t>
    </r>
    <r>
      <rPr>
        <sz val="14"/>
        <rFont val="TH SarabunPSK"/>
        <family val="2"/>
      </rPr>
      <t xml:space="preserve">  0.80 ม.</t>
    </r>
  </si>
  <si>
    <r>
      <t>ท่อ คสล.  Ø</t>
    </r>
    <r>
      <rPr>
        <sz val="14"/>
        <rFont val="TH SarabunPSK"/>
        <family val="2"/>
      </rPr>
      <t xml:space="preserve">  1.00 ม.</t>
    </r>
  </si>
  <si>
    <r>
      <t>ท่อ คสล.  Ø</t>
    </r>
    <r>
      <rPr>
        <sz val="14"/>
        <rFont val="TH SarabunPSK"/>
        <family val="2"/>
      </rPr>
      <t xml:space="preserve">  1.20 ม.</t>
    </r>
  </si>
  <si>
    <r>
      <t>ท่อ คสล.  Ø</t>
    </r>
    <r>
      <rPr>
        <sz val="14"/>
        <rFont val="TH SarabunPSK"/>
        <family val="2"/>
      </rPr>
      <t xml:space="preserve">  1.50 ม.</t>
    </r>
  </si>
  <si>
    <t>อ.จักราช  จ.นครราชสีมา</t>
  </si>
  <si>
    <t>อ.โชคชัย  จ.นครราชสีมา</t>
  </si>
  <si>
    <t>นายวัชระ  คำแดง</t>
  </si>
  <si>
    <t>ผู้อำนวยการกองช่าง</t>
  </si>
  <si>
    <t>นายบุญทัน  พลานชัย</t>
  </si>
  <si>
    <t>นายกองค์การบริหารส่วนตำบลคลองเมือง</t>
  </si>
  <si>
    <t>Asphaltic Concrete Plant Mobile ถึงพื้นที่ก่อสร้าง (บนPrime Coat)</t>
  </si>
  <si>
    <t>หลักกิโลเมตร (ปรับปรุง)</t>
  </si>
  <si>
    <t>GUARD RAIL (ปรับปรุง)</t>
  </si>
  <si>
    <t xml:space="preserve"> - ค้ำยัน 3" x 3.00 เมตร</t>
  </si>
  <si>
    <t xml:space="preserve"> - ค้ำยัน 4" x 4.00 เมตร</t>
  </si>
  <si>
    <t xml:space="preserve"> - ค้ำยัน 6" x 6.00 เมตร</t>
  </si>
  <si>
    <t>อ.สูงเนิน  จ.นครราชสีมา</t>
  </si>
  <si>
    <t>พาณิชย์</t>
  </si>
  <si>
    <t>146 กม.</t>
  </si>
  <si>
    <t>73 กม.</t>
  </si>
  <si>
    <t>24 กม.</t>
  </si>
  <si>
    <t>50 กม.</t>
  </si>
  <si>
    <t>โชคชัย</t>
  </si>
  <si>
    <t xml:space="preserve"> - งานผิวทางคอนกรีตเสริมเหล็ก (กรณีใช้เหล็กเส้นทั่วไป)</t>
  </si>
  <si>
    <t xml:space="preserve"> - งานผิวทางคอนกรีตเสริมเหล็ก (กรณีใช้ตะแกรงเหล็ก)</t>
  </si>
  <si>
    <t xml:space="preserve"> - งานไหล่ทางแบบลูกรัง/หินคลุกบดอัดแน่น</t>
  </si>
  <si>
    <t>นายปรีชา  กระจ่างโพธิ์</t>
  </si>
  <si>
    <t>ปลัดองค์การบริหารส่วนตำบลคลองเมือง</t>
  </si>
  <si>
    <t>องค์การบริหารส่วนตำบลคลองเมือง</t>
  </si>
  <si>
    <t xml:space="preserve"> - ขนาด  Ø  0.40 ม.</t>
  </si>
  <si>
    <t xml:space="preserve"> - ขนาด  Ø  0.60 ม.</t>
  </si>
  <si>
    <t xml:space="preserve"> - ขนาด  Ø  0.80 ม.</t>
  </si>
  <si>
    <t xml:space="preserve"> - ขนาด  Ø  1.00 ม.</t>
  </si>
  <si>
    <t xml:space="preserve"> - ขนาด  Ø  1.20 ม.</t>
  </si>
  <si>
    <t xml:space="preserve"> - 1  -  Ø   0.60 ม. (HW+EW = 2 )</t>
  </si>
  <si>
    <t xml:space="preserve"> - 2  -  Ø   0.60 ม. (HW+EW = 2 )</t>
  </si>
  <si>
    <t xml:space="preserve"> - 1  -  Ø   0.80 ม. (HW+EW = 2 )</t>
  </si>
  <si>
    <t xml:space="preserve"> - 2  -  Ø   0.80 ม. (HW+EW = 2 )</t>
  </si>
  <si>
    <t xml:space="preserve"> - 1  -  Ø   1.00 ม. (HW+EW = 2 )</t>
  </si>
  <si>
    <t xml:space="preserve"> - 2  -  Ø   1.00 ม. (HW+EW = 2 )</t>
  </si>
  <si>
    <t xml:space="preserve"> - 3  -  Ø   1.00 ม. (HW+EW = 2 )</t>
  </si>
  <si>
    <t xml:space="preserve">รางระบายน้ำ คสล. แบบ ข - 30 (ฝาปิด คสล.) </t>
  </si>
  <si>
    <t xml:space="preserve"> -Timber Barricade</t>
  </si>
  <si>
    <t xml:space="preserve"> -Guard Rail ทางตรง</t>
  </si>
  <si>
    <t xml:space="preserve"> -Guard Rail ติดตั้งที่คอสะพานและทางโค้ง</t>
  </si>
  <si>
    <t xml:space="preserve"> -ป้ายกำหนดน้ำหนักบรรทุก ขนาด 1.20x2.40 ม.</t>
  </si>
  <si>
    <t>ท่อเหลี่ยม คสล. ขนาด 1-1.80X1.80X11.00 ม.</t>
  </si>
  <si>
    <t>ค. งานอำนวยการ</t>
  </si>
  <si>
    <t xml:space="preserve"> - งาน Pavement In-Place Recycling</t>
  </si>
  <si>
    <t xml:space="preserve"> - งานขุดรื้อผิวทางเดิม ( Milling )</t>
  </si>
  <si>
    <t xml:space="preserve"> - งานชั้นพื้นทาง (หินคลุก)</t>
  </si>
  <si>
    <t>(บนPrime Coat)</t>
  </si>
  <si>
    <t>(บนTack Coat)</t>
  </si>
  <si>
    <t>ค่าแรงงานผสมปูน+เท (หยาบ)</t>
  </si>
  <si>
    <t>ค่าวางตะแกรงเหล็ก................ตร.ม. x..............บาท/ตร.ม.</t>
  </si>
  <si>
    <t>(หินคลุก 10 ซม.)</t>
  </si>
  <si>
    <t xml:space="preserve"> ( แบบมาตรฐานงานทางสำหรับ อปท. ทถ-2-202 )</t>
  </si>
  <si>
    <t xml:space="preserve"> ผิว AC 5 ซม.(ขนทิ้ง)</t>
  </si>
  <si>
    <t>งานราดยางไพรม์โค้ต</t>
  </si>
  <si>
    <t>งานราดยางแทคโค้ต</t>
  </si>
  <si>
    <t>งานผิวทางแอสฟัลท์ติกคอนกรีต</t>
  </si>
  <si>
    <t xml:space="preserve"> ค่าผสมวัสดุแอสฟัลท์ติกคอนกรีต</t>
  </si>
  <si>
    <t xml:space="preserve"> งานปูลาดและบดทับ ผิว AC หนา 5 ซม.</t>
  </si>
  <si>
    <t xml:space="preserve">  บนผิวไพรม์โค้ต</t>
  </si>
  <si>
    <t xml:space="preserve">  บนผิวแทคโค้ต</t>
  </si>
  <si>
    <t>ราคาต่อหน่วย x FF</t>
  </si>
  <si>
    <t>.……...…………………………………………</t>
  </si>
  <si>
    <t xml:space="preserve"> - 2  -  Ø  0.80 ม. (HW+EW = 2 )</t>
  </si>
  <si>
    <t xml:space="preserve"> - 1  -  Ø  1.00 ม. (HW+EW = 2 )</t>
  </si>
  <si>
    <t xml:space="preserve"> - 2  -  Ø  1.00 ม. (HW+EW = 2 )</t>
  </si>
  <si>
    <t xml:space="preserve"> - งานผิวจราจรลาดยางแบบ Asphaltic Concrete (หนา 0.05 ม.)</t>
  </si>
  <si>
    <t xml:space="preserve"> - งานไหล่ทางแบบ Asphaltic Concrete (หนา 0.05 ม.)</t>
  </si>
  <si>
    <t xml:space="preserve"> - งาน Benching</t>
  </si>
  <si>
    <t>รวมระยะทางดำเนินการ</t>
  </si>
  <si>
    <t xml:space="preserve">ค่า Factor F งานก่อสร้างทางซึ่งรวมค่าใช้จ่ายพิเศษตามข้อกำหนดฯ (Factor FN) = 4×6  </t>
  </si>
  <si>
    <t>ค่า Factor F งานก่อสร้างสะพานและท่อเหลี่ยมซึ่งรวมค่าใช้จ่ายพิเศษตามข้อกำหนดฯ (Factor FN) =5×6</t>
  </si>
  <si>
    <t>ก. งานทาง</t>
  </si>
  <si>
    <t>..................................................</t>
  </si>
  <si>
    <t>( 325 KSC )</t>
  </si>
  <si>
    <t>ตำแหน่ง ปลัดองค์การบริหารส่วนตำบลคลองเมือง</t>
  </si>
  <si>
    <t>ตำแหน่ง ผู้อำนวยการกองคลัง</t>
  </si>
  <si>
    <t>( นายณัฐศักย์  โกเวทวิทยา )</t>
  </si>
  <si>
    <t>( นายปรีชา  กระจ่างโพธิ์ )</t>
  </si>
  <si>
    <t>กรมส่งเสริมการปกครองท้องถิ่น</t>
  </si>
  <si>
    <t xml:space="preserve"> 31 ม.ค. 2564</t>
  </si>
  <si>
    <t xml:space="preserve"> - งานไหล่ทางแบบหินคลุกบดอัดแน่น</t>
  </si>
  <si>
    <t>กรกฎาคม 2565</t>
  </si>
  <si>
    <t xml:space="preserve">ผู้คำนวณราคา </t>
  </si>
  <si>
    <t xml:space="preserve"> - ป้ายจราจรแบบ (ต63 + ต66) 1 แผ่นป้ายต่อชุด</t>
  </si>
  <si>
    <t xml:space="preserve"> - ป้ายกำหนดน้ำหนักบรรทุก ขนาด 1.20x2.40 ม.</t>
  </si>
  <si>
    <t xml:space="preserve"> - ป้ายจราจร บ3 - บ36</t>
  </si>
  <si>
    <t xml:space="preserve"> - ป้ายจราจรแบบ บ2</t>
  </si>
  <si>
    <t xml:space="preserve"> - ป้ายจราจรแบบ บ1</t>
  </si>
  <si>
    <t xml:space="preserve"> - ป้ายกิโลเมตร</t>
  </si>
  <si>
    <t xml:space="preserve"> - งานติดตั้งไฟฟ้าส่องสว่าง</t>
  </si>
  <si>
    <t xml:space="preserve"> - งานขยายเขตหม้อแปลงไฟฟ้า</t>
  </si>
  <si>
    <t>กม. ผิวจราจรกว้าง</t>
  </si>
  <si>
    <t>ก่อสร้างถนนคอนกรีตเสริมเหล็ก</t>
  </si>
  <si>
    <t xml:space="preserve"> - ค่างานต้นทุนคอนกรีต   ค.1  ( ปูนซีเมนต์ 304 กก. ทราย 0.744 ลบ. ม. หิน 0.833 ลบ. ม. )</t>
  </si>
  <si>
    <t xml:space="preserve"> - ค่างานต้นทุนคอนกรีต   ค.4  ( ปูนซีเมนต์ 420 กก. ทราย 0.628 ลบ. ม. หิน 0.837 ลบ. ม. )</t>
  </si>
  <si>
    <t>เหล็กเสริม RB.Æ 6 มม.</t>
  </si>
  <si>
    <t>เหล็กเสริม RB.Æ 9 มม.</t>
  </si>
  <si>
    <t>เหล็กเสริม RB.Æ12 มม.</t>
  </si>
  <si>
    <t>เหล็กเสริม RB.ฦ15 มม.</t>
  </si>
  <si>
    <t>เหล็กเสริม RB.ฦ19 มม.</t>
  </si>
  <si>
    <t>เหล็กเสริม RB.ฦ25 มม.</t>
  </si>
  <si>
    <t>เหล็กเสริม DB.ฦ12 มม.</t>
  </si>
  <si>
    <t>เหล็กเสริม DB.ฦ16 มม.</t>
  </si>
  <si>
    <t>เหล็กเสริม DB.ฦ 20 มม.</t>
  </si>
  <si>
    <t>เหล็กเสริม DB.ฦ25 มม.</t>
  </si>
  <si>
    <t>ท่อ คสล.  ฦ   0.40  ม.</t>
  </si>
  <si>
    <t>ท่อ คสล.  ฦ   0.60  ม.</t>
  </si>
  <si>
    <t>ท่อ คสล.  ฦ   0.80  ม.</t>
  </si>
  <si>
    <t>ท่อ คสล.  ฦ   1.00  ม.</t>
  </si>
  <si>
    <t>ท่อ คสล.  ฦ   1.20  ม.</t>
  </si>
  <si>
    <t>ท่อ คสล.  ฦ   1.50  ม.</t>
  </si>
  <si>
    <r>
      <t>ขนาด RB Ø</t>
    </r>
    <r>
      <rPr>
        <sz val="13.8"/>
        <rFont val="TH SarabunPSK"/>
        <family val="2"/>
      </rPr>
      <t xml:space="preserve"> </t>
    </r>
    <r>
      <rPr>
        <sz val="12"/>
        <rFont val="TH SarabunPSK"/>
        <family val="2"/>
      </rPr>
      <t>19 มม.</t>
    </r>
  </si>
  <si>
    <t>ขนาด RB Ø 19 มม.</t>
  </si>
  <si>
    <r>
      <t>ขนาด DB Ø</t>
    </r>
    <r>
      <rPr>
        <sz val="13.8"/>
        <rFont val="TH SarabunPSK"/>
        <family val="2"/>
      </rPr>
      <t xml:space="preserve"> </t>
    </r>
    <r>
      <rPr>
        <sz val="12"/>
        <rFont val="TH SarabunPSK"/>
        <family val="2"/>
      </rPr>
      <t>12 มม.</t>
    </r>
  </si>
  <si>
    <r>
      <t>ค่าเหล็ก ขนาด RB Ø</t>
    </r>
    <r>
      <rPr>
        <sz val="13.8"/>
        <rFont val="TH SarabunPSK"/>
        <family val="2"/>
      </rPr>
      <t xml:space="preserve"> </t>
    </r>
    <r>
      <rPr>
        <sz val="12"/>
        <rFont val="TH SarabunPSK"/>
        <family val="2"/>
      </rPr>
      <t>19 มม.</t>
    </r>
  </si>
  <si>
    <r>
      <rPr>
        <b/>
        <sz val="12"/>
        <rFont val="TH SarabunPSK"/>
        <family val="2"/>
      </rPr>
      <t>หมายเหตุ</t>
    </r>
    <r>
      <rPr>
        <sz val="12"/>
        <rFont val="TH SarabunPSK"/>
        <family val="2"/>
      </rPr>
      <t xml:space="preserve">  (ราคาวัสดุต่าง  ๆ  ให้ตรวจสอบในท้องตลาดก่อนประเมินราคา)</t>
    </r>
  </si>
  <si>
    <t>ค่าเหล็ก ขนาด DB Ø 12 มม.</t>
  </si>
  <si>
    <t>Y = ค่ายางแอสฟัลท์ CRS-2  ที่โรงงานรวมค่าขนส่ง</t>
  </si>
  <si>
    <t>Y1 = ค่ายางแอสฟัลท์ CSS - 1  ที่โรงงานรวมค่าขนส่ง</t>
  </si>
  <si>
    <t>Y2.1 = ค่ายางแอสฟัลท์ CSS-1h  ที่โรงงานรวมค่าขนส่ง</t>
  </si>
  <si>
    <t>Y2.2 = ค่ายางแอสฟัลท์ Css -  1h (EMA)  ที่โรงงานรวมค่าขนส่ง</t>
  </si>
  <si>
    <t>Y3.1 = ค่ายางแอสฟัลท์ AC 60-70  ที่โรงงานรวมค่าขนส่ง+ขนขึ้นลง</t>
  </si>
  <si>
    <t>Y3.2 = ค่ายางแอสฟัลท์ปรับปรุงคุณภาพด้วยยางธรรมชาติ (PARA AC)  ที่โรงงานรวมค่าขนส่ง+ขนขึ้นลง</t>
  </si>
  <si>
    <t>Y4 = ค่ายางแอสฟัลท์ Cms-2h  ที่โรงงานรวมค่าขนส่ง</t>
  </si>
  <si>
    <t>Y5 = ค่ายางแอสฟัลท์ MC70  ที่โรงงานรวมค่าขนส่ง+ขนขึ้นลง</t>
  </si>
  <si>
    <t>ค่าเหล็กเสริม SR.   Ø  9  มม. รวมค่าขนส่ง</t>
  </si>
  <si>
    <t>ค่าเหล็กเสริม SR.   Ø  12  มม. รวมค่าขนส่ง</t>
  </si>
  <si>
    <t>ค่าเหล็กเสริม SR.   Ø  6  มม. รวมค่าขนส่ง</t>
  </si>
  <si>
    <t>ค่าเหล็กเสริม SR.   Ø  15  มม. รวมค่าขนส่ง</t>
  </si>
  <si>
    <t>ค่าเหล็กเสริม SR.   Ø  19  มม. รวมค่าขนส่ง</t>
  </si>
  <si>
    <t>ค่าเหล็กเสริม SR.   Ø  25  มม. รวมค่าขนส่ง</t>
  </si>
  <si>
    <t>ค่าเหล็กเสริม DB.   Ø  12  มม. รวมค่าขนส่ง</t>
  </si>
  <si>
    <t>ค่าเหล็กเสริม DB.   Ø  16  มม. รวมค่าขนส่ง</t>
  </si>
  <si>
    <t>ค่าเหล็กเสริม DB.   Ø  20  มม. รวมค่าขนส่ง</t>
  </si>
  <si>
    <t>ค่าเหล็กเสริม DB.   Ø  25  มม. รวมค่าขนส่ง</t>
  </si>
  <si>
    <t>17.1  ท่อ คสล. ขนาด Ø 0.40 ม. x 1.00 ม.</t>
  </si>
  <si>
    <t>... ค่างานต้นทุนวางท่อ Ø 0.40 ม. ต่อ 1 เมตร</t>
  </si>
  <si>
    <t>17.2  ท่อ คสล. ขนาด Ø 0.60 ม. x 1.00 ม.</t>
  </si>
  <si>
    <t>... ค่างานต้นทุนวางท่อ Ø 0.60 ม. ต่อ 1 เมตร</t>
  </si>
  <si>
    <t>17.3  ท่อ คสล. ขนาด Ø 0.80 ม. x 1.00 ม.</t>
  </si>
  <si>
    <t>... ค่างานต้นทุนวางท่อ Ø 0.80 ม. ต่อ 1 เมตร</t>
  </si>
  <si>
    <t>17.4  ท่อ คสล. ขนาด Ø 1.00 ม. x 1.00 ม.</t>
  </si>
  <si>
    <t>... ค่างานต้นทุนวางท่อ Ø 1.00 ม. ต่อ 1 เมตร</t>
  </si>
  <si>
    <t>17.5  ท่อ คสล. ขนาด Ø 1.20 ม. x 1.00 ม.</t>
  </si>
  <si>
    <t>... ค่างานต้นทุนวางท่อ Ø 1.20 ม. ต่อ 1 เมตร</t>
  </si>
  <si>
    <t>17.6  ท่อ คสล. ขนาด Ø 1.50 ม. x 1.00 ม.</t>
  </si>
  <si>
    <t>... ค่างานต้นทุนวางท่อ Ø 1.50 ม. ต่อ 1 เมตร</t>
  </si>
  <si>
    <t xml:space="preserve">18.1  กำแพงปากท่อ ขนาด 1- Ø 0.60 </t>
  </si>
  <si>
    <t xml:space="preserve">... ค่างานต้นทุน กำแพงปากท่อ ขนาด 1- Ø 0.60 </t>
  </si>
  <si>
    <t xml:space="preserve">... ค่างานต้นทุน กำแพงปากท่อ ขนาด 2- Ø 0.60 </t>
  </si>
  <si>
    <t xml:space="preserve">... ค่างานต้นทุน กำแพงปากท่อ ขนาด 3- Ø 0.60 </t>
  </si>
  <si>
    <t xml:space="preserve">18.2  กำแพงปากท่อ ขนาด 1- Ø 0.80 </t>
  </si>
  <si>
    <t xml:space="preserve">... ค่างานต้นทุน กำแพงปากท่อ ขนาด 1- Ø 0.80 </t>
  </si>
  <si>
    <t xml:space="preserve">... ค่างานต้นทุน กำแพงปากท่อ ขนาด 2- Ø 0.80 </t>
  </si>
  <si>
    <t xml:space="preserve">... ค่างานต้นทุน กำแพงปากท่อ ขนาด 3- Ø 0.80 </t>
  </si>
  <si>
    <t xml:space="preserve">18.3  กำแพงปากท่อ ขนาด 1- Ø 1.00 </t>
  </si>
  <si>
    <t xml:space="preserve">... ค่างานต้นทุน กำแพงปากท่อ ขนาด 1- Ø 1.00 </t>
  </si>
  <si>
    <t xml:space="preserve">... ค่างานต้นทุน กำแพงปากท่อ ขนาด 2- Ø 1.00 </t>
  </si>
  <si>
    <t xml:space="preserve">... ค่างานต้นทุน กำแพงปากท่อ ขนาด 3- Ø 1.00 </t>
  </si>
  <si>
    <t xml:space="preserve">18.4  กำแพงปากท่อ ขนาด 1- Ø 1.20 </t>
  </si>
  <si>
    <t xml:space="preserve">... ค่างานต้นทุน กำแพงปากท่อ ขนาด 1- Ø 1.20 </t>
  </si>
  <si>
    <t xml:space="preserve">... ค่างานต้นทุน กำแพงปากท่อ ขนาด 2- Ø 1.20 </t>
  </si>
  <si>
    <t xml:space="preserve">... ค่างานต้นทุน กำแพงปากท่อ ขนาด 3- Ø 1.20 </t>
  </si>
  <si>
    <t xml:space="preserve">18.5  กำแพงปากท่อ ขนาด 1- Ø 1.50 </t>
  </si>
  <si>
    <t xml:space="preserve">... ค่างานต้นทุน กำแพงปากท่อ ขนาด 1- Ø 1.50 </t>
  </si>
  <si>
    <t xml:space="preserve">... ค่างานต้นทุน กำแพงปากท่อ ขนาด 2- Ø 1.50 </t>
  </si>
  <si>
    <t xml:space="preserve">... ค่างานต้นทุน กำแพงปากท่อ ขนาด 3- Ø 1.50 </t>
  </si>
  <si>
    <t>ค่าตะแกรงเหล็ก Wire Mesh Ø 4 มม. @ 0.10 x 0.30 ตร.ม. x...บาท/ตร.ม.</t>
  </si>
  <si>
    <t>อนุมัติ</t>
  </si>
  <si>
    <t>ผู้คำนวณราคา</t>
  </si>
  <si>
    <t>ระยะทาง/ความยาวถนน</t>
  </si>
  <si>
    <t>โชคชัย (ใหม่) /บุรีรัมย์</t>
  </si>
  <si>
    <t>1.400</t>
  </si>
  <si>
    <t>มาตรฐานงานทางสำหรับ อปท. ทถ-2-301</t>
  </si>
  <si>
    <t>1+400</t>
  </si>
  <si>
    <t>ในสายทาง บ้านโคกไม้งาม</t>
  </si>
  <si>
    <t>ไหล่ทาง หินคลุก กว้างข้างละ</t>
  </si>
  <si>
    <t>(ลูกรัง 10 ซม.)</t>
  </si>
  <si>
    <t>Cape Seal</t>
  </si>
  <si>
    <t xml:space="preserve"> - งานขุดรื้อคันทางเดิมแล้วบดทับ</t>
  </si>
  <si>
    <t>คำนวณราคากลาง</t>
  </si>
  <si>
    <t>( นายวัชระ  คำแดง )</t>
  </si>
  <si>
    <t>ตำแหน่ง ผู้อำนวยการกองช่าง</t>
  </si>
  <si>
    <t>(ลงชื่อ)                                     กรรมการ</t>
  </si>
  <si>
    <t>(ลงชื่อ)                                     ประธานกรรมการ</t>
  </si>
  <si>
    <t>เห็นชอบให้การคำนวณราคานี้เป็นราคากลาง</t>
  </si>
  <si>
    <t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</t>
  </si>
  <si>
    <t>สถานที่ก่อสร้าง/ปริมาณงาน</t>
  </si>
  <si>
    <t xml:space="preserve"> - 1  -  Ø  0.60 ม. (HW+EW = 2 )</t>
  </si>
  <si>
    <t>up 29 ส.ค. 2565</t>
  </si>
  <si>
    <r>
      <t xml:space="preserve">เรียน  </t>
    </r>
    <r>
      <rPr>
        <sz val="15"/>
        <rFont val="TH SarabunPSK"/>
        <family val="2"/>
      </rPr>
      <t>นายกองค์การบริหารส่วนตำบลคลองเมือง</t>
    </r>
  </si>
  <si>
    <t xml:space="preserve">คณะกรรมการกำหนดราคากลาง ตามคำสั่งองค์การบริหารส่วนตำบลคลองเมือง ที่ 285/2565  ลงวันที่ 9 สิงหาคม 2565  มีมติเห็นชอบเมื่อวันที่ 23 </t>
  </si>
  <si>
    <t>สิงหาคม 2565 กำหนดราคากลางค่าก่อสร้างเป็นจำนวนวงเงิน 1,556,898.83 บาท (-หนึ่งล้านห้าแสนห้าหมื่นหกพันแปดร้อยเก้าสิบแปดบาทแปดสิบสามสตางค์-)</t>
  </si>
  <si>
    <t>ก่อสร้างทาง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</si>
</sst>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0.000"/>
    <numFmt numFmtId="189" formatCode="_(* #,##0_);_(* \(#,##0\);_(* &quot;-&quot;??_);_(@_)"/>
    <numFmt numFmtId="190" formatCode="_(* #,##0.000_);_(* \(#,##0.000\);_(* &quot;-&quot;??_);_(@_)"/>
    <numFmt numFmtId="191" formatCode="0.0000"/>
    <numFmt numFmtId="192" formatCode="_-* #,##0.000_-;\-* #,##0.000_-;_-* &quot;-&quot;???_-;_-@_-"/>
    <numFmt numFmtId="193" formatCode="0.00_)"/>
    <numFmt numFmtId="194" formatCode="_-* #,##0.000_-;\-* #,##0.000_-;_-* &quot;-&quot;??_-;_-@_-"/>
    <numFmt numFmtId="195" formatCode="0\+000"/>
    <numFmt numFmtId="196" formatCode="0.0%"/>
    <numFmt numFmtId="197" formatCode="&quot;กม.ที่ &quot;0\+000"/>
    <numFmt numFmtId="198" formatCode="_-* #,##0.0000_-;\-* #,##0.0000_-;_-* &quot;-&quot;??_-;_-@_-"/>
    <numFmt numFmtId="199" formatCode="_(* #,##0.0_);_(* \(#,##0.0\);_(* &quot;-&quot;??_);_(@_)"/>
    <numFmt numFmtId="200" formatCode="_-* #,##0_-;\-* #,##0_-;_-* &quot;-&quot;??_-;_-@_-"/>
    <numFmt numFmtId="201" formatCode="_(* #,##0.0000_);_(* \(#,##0.0000\);_(* &quot;-&quot;??_);_(@_)"/>
    <numFmt numFmtId="202" formatCode="d\ ดดดด\ bbbb"/>
    <numFmt numFmtId="203" formatCode="0.0"/>
    <numFmt numFmtId="204" formatCode="&quot;นม.&quot;0"/>
    <numFmt numFmtId="205" formatCode="#,##0.0;\-#,##0.0"/>
    <numFmt numFmtId="206" formatCode="#,##0.000;\-#,##0.000"/>
    <numFmt numFmtId="207" formatCode="#,##0.000"/>
    <numFmt numFmtId="208" formatCode="&quot;สร. &quot;"/>
    <numFmt numFmtId="209" formatCode="d\ ดดดด\ &quot;พ.ศ.&quot;\ bbbb"/>
    <numFmt numFmtId="210" formatCode="0\ &quot;แผ่น&quot;"/>
    <numFmt numFmtId="211" formatCode="0\ \ \ &quot;แผ่น&quot;"/>
    <numFmt numFmtId="212" formatCode="#,##0.000000&quot; &quot;"/>
    <numFmt numFmtId="213" formatCode="dd\-mm\-yy"/>
    <numFmt numFmtId="214" formatCode="#,###&quot;   &quot;"/>
    <numFmt numFmtId="215" formatCode="&quot;฿&quot;\t#,##0_);\(&quot;฿&quot;\t#,##0\)"/>
    <numFmt numFmtId="216" formatCode="\t0.00E+00"/>
    <numFmt numFmtId="217" formatCode="#,##0.0_);\(#,##0.0\)"/>
    <numFmt numFmtId="218" formatCode="0.0&quot;  &quot;"/>
    <numFmt numFmtId="219" formatCode="&quot;ฃ&quot;#,##0;[Red]\-&quot;ฃ&quot;#,##0"/>
    <numFmt numFmtId="220" formatCode="_-* #,##0.00000_-;\-* #,##0.00000_-;_-* &quot;-&quot;?????_-;_-@_-"/>
    <numFmt numFmtId="221" formatCode="_(* #,##0.00_);_(* \(#,##0.00\);_(* &quot; &quot;??_);_(@_)"/>
    <numFmt numFmtId="222" formatCode="_(* #,##0_);_(* \(#,##0\);_(* &quot; &quot;??_);_(@_)"/>
    <numFmt numFmtId="223" formatCode="0."/>
    <numFmt numFmtId="224" formatCode="\-\ \ \ @"/>
    <numFmt numFmtId="225" formatCode="_-* #,##0.0_-;\-* #,##0.0_-;_-* &quot;-&quot;??_-;_-@_-"/>
    <numFmt numFmtId="226" formatCode="#,##0.0000"/>
    <numFmt numFmtId="227" formatCode="_-* #,##0.00_-;\-* #,##0.00_-;_-* &quot;-&quot;_-;_-@_-"/>
  </numFmts>
  <fonts count="198">
    <font>
      <sz val="14"/>
      <name val="AngsanaUPC"/>
    </font>
    <font>
      <sz val="11"/>
      <color theme="1"/>
      <name val="Tahoma"/>
      <family val="2"/>
      <scheme val="minor"/>
    </font>
    <font>
      <sz val="14"/>
      <name val="AngsanaUPC"/>
      <family val="1"/>
      <charset val="22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3"/>
      <name val="CordiaUPC"/>
      <family val="2"/>
      <charset val="222"/>
    </font>
    <font>
      <b/>
      <sz val="13"/>
      <name val="CordiaUPC"/>
      <family val="2"/>
      <charset val="222"/>
    </font>
    <font>
      <b/>
      <sz val="14"/>
      <name val="CordiaUPC"/>
      <family val="2"/>
      <charset val="222"/>
    </font>
    <font>
      <sz val="10"/>
      <name val="Courier"/>
      <family val="3"/>
    </font>
    <font>
      <b/>
      <sz val="20"/>
      <name val="CordiaUPC"/>
      <family val="2"/>
      <charset val="222"/>
    </font>
    <font>
      <sz val="12"/>
      <name val="CordiaUPC"/>
      <family val="2"/>
      <charset val="222"/>
    </font>
    <font>
      <sz val="8"/>
      <color indexed="81"/>
      <name val="Tahoma"/>
      <family val="2"/>
    </font>
    <font>
      <b/>
      <sz val="12"/>
      <name val="Cordia New"/>
      <family val="2"/>
    </font>
    <font>
      <b/>
      <sz val="24"/>
      <name val="Cordia New"/>
      <family val="2"/>
      <charset val="222"/>
    </font>
    <font>
      <b/>
      <sz val="13"/>
      <name val="Cordia New"/>
      <family val="2"/>
      <charset val="222"/>
    </font>
    <font>
      <sz val="13"/>
      <name val="Cordia New"/>
      <family val="2"/>
      <charset val="222"/>
    </font>
    <font>
      <b/>
      <sz val="12"/>
      <name val="Cordia New"/>
      <family val="2"/>
      <charset val="222"/>
    </font>
    <font>
      <b/>
      <sz val="14"/>
      <name val="Cordia New"/>
      <family val="2"/>
    </font>
    <font>
      <b/>
      <sz val="18"/>
      <name val="Cordia New"/>
      <family val="2"/>
    </font>
    <font>
      <sz val="12"/>
      <name val="Cordia New"/>
      <family val="2"/>
      <charset val="222"/>
    </font>
    <font>
      <sz val="12"/>
      <name val="Cordia New"/>
      <family val="2"/>
    </font>
    <font>
      <b/>
      <sz val="20"/>
      <name val="Cordia New"/>
      <family val="2"/>
    </font>
    <font>
      <b/>
      <sz val="16"/>
      <name val="Cordia New"/>
      <family val="2"/>
      <charset val="222"/>
    </font>
    <font>
      <b/>
      <sz val="16"/>
      <name val="Cordia New"/>
      <family val="2"/>
    </font>
    <font>
      <b/>
      <sz val="14"/>
      <name val="Cordia New"/>
      <family val="2"/>
      <charset val="222"/>
    </font>
    <font>
      <sz val="16"/>
      <name val="Cordia New"/>
      <family val="2"/>
    </font>
    <font>
      <sz val="14"/>
      <name val="Cordia New"/>
      <family val="2"/>
    </font>
    <font>
      <sz val="11"/>
      <name val="Cordia New"/>
      <family val="2"/>
    </font>
    <font>
      <b/>
      <sz val="8"/>
      <color indexed="81"/>
      <name val="Tahoma"/>
      <family val="2"/>
    </font>
    <font>
      <b/>
      <u/>
      <sz val="12"/>
      <name val="Cordia New"/>
      <family val="2"/>
    </font>
    <font>
      <b/>
      <sz val="11"/>
      <name val="Cordia New"/>
      <family val="2"/>
    </font>
    <font>
      <sz val="8"/>
      <name val="AngsanaUPC"/>
      <family val="1"/>
      <charset val="222"/>
    </font>
    <font>
      <sz val="14"/>
      <name val="Cordia New"/>
      <family val="2"/>
    </font>
    <font>
      <b/>
      <u/>
      <sz val="18"/>
      <color indexed="8"/>
      <name val="Cordia New"/>
      <family val="2"/>
    </font>
    <font>
      <sz val="16"/>
      <color indexed="8"/>
      <name val="Cordia New"/>
      <family val="2"/>
    </font>
    <font>
      <sz val="7"/>
      <name val="Small Fonts"/>
      <family val="2"/>
    </font>
    <font>
      <sz val="13"/>
      <color indexed="9"/>
      <name val="CordiaUPC"/>
      <family val="2"/>
      <charset val="222"/>
    </font>
    <font>
      <b/>
      <sz val="14"/>
      <name val="AngsanaUPC"/>
      <family val="1"/>
      <charset val="222"/>
    </font>
    <font>
      <sz val="14"/>
      <color indexed="8"/>
      <name val="Cordia New"/>
      <family val="2"/>
    </font>
    <font>
      <b/>
      <sz val="14"/>
      <color indexed="8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53"/>
      <name val="Cordia New"/>
      <family val="2"/>
      <charset val="222"/>
    </font>
    <font>
      <vertAlign val="superscript"/>
      <sz val="14"/>
      <name val="Cordia New"/>
      <family val="2"/>
      <charset val="222"/>
    </font>
    <font>
      <b/>
      <u/>
      <sz val="16"/>
      <name val="Cordia New"/>
      <family val="2"/>
      <charset val="222"/>
    </font>
    <font>
      <b/>
      <u/>
      <sz val="14"/>
      <name val="Cordia New"/>
      <family val="2"/>
      <charset val="222"/>
    </font>
    <font>
      <b/>
      <vertAlign val="superscript"/>
      <sz val="14"/>
      <name val="Cordia New"/>
      <family val="2"/>
      <charset val="222"/>
    </font>
    <font>
      <b/>
      <sz val="20"/>
      <color indexed="12"/>
      <name val="Cordia New"/>
      <family val="2"/>
      <charset val="222"/>
    </font>
    <font>
      <b/>
      <sz val="16"/>
      <color indexed="8"/>
      <name val="Cordia New"/>
      <family val="2"/>
      <charset val="222"/>
    </font>
    <font>
      <b/>
      <sz val="16"/>
      <color indexed="8"/>
      <name val="Cordia New"/>
      <family val="2"/>
    </font>
    <font>
      <sz val="8"/>
      <name val="Cordia New"/>
      <family val="2"/>
    </font>
    <font>
      <sz val="16"/>
      <color indexed="12"/>
      <name val="Cordia New"/>
      <family val="2"/>
    </font>
    <font>
      <sz val="14"/>
      <color indexed="8"/>
      <name val="Cordia New"/>
      <family val="2"/>
    </font>
    <font>
      <b/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u/>
      <sz val="14"/>
      <name val="TH SarabunPSK"/>
      <family val="2"/>
    </font>
    <font>
      <sz val="11"/>
      <name val="TH SarabunPSK"/>
      <family val="2"/>
    </font>
    <font>
      <sz val="14"/>
      <name val="SV Rojchana"/>
    </font>
    <font>
      <sz val="10"/>
      <name val="Helv"/>
      <family val="2"/>
    </font>
    <font>
      <sz val="16"/>
      <name val="DilleniaUPC"/>
      <family val="1"/>
      <charset val="222"/>
    </font>
    <font>
      <sz val="11"/>
      <name val="?? ?????"/>
      <family val="3"/>
      <charset val="255"/>
    </font>
    <font>
      <sz val="11"/>
      <name val="??"/>
      <family val="1"/>
    </font>
    <font>
      <sz val="12"/>
      <name val="Helv"/>
      <family val="2"/>
    </font>
    <font>
      <sz val="10"/>
      <name val="Arial"/>
      <family val="2"/>
    </font>
    <font>
      <b/>
      <i/>
      <sz val="24"/>
      <color indexed="49"/>
      <name val="Arial Narrow"/>
      <family val="2"/>
    </font>
    <font>
      <sz val="12"/>
      <name val="Times New Roman"/>
      <family val="1"/>
    </font>
    <font>
      <sz val="12"/>
      <name val="????"/>
      <charset val="136"/>
    </font>
    <font>
      <sz val="12"/>
      <name val="EucrosiaUPC"/>
      <family val="1"/>
    </font>
    <font>
      <sz val="14"/>
      <name val="AngsanaUPC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4"/>
      <name val="Cordia New"/>
      <family val="3"/>
    </font>
    <font>
      <b/>
      <i/>
      <sz val="18"/>
      <color indexed="28"/>
      <name val="AngsanaUPC"/>
      <family val="1"/>
    </font>
    <font>
      <b/>
      <sz val="24"/>
      <name val="AngsanaUPC"/>
      <family val="1"/>
      <charset val="222"/>
    </font>
    <font>
      <b/>
      <u/>
      <sz val="18"/>
      <name val="TH SarabunPSK"/>
      <family val="2"/>
    </font>
    <font>
      <b/>
      <sz val="18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sz val="12"/>
      <name val="TH SarabunPSK"/>
      <family val="2"/>
    </font>
    <font>
      <sz val="13"/>
      <name val="TH SarabunPSK"/>
      <family val="2"/>
    </font>
    <font>
      <sz val="16"/>
      <color indexed="18"/>
      <name val="TH SarabunPSK"/>
      <family val="2"/>
    </font>
    <font>
      <sz val="15"/>
      <name val="TH SarabunPSK"/>
      <family val="2"/>
    </font>
    <font>
      <b/>
      <sz val="14"/>
      <name val="Angsana New"/>
      <family val="1"/>
    </font>
    <font>
      <sz val="14"/>
      <name val="Angsana New"/>
      <family val="1"/>
    </font>
    <font>
      <sz val="14"/>
      <color indexed="39"/>
      <name val="Angsana New"/>
      <family val="1"/>
    </font>
    <font>
      <sz val="14"/>
      <color indexed="12"/>
      <name val="Angsana New"/>
      <family val="1"/>
    </font>
    <font>
      <b/>
      <sz val="14"/>
      <color indexed="10"/>
      <name val="Angsana New"/>
      <family val="1"/>
    </font>
    <font>
      <sz val="14"/>
      <color indexed="10"/>
      <name val="Angsana New"/>
      <family val="1"/>
    </font>
    <font>
      <u/>
      <sz val="14"/>
      <name val="Angsana New"/>
      <family val="1"/>
    </font>
    <font>
      <b/>
      <sz val="14"/>
      <color indexed="39"/>
      <name val="Angsana New"/>
      <family val="1"/>
    </font>
    <font>
      <b/>
      <u/>
      <sz val="14"/>
      <name val="Angsana New"/>
      <family val="1"/>
    </font>
    <font>
      <b/>
      <sz val="20"/>
      <name val="Angsana New"/>
      <family val="1"/>
    </font>
    <font>
      <u/>
      <sz val="14"/>
      <name val="TH SarabunPSK"/>
      <family val="2"/>
    </font>
    <font>
      <b/>
      <sz val="14"/>
      <color rgb="FFFF0000"/>
      <name val="Angsana New"/>
      <family val="1"/>
    </font>
    <font>
      <b/>
      <sz val="14"/>
      <color theme="0"/>
      <name val="Angsana New"/>
      <family val="1"/>
    </font>
    <font>
      <sz val="14"/>
      <color theme="0"/>
      <name val="Angsana New"/>
      <family val="1"/>
    </font>
    <font>
      <sz val="14"/>
      <color rgb="FFFF0000"/>
      <name val="Angsana New"/>
      <family val="1"/>
    </font>
    <font>
      <b/>
      <u/>
      <sz val="14"/>
      <name val="Cordia New"/>
      <family val="2"/>
    </font>
    <font>
      <sz val="18"/>
      <color indexed="12"/>
      <name val="Angsana New"/>
      <family val="1"/>
    </font>
    <font>
      <b/>
      <sz val="18"/>
      <color indexed="10"/>
      <name val="Angsana New"/>
      <family val="1"/>
    </font>
    <font>
      <sz val="16"/>
      <name val="Symbol"/>
      <family val="1"/>
      <charset val="2"/>
    </font>
    <font>
      <sz val="16"/>
      <color theme="1"/>
      <name val="AngsanaUPC"/>
      <family val="2"/>
      <charset val="222"/>
    </font>
    <font>
      <b/>
      <u/>
      <sz val="16"/>
      <color indexed="8"/>
      <name val="AngsanaDSE"/>
      <family val="1"/>
    </font>
    <font>
      <sz val="16"/>
      <color indexed="8"/>
      <name val="AngsanaDSE"/>
      <family val="1"/>
    </font>
    <font>
      <sz val="12"/>
      <color theme="1"/>
      <name val="Cordia New"/>
      <family val="2"/>
      <charset val="222"/>
    </font>
    <font>
      <sz val="16"/>
      <color indexed="8"/>
      <name val="AngsanaDSE"/>
      <charset val="222"/>
    </font>
    <font>
      <u/>
      <sz val="16"/>
      <color indexed="8"/>
      <name val="AngsanaDSE"/>
      <family val="1"/>
    </font>
    <font>
      <u/>
      <sz val="16"/>
      <color indexed="8"/>
      <name val="AngsanaDSE"/>
      <charset val="222"/>
    </font>
    <font>
      <b/>
      <sz val="16"/>
      <color indexed="8"/>
      <name val="AngsanaDSE"/>
      <charset val="222"/>
    </font>
    <font>
      <sz val="11"/>
      <color indexed="9"/>
      <name val="Cordia New"/>
      <family val="2"/>
      <charset val="222"/>
    </font>
    <font>
      <sz val="11"/>
      <color indexed="8"/>
      <name val="Cordia New"/>
      <family val="2"/>
      <charset val="222"/>
    </font>
    <font>
      <sz val="11"/>
      <color indexed="16"/>
      <name val="Cordia New"/>
      <family val="2"/>
      <charset val="222"/>
    </font>
    <font>
      <b/>
      <sz val="11"/>
      <color indexed="53"/>
      <name val="Cordia New"/>
      <family val="2"/>
      <charset val="222"/>
    </font>
    <font>
      <b/>
      <sz val="11"/>
      <color indexed="9"/>
      <name val="Cordia New"/>
      <family val="2"/>
      <charset val="222"/>
    </font>
    <font>
      <b/>
      <sz val="11"/>
      <color indexed="8"/>
      <name val="Cordia New"/>
      <family val="2"/>
      <charset val="222"/>
    </font>
    <font>
      <sz val="11"/>
      <color indexed="17"/>
      <name val="Cordia New"/>
      <family val="2"/>
      <charset val="222"/>
    </font>
    <font>
      <b/>
      <sz val="15"/>
      <color indexed="62"/>
      <name val="Cordia New"/>
      <family val="2"/>
      <charset val="222"/>
    </font>
    <font>
      <b/>
      <sz val="13"/>
      <color indexed="62"/>
      <name val="Cordia New"/>
      <family val="2"/>
      <charset val="222"/>
    </font>
    <font>
      <b/>
      <sz val="11"/>
      <color indexed="62"/>
      <name val="Cordia New"/>
      <family val="2"/>
      <charset val="222"/>
    </font>
    <font>
      <u/>
      <sz val="16"/>
      <color theme="10"/>
      <name val="Angsana New"/>
      <family val="2"/>
      <charset val="222"/>
    </font>
    <font>
      <u/>
      <sz val="12"/>
      <color theme="10"/>
      <name val="TH Krub"/>
      <family val="2"/>
      <charset val="222"/>
    </font>
    <font>
      <sz val="11"/>
      <color indexed="62"/>
      <name val="Cordia New"/>
      <family val="2"/>
      <charset val="222"/>
    </font>
    <font>
      <sz val="11"/>
      <color indexed="53"/>
      <name val="Cordia New"/>
      <family val="2"/>
      <charset val="222"/>
    </font>
    <font>
      <sz val="11"/>
      <color indexed="60"/>
      <name val="Cordia New"/>
      <family val="2"/>
      <charset val="222"/>
    </font>
    <font>
      <b/>
      <sz val="11"/>
      <color indexed="63"/>
      <name val="Cordia New"/>
      <family val="2"/>
      <charset val="222"/>
    </font>
    <font>
      <b/>
      <sz val="18"/>
      <color indexed="62"/>
      <name val="Angsana New"/>
      <family val="2"/>
      <charset val="222"/>
    </font>
    <font>
      <sz val="11"/>
      <color indexed="10"/>
      <name val="Cordia New"/>
      <family val="2"/>
      <charset val="222"/>
    </font>
    <font>
      <sz val="11"/>
      <color indexed="8"/>
      <name val="Calibri"/>
      <family val="2"/>
      <charset val="222"/>
    </font>
    <font>
      <sz val="16"/>
      <name val="Angsana New"/>
      <family val="1"/>
    </font>
    <font>
      <sz val="11"/>
      <color theme="1"/>
      <name val="Tahoma"/>
      <family val="2"/>
      <charset val="222"/>
      <scheme val="minor"/>
    </font>
    <font>
      <sz val="10"/>
      <name val="Arial"/>
      <family val="2"/>
      <charset val="222"/>
    </font>
    <font>
      <sz val="16"/>
      <name val="Angsanades"/>
      <charset val="222"/>
    </font>
    <font>
      <b/>
      <sz val="16"/>
      <color indexed="8"/>
      <name val="AngsanaDSE"/>
      <family val="1"/>
    </font>
    <font>
      <b/>
      <sz val="13"/>
      <name val="TH SarabunPSK"/>
      <family val="2"/>
    </font>
    <font>
      <b/>
      <u/>
      <sz val="13"/>
      <name val="TH SarabunPSK"/>
      <family val="2"/>
    </font>
    <font>
      <sz val="10"/>
      <name val="TH SarabunPSK"/>
      <family val="2"/>
    </font>
    <font>
      <sz val="12.5"/>
      <name val="TH SarabunPSK"/>
      <family val="2"/>
    </font>
    <font>
      <sz val="16"/>
      <name val="AngsanaUPC"/>
      <family val="1"/>
      <charset val="222"/>
    </font>
    <font>
      <sz val="8"/>
      <color rgb="FF000000"/>
      <name val="Tahoma"/>
      <family val="2"/>
    </font>
    <font>
      <sz val="14"/>
      <color indexed="12"/>
      <name val="TH SarabunPSK"/>
      <family val="2"/>
    </font>
    <font>
      <sz val="14.5"/>
      <name val="TH SarabunPSK"/>
      <family val="2"/>
    </font>
    <font>
      <sz val="12"/>
      <color indexed="12"/>
      <name val="TH SarabunPSK"/>
      <family val="2"/>
    </font>
    <font>
      <sz val="13"/>
      <color indexed="12"/>
      <name val="TH SarabunPSK"/>
      <family val="2"/>
    </font>
    <font>
      <b/>
      <sz val="12"/>
      <name val="TH SarabunPSK"/>
      <family val="2"/>
    </font>
    <font>
      <b/>
      <sz val="12"/>
      <color indexed="12"/>
      <name val="TH SarabunPSK"/>
      <family val="2"/>
    </font>
    <font>
      <sz val="13"/>
      <color indexed="10"/>
      <name val="TH SarabunPSK"/>
      <family val="2"/>
    </font>
    <font>
      <b/>
      <u/>
      <sz val="12"/>
      <name val="TH SarabunPSK"/>
      <family val="2"/>
    </font>
    <font>
      <sz val="12"/>
      <color rgb="FF0101BF"/>
      <name val="TH SarabunPSK"/>
      <family val="2"/>
    </font>
    <font>
      <sz val="13"/>
      <color rgb="FF0101BF"/>
      <name val="TH SarabunPSK"/>
      <family val="2"/>
    </font>
    <font>
      <sz val="8"/>
      <color rgb="FF000000"/>
      <name val="TH SarabunPSK"/>
      <family val="2"/>
    </font>
    <font>
      <b/>
      <sz val="12"/>
      <color indexed="10"/>
      <name val="TH SarabunPSK"/>
      <family val="2"/>
    </font>
    <font>
      <sz val="12"/>
      <color indexed="8"/>
      <name val="TH SarabunPSK"/>
      <family val="2"/>
    </font>
    <font>
      <sz val="12"/>
      <color rgb="FF000000"/>
      <name val="TH SarabunPSK"/>
      <family val="2"/>
    </font>
    <font>
      <b/>
      <sz val="15"/>
      <name val="TH SarabunPSK"/>
      <family val="2"/>
    </font>
    <font>
      <sz val="14"/>
      <color theme="0"/>
      <name val="TH SarabunPSK"/>
      <family val="2"/>
    </font>
    <font>
      <b/>
      <sz val="20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4"/>
      <color indexed="10"/>
      <name val="TH SarabunPSK"/>
      <family val="2"/>
    </font>
    <font>
      <b/>
      <sz val="14"/>
      <color theme="0"/>
      <name val="TH SarabunPSK"/>
      <family val="2"/>
    </font>
    <font>
      <b/>
      <sz val="24"/>
      <name val="TH SarabunPSK"/>
      <family val="2"/>
    </font>
    <font>
      <b/>
      <sz val="11"/>
      <color indexed="12"/>
      <name val="TH SarabunPSK"/>
      <family val="2"/>
    </font>
    <font>
      <b/>
      <sz val="20"/>
      <name val="TH SarabunPSK"/>
      <family val="2"/>
    </font>
    <font>
      <sz val="12"/>
      <color theme="0"/>
      <name val="TH SarabunPSK"/>
      <family val="2"/>
    </font>
    <font>
      <b/>
      <sz val="12"/>
      <color rgb="FF0101BF"/>
      <name val="TH SarabunPSK"/>
      <family val="2"/>
    </font>
    <font>
      <sz val="13"/>
      <color rgb="FFFF0000"/>
      <name val="TH SarabunPSK"/>
      <family val="2"/>
    </font>
    <font>
      <sz val="12"/>
      <color rgb="FFFF0000"/>
      <name val="TH SarabunPSK"/>
      <family val="2"/>
    </font>
    <font>
      <b/>
      <sz val="9"/>
      <color rgb="FF000000"/>
      <name val="TH SarabunPSK"/>
      <family val="2"/>
    </font>
    <font>
      <sz val="13"/>
      <color rgb="FF0202FE"/>
      <name val="TH SarabunPSK"/>
      <family val="2"/>
    </font>
    <font>
      <sz val="13"/>
      <color theme="0"/>
      <name val="TH SarabunPSK"/>
      <family val="2"/>
    </font>
    <font>
      <b/>
      <sz val="13"/>
      <color indexed="10"/>
      <name val="TH SarabunPSK"/>
      <family val="2"/>
    </font>
    <font>
      <b/>
      <sz val="13"/>
      <color theme="0"/>
      <name val="TH SarabunPSK"/>
      <family val="2"/>
    </font>
    <font>
      <sz val="13.5"/>
      <name val="TH SarabunPSK"/>
      <family val="2"/>
    </font>
    <font>
      <b/>
      <sz val="10"/>
      <name val="TH SarabunPSK"/>
      <family val="2"/>
    </font>
    <font>
      <sz val="9"/>
      <name val="TH SarabunPSK"/>
      <family val="2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u/>
      <sz val="12"/>
      <name val="TH SarabunPSK"/>
      <family val="2"/>
    </font>
    <font>
      <sz val="12"/>
      <color theme="5"/>
      <name val="TH SarabunPSK"/>
      <family val="2"/>
    </font>
    <font>
      <u/>
      <sz val="12"/>
      <color theme="5"/>
      <name val="TH SarabunPSK"/>
      <family val="2"/>
    </font>
    <font>
      <u/>
      <sz val="12"/>
      <color theme="1"/>
      <name val="TH SarabunPSK"/>
      <family val="2"/>
    </font>
    <font>
      <b/>
      <u/>
      <sz val="12"/>
      <color theme="1"/>
      <name val="TH SarabunPSK"/>
      <family val="2"/>
    </font>
    <font>
      <sz val="8"/>
      <name val="TH SarabunPSK"/>
      <family val="2"/>
    </font>
    <font>
      <sz val="10"/>
      <color theme="0"/>
      <name val="TH SarabunPSK"/>
      <family val="2"/>
    </font>
    <font>
      <b/>
      <u/>
      <sz val="12"/>
      <color indexed="18"/>
      <name val="TH SarabunPSK"/>
      <family val="2"/>
    </font>
    <font>
      <b/>
      <sz val="12"/>
      <color indexed="8"/>
      <name val="TH SarabunPSK"/>
      <family val="2"/>
    </font>
    <font>
      <sz val="12"/>
      <color indexed="18"/>
      <name val="TH SarabunPSK"/>
      <family val="2"/>
    </font>
    <font>
      <sz val="12"/>
      <color indexed="10"/>
      <name val="TH SarabunPSK"/>
      <family val="2"/>
    </font>
    <font>
      <b/>
      <sz val="12"/>
      <color rgb="FFFF0000"/>
      <name val="TH SarabunPSK"/>
      <family val="2"/>
    </font>
    <font>
      <sz val="13.8"/>
      <name val="TH SarabunPSK"/>
      <family val="2"/>
    </font>
    <font>
      <sz val="8"/>
      <color indexed="9"/>
      <name val="TH SarabunPSK"/>
      <family val="2"/>
    </font>
    <font>
      <b/>
      <sz val="8"/>
      <name val="TH SarabunPSK"/>
      <family val="2"/>
    </font>
    <font>
      <sz val="10.5"/>
      <name val="TH SarabunPSK"/>
      <family val="2"/>
    </font>
    <font>
      <b/>
      <sz val="12"/>
      <color theme="0"/>
      <name val="TH SarabunPSK"/>
      <family val="2"/>
    </font>
    <font>
      <sz val="8.5"/>
      <name val="TH SarabunPSK"/>
      <family val="2"/>
    </font>
    <font>
      <sz val="15"/>
      <color theme="0"/>
      <name val="TH SarabunPSK"/>
      <family val="2"/>
    </font>
    <font>
      <b/>
      <sz val="9"/>
      <name val="TH SarabunPSK"/>
      <family val="2"/>
    </font>
    <font>
      <sz val="9"/>
      <color rgb="FFFF0000"/>
      <name val="TH SarabunPSK"/>
      <family val="2"/>
    </font>
  </fonts>
  <fills count="4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  <bgColor indexed="43"/>
      </patternFill>
    </fill>
    <fill>
      <patternFill patternType="solid">
        <fgColor rgb="FF00B0F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FF66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CC99"/>
      </left>
      <right style="thin">
        <color rgb="FFFFCC99"/>
      </right>
      <top style="thin">
        <color rgb="FFFFCC99"/>
      </top>
      <bottom style="thin">
        <color rgb="FFFFCC99"/>
      </bottom>
      <diagonal/>
    </border>
  </borders>
  <cellStyleXfs count="280">
    <xf numFmtId="0" fontId="0" fillId="0" borderId="0"/>
    <xf numFmtId="0" fontId="57" fillId="0" borderId="0">
      <alignment vertical="center"/>
    </xf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" fontId="58" fillId="0" borderId="0" applyFont="0" applyFill="0" applyBorder="0" applyAlignment="0" applyProtection="0"/>
    <xf numFmtId="215" fontId="59" fillId="0" borderId="0" applyFont="0" applyFill="0" applyBorder="0" applyAlignment="0" applyProtection="0"/>
    <xf numFmtId="216" fontId="59" fillId="0" borderId="0" applyFont="0" applyFill="0" applyBorder="0" applyAlignment="0" applyProtection="0"/>
    <xf numFmtId="214" fontId="2" fillId="0" borderId="0" applyFont="0" applyFill="0" applyBorder="0" applyAlignment="0" applyProtection="0"/>
    <xf numFmtId="38" fontId="60" fillId="0" borderId="0" applyFont="0" applyFill="0" applyBorder="0" applyAlignment="0" applyProtection="0"/>
    <xf numFmtId="40" fontId="60" fillId="0" borderId="0" applyFont="0" applyFill="0" applyBorder="0" applyAlignment="0" applyProtection="0"/>
    <xf numFmtId="0" fontId="61" fillId="0" borderId="0"/>
    <xf numFmtId="0" fontId="62" fillId="0" borderId="0"/>
    <xf numFmtId="9" fontId="63" fillId="2" borderId="0"/>
    <xf numFmtId="0" fontId="64" fillId="3" borderId="1">
      <alignment horizontal="centerContinuous" vertical="top"/>
    </xf>
    <xf numFmtId="0" fontId="63" fillId="0" borderId="0" applyFill="0" applyBorder="0" applyAlignment="0"/>
    <xf numFmtId="217" fontId="58" fillId="0" borderId="0" applyFill="0" applyBorder="0" applyAlignment="0"/>
    <xf numFmtId="0" fontId="65" fillId="0" borderId="0" applyFill="0" applyBorder="0" applyAlignment="0"/>
    <xf numFmtId="0" fontId="66" fillId="0" borderId="0" applyFill="0" applyBorder="0" applyAlignment="0"/>
    <xf numFmtId="0" fontId="66" fillId="0" borderId="0" applyFill="0" applyBorder="0" applyAlignment="0"/>
    <xf numFmtId="0" fontId="2" fillId="0" borderId="0" applyFill="0" applyBorder="0" applyAlignment="0"/>
    <xf numFmtId="218" fontId="59" fillId="0" borderId="0" applyFill="0" applyBorder="0" applyAlignment="0"/>
    <xf numFmtId="217" fontId="58" fillId="0" borderId="0" applyFill="0" applyBorder="0" applyAlignment="0"/>
    <xf numFmtId="0" fontId="2" fillId="0" borderId="0" applyFont="0" applyFill="0" applyBorder="0" applyAlignment="0" applyProtection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" fillId="0" borderId="0" applyFont="0" applyFill="0" applyBorder="0" applyAlignment="0" applyProtection="0"/>
    <xf numFmtId="219" fontId="67" fillId="0" borderId="0"/>
    <xf numFmtId="0" fontId="64" fillId="3" borderId="1">
      <alignment horizontal="centerContinuous" vertical="top"/>
    </xf>
    <xf numFmtId="217" fontId="58" fillId="0" borderId="0" applyFont="0" applyFill="0" applyBorder="0" applyAlignment="0" applyProtection="0"/>
    <xf numFmtId="0" fontId="68" fillId="0" borderId="0"/>
    <xf numFmtId="14" fontId="69" fillId="0" borderId="0" applyFill="0" applyBorder="0" applyAlignment="0"/>
    <xf numFmtId="15" fontId="37" fillId="4" borderId="0">
      <alignment horizontal="centerContinuous"/>
    </xf>
    <xf numFmtId="196" fontId="68" fillId="0" borderId="0"/>
    <xf numFmtId="0" fontId="2" fillId="0" borderId="0" applyFill="0" applyBorder="0" applyAlignment="0"/>
    <xf numFmtId="217" fontId="58" fillId="0" borderId="0" applyFill="0" applyBorder="0" applyAlignment="0"/>
    <xf numFmtId="0" fontId="2" fillId="0" borderId="0" applyFill="0" applyBorder="0" applyAlignment="0"/>
    <xf numFmtId="218" fontId="59" fillId="0" borderId="0" applyFill="0" applyBorder="0" applyAlignment="0"/>
    <xf numFmtId="217" fontId="58" fillId="0" borderId="0" applyFill="0" applyBorder="0" applyAlignment="0"/>
    <xf numFmtId="38" fontId="70" fillId="3" borderId="0" applyNumberFormat="0" applyBorder="0" applyAlignment="0" applyProtection="0"/>
    <xf numFmtId="0" fontId="71" fillId="0" borderId="2" applyNumberFormat="0" applyAlignment="0" applyProtection="0">
      <alignment horizontal="left" vertical="center"/>
    </xf>
    <xf numFmtId="0" fontId="71" fillId="0" borderId="3">
      <alignment horizontal="left" vertical="center"/>
    </xf>
    <xf numFmtId="10" fontId="70" fillId="5" borderId="4" applyNumberFormat="0" applyBorder="0" applyAlignment="0" applyProtection="0"/>
    <xf numFmtId="0" fontId="2" fillId="0" borderId="0" applyFill="0" applyBorder="0" applyAlignment="0"/>
    <xf numFmtId="217" fontId="58" fillId="0" borderId="0" applyFill="0" applyBorder="0" applyAlignment="0"/>
    <xf numFmtId="0" fontId="2" fillId="0" borderId="0" applyFill="0" applyBorder="0" applyAlignment="0"/>
    <xf numFmtId="218" fontId="59" fillId="0" borderId="0" applyFill="0" applyBorder="0" applyAlignment="0"/>
    <xf numFmtId="217" fontId="58" fillId="0" borderId="0" applyFill="0" applyBorder="0" applyAlignment="0"/>
    <xf numFmtId="37" fontId="35" fillId="0" borderId="0"/>
    <xf numFmtId="220" fontId="2" fillId="0" borderId="0"/>
    <xf numFmtId="0" fontId="68" fillId="0" borderId="0"/>
    <xf numFmtId="0" fontId="2" fillId="0" borderId="0"/>
    <xf numFmtId="39" fontId="8" fillId="0" borderId="0"/>
    <xf numFmtId="0" fontId="2" fillId="0" borderId="0"/>
    <xf numFmtId="0" fontId="7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10" fontId="63" fillId="0" borderId="0" applyFont="0" applyFill="0" applyBorder="0" applyAlignment="0" applyProtection="0"/>
    <xf numFmtId="0" fontId="2" fillId="0" borderId="0" applyFill="0" applyBorder="0" applyAlignment="0"/>
    <xf numFmtId="217" fontId="58" fillId="0" borderId="0" applyFill="0" applyBorder="0" applyAlignment="0"/>
    <xf numFmtId="0" fontId="2" fillId="0" borderId="0" applyFill="0" applyBorder="0" applyAlignment="0"/>
    <xf numFmtId="218" fontId="59" fillId="0" borderId="0" applyFill="0" applyBorder="0" applyAlignment="0"/>
    <xf numFmtId="217" fontId="58" fillId="0" borderId="0" applyFill="0" applyBorder="0" applyAlignment="0"/>
    <xf numFmtId="1" fontId="63" fillId="0" borderId="5" applyNumberFormat="0" applyFill="0" applyAlignment="0" applyProtection="0">
      <alignment horizontal="center" vertical="center"/>
    </xf>
    <xf numFmtId="0" fontId="73" fillId="2" borderId="0"/>
    <xf numFmtId="49" fontId="69" fillId="0" borderId="0" applyFill="0" applyBorder="0" applyAlignment="0"/>
    <xf numFmtId="0" fontId="66" fillId="0" borderId="0" applyFill="0" applyBorder="0" applyAlignment="0"/>
    <xf numFmtId="0" fontId="66" fillId="0" borderId="0" applyFill="0" applyBorder="0" applyAlignment="0"/>
    <xf numFmtId="3" fontId="74" fillId="0" borderId="6">
      <alignment horizont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39" fontId="8" fillId="0" borderId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63" fillId="0" borderId="0"/>
    <xf numFmtId="187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02" fillId="0" borderId="0"/>
    <xf numFmtId="0" fontId="105" fillId="0" borderId="0"/>
    <xf numFmtId="0" fontId="110" fillId="25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7" borderId="0" applyNumberFormat="0" applyBorder="0" applyAlignment="0" applyProtection="0"/>
    <xf numFmtId="0" fontId="110" fillId="28" borderId="0" applyNumberFormat="0" applyBorder="0" applyAlignment="0" applyProtection="0"/>
    <xf numFmtId="0" fontId="111" fillId="29" borderId="0" applyNumberFormat="0" applyBorder="0" applyAlignment="0" applyProtection="0"/>
    <xf numFmtId="0" fontId="111" fillId="30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1" fillId="29" borderId="0" applyNumberFormat="0" applyBorder="0" applyAlignment="0" applyProtection="0"/>
    <xf numFmtId="0" fontId="111" fillId="32" borderId="0" applyNumberFormat="0" applyBorder="0" applyAlignment="0" applyProtection="0"/>
    <xf numFmtId="0" fontId="110" fillId="30" borderId="0" applyNumberFormat="0" applyBorder="0" applyAlignment="0" applyProtection="0"/>
    <xf numFmtId="0" fontId="110" fillId="25" borderId="0" applyNumberFormat="0" applyBorder="0" applyAlignment="0" applyProtection="0"/>
    <xf numFmtId="0" fontId="111" fillId="26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3" borderId="0" applyNumberFormat="0" applyBorder="0" applyAlignment="0" applyProtection="0"/>
    <xf numFmtId="0" fontId="111" fillId="34" borderId="0" applyNumberFormat="0" applyBorder="0" applyAlignment="0" applyProtection="0"/>
    <xf numFmtId="0" fontId="111" fillId="26" borderId="0" applyNumberFormat="0" applyBorder="0" applyAlignment="0" applyProtection="0"/>
    <xf numFmtId="0" fontId="110" fillId="27" borderId="0" applyNumberFormat="0" applyBorder="0" applyAlignment="0" applyProtection="0"/>
    <xf numFmtId="0" fontId="110" fillId="35" borderId="0" applyNumberFormat="0" applyBorder="0" applyAlignment="0" applyProtection="0"/>
    <xf numFmtId="0" fontId="111" fillId="29" borderId="0" applyNumberFormat="0" applyBorder="0" applyAlignment="0" applyProtection="0"/>
    <xf numFmtId="0" fontId="111" fillId="36" borderId="0" applyNumberFormat="0" applyBorder="0" applyAlignment="0" applyProtection="0"/>
    <xf numFmtId="0" fontId="110" fillId="36" borderId="0" applyNumberFormat="0" applyBorder="0" applyAlignment="0" applyProtection="0"/>
    <xf numFmtId="0" fontId="112" fillId="37" borderId="0" applyNumberFormat="0" applyBorder="0" applyAlignment="0" applyProtection="0"/>
    <xf numFmtId="0" fontId="113" fillId="38" borderId="81" applyNumberFormat="0" applyAlignment="0" applyProtection="0"/>
    <xf numFmtId="0" fontId="114" fillId="31" borderId="82" applyNumberFormat="0" applyAlignment="0" applyProtection="0"/>
    <xf numFmtId="187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5" fillId="39" borderId="0" applyNumberFormat="0" applyBorder="0" applyAlignment="0" applyProtection="0"/>
    <xf numFmtId="0" fontId="115" fillId="40" borderId="0" applyNumberFormat="0" applyBorder="0" applyAlignment="0" applyProtection="0"/>
    <xf numFmtId="0" fontId="115" fillId="41" borderId="0" applyNumberFormat="0" applyBorder="0" applyAlignment="0" applyProtection="0"/>
    <xf numFmtId="0" fontId="116" fillId="32" borderId="0" applyNumberFormat="0" applyBorder="0" applyAlignment="0" applyProtection="0"/>
    <xf numFmtId="0" fontId="117" fillId="0" borderId="83" applyNumberFormat="0" applyFill="0" applyAlignment="0" applyProtection="0"/>
    <xf numFmtId="0" fontId="118" fillId="0" borderId="84" applyNumberFormat="0" applyFill="0" applyAlignment="0" applyProtection="0"/>
    <xf numFmtId="0" fontId="119" fillId="0" borderId="85" applyNumberFormat="0" applyFill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22" fillId="36" borderId="81" applyNumberFormat="0" applyAlignment="0" applyProtection="0"/>
    <xf numFmtId="0" fontId="123" fillId="0" borderId="86" applyNumberFormat="0" applyFill="0" applyAlignment="0" applyProtection="0"/>
    <xf numFmtId="0" fontId="124" fillId="42" borderId="0" applyNumberFormat="0" applyBorder="0" applyAlignment="0" applyProtection="0"/>
    <xf numFmtId="0" fontId="68" fillId="0" borderId="0"/>
    <xf numFmtId="0" fontId="26" fillId="0" borderId="0" applyNumberFormat="0"/>
    <xf numFmtId="0" fontId="63" fillId="0" borderId="0"/>
    <xf numFmtId="0" fontId="1" fillId="0" borderId="0"/>
    <xf numFmtId="0" fontId="63" fillId="29" borderId="87" applyNumberFormat="0" applyFont="0" applyAlignment="0" applyProtection="0"/>
    <xf numFmtId="0" fontId="63" fillId="29" borderId="87" applyNumberFormat="0" applyFont="0" applyAlignment="0" applyProtection="0"/>
    <xf numFmtId="0" fontId="125" fillId="38" borderId="88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29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129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188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63" fillId="0" borderId="0" applyFont="0" applyFill="0" applyBorder="0" applyAlignment="0" applyProtection="0"/>
    <xf numFmtId="187" fontId="26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187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130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26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6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3" fillId="0" borderId="0"/>
    <xf numFmtId="0" fontId="1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" fillId="0" borderId="0"/>
    <xf numFmtId="0" fontId="63" fillId="0" borderId="0"/>
    <xf numFmtId="0" fontId="129" fillId="0" borderId="0"/>
    <xf numFmtId="0" fontId="131" fillId="0" borderId="0"/>
    <xf numFmtId="0" fontId="26" fillId="0" borderId="0"/>
    <xf numFmtId="0" fontId="68" fillId="0" borderId="0"/>
    <xf numFmtId="0" fontId="26" fillId="0" borderId="0"/>
    <xf numFmtId="43" fontId="26" fillId="0" borderId="0" applyFont="0" applyFill="0" applyBorder="0" applyAlignment="0" applyProtection="0"/>
  </cellStyleXfs>
  <cellXfs count="2584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" xfId="0" applyFont="1" applyBorder="1"/>
    <xf numFmtId="187" fontId="6" fillId="0" borderId="4" xfId="77" applyFont="1" applyBorder="1" applyAlignment="1">
      <alignment horizontal="center" vertical="center"/>
    </xf>
    <xf numFmtId="0" fontId="5" fillId="0" borderId="4" xfId="0" applyFont="1" applyBorder="1"/>
    <xf numFmtId="0" fontId="6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87" fontId="3" fillId="0" borderId="0" xfId="77" applyFont="1"/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10" xfId="0" applyFont="1" applyBorder="1" applyAlignment="1">
      <alignment horizontal="centerContinuous" vertical="center"/>
    </xf>
    <xf numFmtId="0" fontId="3" fillId="6" borderId="0" xfId="0" applyFont="1" applyFill="1"/>
    <xf numFmtId="0" fontId="9" fillId="0" borderId="0" xfId="0" applyFont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9" xfId="0" applyFont="1" applyBorder="1"/>
    <xf numFmtId="0" fontId="3" fillId="0" borderId="12" xfId="0" applyFont="1" applyBorder="1"/>
    <xf numFmtId="0" fontId="3" fillId="0" borderId="13" xfId="0" applyFont="1" applyBorder="1"/>
    <xf numFmtId="187" fontId="3" fillId="0" borderId="14" xfId="77" applyFont="1" applyBorder="1"/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187" fontId="3" fillId="0" borderId="12" xfId="77" applyFont="1" applyFill="1" applyBorder="1" applyAlignment="1">
      <alignment horizontal="center"/>
    </xf>
    <xf numFmtId="187" fontId="3" fillId="0" borderId="15" xfId="77" applyFont="1" applyFill="1" applyBorder="1" applyAlignment="1">
      <alignment horizontal="center"/>
    </xf>
    <xf numFmtId="43" fontId="3" fillId="0" borderId="15" xfId="0" applyNumberFormat="1" applyFont="1" applyBorder="1"/>
    <xf numFmtId="0" fontId="3" fillId="0" borderId="15" xfId="0" applyFont="1" applyBorder="1"/>
    <xf numFmtId="0" fontId="3" fillId="0" borderId="17" xfId="0" applyFont="1" applyBorder="1"/>
    <xf numFmtId="0" fontId="3" fillId="0" borderId="8" xfId="0" applyFont="1" applyBorder="1"/>
    <xf numFmtId="0" fontId="3" fillId="0" borderId="1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9" xfId="0" applyFont="1" applyBorder="1"/>
    <xf numFmtId="0" fontId="3" fillId="7" borderId="19" xfId="0" applyFont="1" applyFill="1" applyBorder="1"/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187" fontId="3" fillId="0" borderId="17" xfId="77" applyFont="1" applyFill="1" applyBorder="1" applyAlignment="1">
      <alignment horizontal="center"/>
    </xf>
    <xf numFmtId="187" fontId="3" fillId="0" borderId="20" xfId="77" applyFont="1" applyFill="1" applyBorder="1" applyAlignment="1">
      <alignment horizontal="center"/>
    </xf>
    <xf numFmtId="43" fontId="3" fillId="0" borderId="20" xfId="0" applyNumberFormat="1" applyFont="1" applyBorder="1"/>
    <xf numFmtId="0" fontId="3" fillId="0" borderId="20" xfId="0" applyFont="1" applyBorder="1"/>
    <xf numFmtId="43" fontId="3" fillId="0" borderId="17" xfId="0" applyNumberFormat="1" applyFont="1" applyBorder="1"/>
    <xf numFmtId="187" fontId="3" fillId="0" borderId="5" xfId="77" applyFont="1" applyBorder="1" applyAlignment="1">
      <alignment horizontal="centerContinuous" vertical="center"/>
    </xf>
    <xf numFmtId="187" fontId="3" fillId="0" borderId="9" xfId="77" applyFont="1" applyBorder="1" applyAlignment="1">
      <alignment horizontal="centerContinuous" vertical="center"/>
    </xf>
    <xf numFmtId="187" fontId="3" fillId="0" borderId="22" xfId="77" applyFont="1" applyBorder="1"/>
    <xf numFmtId="187" fontId="3" fillId="0" borderId="17" xfId="77" applyFont="1" applyBorder="1" applyAlignment="1">
      <alignment horizontal="center"/>
    </xf>
    <xf numFmtId="0" fontId="3" fillId="0" borderId="5" xfId="0" applyFont="1" applyBorder="1"/>
    <xf numFmtId="43" fontId="3" fillId="0" borderId="22" xfId="77" applyNumberFormat="1" applyFont="1" applyBorder="1"/>
    <xf numFmtId="43" fontId="3" fillId="0" borderId="20" xfId="0" applyNumberFormat="1" applyFont="1" applyBorder="1" applyAlignment="1">
      <alignment horizontal="center"/>
    </xf>
    <xf numFmtId="43" fontId="3" fillId="0" borderId="11" xfId="0" applyNumberFormat="1" applyFont="1" applyBorder="1" applyAlignment="1">
      <alignment horizontal="center"/>
    </xf>
    <xf numFmtId="43" fontId="3" fillId="0" borderId="17" xfId="77" applyNumberFormat="1" applyFont="1" applyBorder="1" applyAlignment="1">
      <alignment horizontal="center"/>
    </xf>
    <xf numFmtId="43" fontId="3" fillId="0" borderId="22" xfId="0" applyNumberFormat="1" applyFont="1" applyBorder="1"/>
    <xf numFmtId="43" fontId="3" fillId="0" borderId="21" xfId="0" applyNumberFormat="1" applyFont="1" applyBorder="1" applyAlignment="1">
      <alignment horizontal="center"/>
    </xf>
    <xf numFmtId="43" fontId="3" fillId="0" borderId="17" xfId="0" applyNumberFormat="1" applyFont="1" applyBorder="1" applyAlignment="1">
      <alignment horizontal="center"/>
    </xf>
    <xf numFmtId="187" fontId="3" fillId="0" borderId="20" xfId="77" applyFont="1" applyBorder="1"/>
    <xf numFmtId="43" fontId="3" fillId="0" borderId="19" xfId="0" applyNumberFormat="1" applyFont="1" applyBorder="1"/>
    <xf numFmtId="187" fontId="3" fillId="0" borderId="17" xfId="77" applyFont="1" applyBorder="1"/>
    <xf numFmtId="0" fontId="3" fillId="0" borderId="23" xfId="0" applyFont="1" applyBorder="1"/>
    <xf numFmtId="0" fontId="3" fillId="0" borderId="24" xfId="0" applyFont="1" applyBorder="1" applyAlignment="1">
      <alignment horizontal="center"/>
    </xf>
    <xf numFmtId="43" fontId="3" fillId="0" borderId="23" xfId="0" applyNumberFormat="1" applyFont="1" applyBorder="1" applyAlignment="1">
      <alignment horizontal="center"/>
    </xf>
    <xf numFmtId="43" fontId="3" fillId="0" borderId="25" xfId="0" applyNumberFormat="1" applyFont="1" applyBorder="1" applyAlignment="1">
      <alignment horizontal="center"/>
    </xf>
    <xf numFmtId="187" fontId="3" fillId="0" borderId="23" xfId="77" applyFont="1" applyBorder="1"/>
    <xf numFmtId="187" fontId="3" fillId="0" borderId="25" xfId="77" applyFont="1" applyBorder="1"/>
    <xf numFmtId="0" fontId="3" fillId="0" borderId="25" xfId="0" applyFont="1" applyBorder="1"/>
    <xf numFmtId="43" fontId="3" fillId="0" borderId="23" xfId="0" applyNumberFormat="1" applyFont="1" applyBorder="1"/>
    <xf numFmtId="187" fontId="3" fillId="0" borderId="8" xfId="77" applyFont="1" applyBorder="1" applyAlignment="1">
      <alignment horizontal="centerContinuous" vertical="center"/>
    </xf>
    <xf numFmtId="187" fontId="3" fillId="0" borderId="18" xfId="77" applyFont="1" applyBorder="1" applyAlignment="1">
      <alignment horizontal="centerContinuous" vertical="center"/>
    </xf>
    <xf numFmtId="0" fontId="3" fillId="0" borderId="22" xfId="0" applyFont="1" applyBorder="1"/>
    <xf numFmtId="43" fontId="3" fillId="0" borderId="0" xfId="0" applyNumberFormat="1" applyFont="1"/>
    <xf numFmtId="43" fontId="3" fillId="0" borderId="0" xfId="0" applyNumberFormat="1" applyFont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/>
    <xf numFmtId="0" fontId="3" fillId="0" borderId="18" xfId="0" applyFont="1" applyBorder="1"/>
    <xf numFmtId="0" fontId="3" fillId="0" borderId="28" xfId="0" applyFont="1" applyBorder="1"/>
    <xf numFmtId="43" fontId="3" fillId="0" borderId="29" xfId="0" applyNumberFormat="1" applyFont="1" applyBorder="1"/>
    <xf numFmtId="0" fontId="0" fillId="0" borderId="27" xfId="0" applyBorder="1"/>
    <xf numFmtId="0" fontId="0" fillId="0" borderId="18" xfId="0" applyBorder="1"/>
    <xf numFmtId="187" fontId="3" fillId="0" borderId="0" xfId="77" applyFont="1" applyBorder="1"/>
    <xf numFmtId="0" fontId="10" fillId="0" borderId="0" xfId="0" applyFont="1"/>
    <xf numFmtId="187" fontId="3" fillId="6" borderId="22" xfId="77" applyFont="1" applyFill="1" applyBorder="1" applyAlignment="1">
      <alignment horizontal="center"/>
    </xf>
    <xf numFmtId="0" fontId="3" fillId="6" borderId="19" xfId="0" applyFont="1" applyFill="1" applyBorder="1"/>
    <xf numFmtId="187" fontId="3" fillId="6" borderId="17" xfId="77" applyFont="1" applyFill="1" applyBorder="1" applyAlignment="1">
      <alignment horizontal="center"/>
    </xf>
    <xf numFmtId="0" fontId="3" fillId="6" borderId="12" xfId="0" applyFont="1" applyFill="1" applyBorder="1"/>
    <xf numFmtId="0" fontId="3" fillId="6" borderId="2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vertical="top"/>
    </xf>
    <xf numFmtId="9" fontId="14" fillId="0" borderId="0" xfId="0" applyNumberFormat="1" applyFont="1" applyAlignment="1">
      <alignment horizontal="left" vertical="top"/>
    </xf>
    <xf numFmtId="9" fontId="14" fillId="0" borderId="0" xfId="0" applyNumberFormat="1" applyFont="1" applyAlignment="1">
      <alignment horizontal="center" vertical="top"/>
    </xf>
    <xf numFmtId="0" fontId="15" fillId="0" borderId="0" xfId="0" applyFont="1" applyAlignment="1">
      <alignment vertical="top"/>
    </xf>
    <xf numFmtId="9" fontId="14" fillId="0" borderId="0" xfId="0" applyNumberFormat="1" applyFont="1" applyAlignment="1">
      <alignment vertical="top"/>
    </xf>
    <xf numFmtId="0" fontId="14" fillId="0" borderId="0" xfId="0" applyFont="1" applyAlignment="1">
      <alignment horizontal="left" vertical="top"/>
    </xf>
    <xf numFmtId="0" fontId="16" fillId="7" borderId="7" xfId="0" applyFont="1" applyFill="1" applyBorder="1" applyAlignment="1">
      <alignment horizontal="center" vertical="top"/>
    </xf>
    <xf numFmtId="0" fontId="16" fillId="7" borderId="5" xfId="0" applyFont="1" applyFill="1" applyBorder="1" applyAlignment="1">
      <alignment horizontal="center" vertical="top"/>
    </xf>
    <xf numFmtId="0" fontId="0" fillId="7" borderId="0" xfId="0" applyFill="1" applyAlignment="1">
      <alignment vertical="top"/>
    </xf>
    <xf numFmtId="0" fontId="16" fillId="7" borderId="8" xfId="0" applyFont="1" applyFill="1" applyBorder="1" applyAlignment="1">
      <alignment horizontal="center" vertical="top"/>
    </xf>
    <xf numFmtId="0" fontId="16" fillId="7" borderId="8" xfId="0" applyFont="1" applyFill="1" applyBorder="1" applyAlignment="1">
      <alignment vertical="top"/>
    </xf>
    <xf numFmtId="0" fontId="16" fillId="0" borderId="30" xfId="0" applyFont="1" applyBorder="1" applyAlignment="1">
      <alignment horizontal="center" vertical="top"/>
    </xf>
    <xf numFmtId="0" fontId="16" fillId="0" borderId="31" xfId="0" applyFont="1" applyBorder="1" applyAlignment="1">
      <alignment horizontal="center" vertical="top"/>
    </xf>
    <xf numFmtId="191" fontId="16" fillId="0" borderId="11" xfId="0" applyNumberFormat="1" applyFont="1" applyBorder="1" applyAlignment="1">
      <alignment horizontal="center" vertical="top"/>
    </xf>
    <xf numFmtId="191" fontId="16" fillId="0" borderId="30" xfId="0" applyNumberFormat="1" applyFont="1" applyBorder="1" applyAlignment="1">
      <alignment horizontal="center" vertical="top"/>
    </xf>
    <xf numFmtId="191" fontId="16" fillId="0" borderId="7" xfId="0" applyNumberFormat="1" applyFont="1" applyBorder="1" applyAlignment="1">
      <alignment horizontal="center" vertical="top"/>
    </xf>
    <xf numFmtId="0" fontId="16" fillId="0" borderId="11" xfId="0" applyFont="1" applyBorder="1" applyAlignment="1">
      <alignment horizontal="center" vertical="top"/>
    </xf>
    <xf numFmtId="0" fontId="16" fillId="0" borderId="9" xfId="0" applyFont="1" applyBorder="1" applyAlignment="1">
      <alignment horizontal="center" vertical="top"/>
    </xf>
    <xf numFmtId="191" fontId="16" fillId="0" borderId="5" xfId="0" applyNumberFormat="1" applyFont="1" applyBorder="1" applyAlignment="1">
      <alignment horizontal="center" vertical="top"/>
    </xf>
    <xf numFmtId="0" fontId="16" fillId="0" borderId="26" xfId="0" applyFont="1" applyBorder="1" applyAlignment="1">
      <alignment horizontal="center" vertical="top"/>
    </xf>
    <xf numFmtId="0" fontId="16" fillId="0" borderId="18" xfId="0" applyFont="1" applyBorder="1" applyAlignment="1">
      <alignment horizontal="center" vertical="top"/>
    </xf>
    <xf numFmtId="191" fontId="16" fillId="0" borderId="8" xfId="0" applyNumberFormat="1" applyFont="1" applyBorder="1" applyAlignment="1">
      <alignment horizontal="center" vertical="top"/>
    </xf>
    <xf numFmtId="191" fontId="16" fillId="0" borderId="26" xfId="0" applyNumberFormat="1" applyFont="1" applyBorder="1" applyAlignment="1">
      <alignment horizontal="center" vertical="top"/>
    </xf>
    <xf numFmtId="0" fontId="16" fillId="0" borderId="0" xfId="0" applyFont="1" applyAlignment="1">
      <alignment horizontal="center" vertical="top"/>
    </xf>
    <xf numFmtId="191" fontId="16" fillId="0" borderId="0" xfId="0" applyNumberFormat="1" applyFont="1" applyAlignment="1">
      <alignment horizontal="center" vertical="top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6" fillId="3" borderId="7" xfId="0" applyFont="1" applyFill="1" applyBorder="1" applyAlignment="1">
      <alignment horizontal="center" vertical="top"/>
    </xf>
    <xf numFmtId="0" fontId="16" fillId="3" borderId="11" xfId="0" applyFont="1" applyFill="1" applyBorder="1" applyAlignment="1">
      <alignment horizontal="center" vertical="top"/>
    </xf>
    <xf numFmtId="0" fontId="16" fillId="3" borderId="9" xfId="0" applyFont="1" applyFill="1" applyBorder="1" applyAlignment="1">
      <alignment horizontal="center" vertical="top"/>
    </xf>
    <xf numFmtId="0" fontId="16" fillId="3" borderId="5" xfId="0" applyFont="1" applyFill="1" applyBorder="1" applyAlignment="1">
      <alignment horizontal="center" vertical="top"/>
    </xf>
    <xf numFmtId="0" fontId="16" fillId="3" borderId="8" xfId="0" applyFont="1" applyFill="1" applyBorder="1" applyAlignment="1">
      <alignment horizontal="center" vertical="top"/>
    </xf>
    <xf numFmtId="0" fontId="19" fillId="0" borderId="30" xfId="0" applyFont="1" applyBorder="1" applyAlignment="1">
      <alignment vertical="center"/>
    </xf>
    <xf numFmtId="0" fontId="19" fillId="0" borderId="31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2" fontId="19" fillId="0" borderId="7" xfId="0" applyNumberFormat="1" applyFont="1" applyBorder="1" applyAlignment="1">
      <alignment horizontal="center" vertical="center"/>
    </xf>
    <xf numFmtId="191" fontId="16" fillId="6" borderId="7" xfId="0" applyNumberFormat="1" applyFont="1" applyFill="1" applyBorder="1" applyAlignment="1">
      <alignment horizontal="center" vertical="center"/>
    </xf>
    <xf numFmtId="0" fontId="0" fillId="0" borderId="31" xfId="0" applyBorder="1"/>
    <xf numFmtId="0" fontId="19" fillId="0" borderId="11" xfId="0" applyFont="1" applyBorder="1" applyAlignment="1">
      <alignment vertical="center"/>
    </xf>
    <xf numFmtId="0" fontId="19" fillId="0" borderId="9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2" fontId="19" fillId="0" borderId="5" xfId="0" applyNumberFormat="1" applyFont="1" applyBorder="1" applyAlignment="1">
      <alignment horizontal="center" vertical="center"/>
    </xf>
    <xf numFmtId="191" fontId="16" fillId="6" borderId="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top"/>
    </xf>
    <xf numFmtId="0" fontId="0" fillId="0" borderId="9" xfId="0" applyBorder="1"/>
    <xf numFmtId="0" fontId="20" fillId="0" borderId="0" xfId="0" applyFont="1" applyAlignment="1">
      <alignment horizontal="center" vertical="top"/>
    </xf>
    <xf numFmtId="0" fontId="20" fillId="0" borderId="0" xfId="0" applyFont="1" applyAlignment="1">
      <alignment vertical="top"/>
    </xf>
    <xf numFmtId="0" fontId="19" fillId="0" borderId="26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2" fontId="19" fillId="0" borderId="8" xfId="0" applyNumberFormat="1" applyFont="1" applyBorder="1" applyAlignment="1">
      <alignment horizontal="center" vertical="center"/>
    </xf>
    <xf numFmtId="191" fontId="16" fillId="6" borderId="8" xfId="0" applyNumberFormat="1" applyFont="1" applyFill="1" applyBorder="1" applyAlignment="1">
      <alignment horizontal="center" vertical="center"/>
    </xf>
    <xf numFmtId="0" fontId="0" fillId="0" borderId="26" xfId="0" applyBorder="1"/>
    <xf numFmtId="0" fontId="19" fillId="0" borderId="30" xfId="0" applyFont="1" applyBorder="1" applyAlignment="1">
      <alignment horizontal="center" vertical="center"/>
    </xf>
    <xf numFmtId="0" fontId="19" fillId="0" borderId="30" xfId="0" applyFont="1" applyBorder="1"/>
    <xf numFmtId="0" fontId="19" fillId="0" borderId="31" xfId="0" applyFont="1" applyBorder="1"/>
    <xf numFmtId="0" fontId="19" fillId="0" borderId="11" xfId="0" applyFont="1" applyBorder="1"/>
    <xf numFmtId="0" fontId="19" fillId="0" borderId="9" xfId="0" applyFont="1" applyBorder="1"/>
    <xf numFmtId="0" fontId="19" fillId="0" borderId="26" xfId="0" applyFont="1" applyBorder="1"/>
    <xf numFmtId="0" fontId="19" fillId="0" borderId="18" xfId="0" applyFont="1" applyBorder="1"/>
    <xf numFmtId="0" fontId="0" fillId="0" borderId="0" xfId="0" applyAlignment="1">
      <alignment horizont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top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top"/>
    </xf>
    <xf numFmtId="0" fontId="24" fillId="0" borderId="0" xfId="0" applyFont="1" applyAlignment="1">
      <alignment vertical="top"/>
    </xf>
    <xf numFmtId="0" fontId="12" fillId="3" borderId="7" xfId="0" applyFont="1" applyFill="1" applyBorder="1" applyAlignment="1">
      <alignment horizontal="center" vertical="top"/>
    </xf>
    <xf numFmtId="0" fontId="12" fillId="0" borderId="5" xfId="0" applyFont="1" applyBorder="1" applyAlignment="1">
      <alignment horizontal="center"/>
    </xf>
    <xf numFmtId="0" fontId="12" fillId="0" borderId="11" xfId="0" applyFont="1" applyBorder="1"/>
    <xf numFmtId="0" fontId="12" fillId="0" borderId="0" xfId="0" applyFont="1"/>
    <xf numFmtId="0" fontId="12" fillId="0" borderId="9" xfId="0" applyFont="1" applyBorder="1"/>
    <xf numFmtId="0" fontId="20" fillId="0" borderId="5" xfId="0" applyFont="1" applyBorder="1" applyAlignment="1">
      <alignment horizontal="center"/>
    </xf>
    <xf numFmtId="0" fontId="20" fillId="0" borderId="11" xfId="0" applyFont="1" applyBorder="1"/>
    <xf numFmtId="187" fontId="20" fillId="0" borderId="9" xfId="77" applyFont="1" applyBorder="1"/>
    <xf numFmtId="187" fontId="20" fillId="0" borderId="9" xfId="77" applyFont="1" applyBorder="1" applyAlignment="1"/>
    <xf numFmtId="0" fontId="12" fillId="3" borderId="8" xfId="0" applyFont="1" applyFill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30" xfId="0" applyFont="1" applyBorder="1" applyAlignment="1">
      <alignment vertical="top"/>
    </xf>
    <xf numFmtId="0" fontId="20" fillId="0" borderId="32" xfId="0" applyFont="1" applyBorder="1" applyAlignment="1">
      <alignment vertical="top"/>
    </xf>
    <xf numFmtId="0" fontId="20" fillId="0" borderId="31" xfId="0" applyFont="1" applyBorder="1" applyAlignment="1">
      <alignment vertical="top"/>
    </xf>
    <xf numFmtId="0" fontId="20" fillId="0" borderId="7" xfId="0" applyFont="1" applyBorder="1" applyAlignment="1">
      <alignment horizontal="center" vertical="top"/>
    </xf>
    <xf numFmtId="0" fontId="20" fillId="0" borderId="30" xfId="0" applyFont="1" applyBorder="1" applyAlignment="1">
      <alignment vertical="top"/>
    </xf>
    <xf numFmtId="0" fontId="20" fillId="0" borderId="0" xfId="0" applyFont="1"/>
    <xf numFmtId="0" fontId="20" fillId="0" borderId="9" xfId="0" applyFont="1" applyBorder="1"/>
    <xf numFmtId="187" fontId="20" fillId="0" borderId="9" xfId="77" applyFont="1" applyBorder="1" applyAlignment="1">
      <alignment horizontal="center"/>
    </xf>
    <xf numFmtId="0" fontId="19" fillId="0" borderId="30" xfId="0" applyFont="1" applyBorder="1" applyAlignment="1">
      <alignment horizontal="center"/>
    </xf>
    <xf numFmtId="0" fontId="12" fillId="0" borderId="31" xfId="0" applyFont="1" applyBorder="1" applyAlignment="1">
      <alignment horizontal="center"/>
    </xf>
    <xf numFmtId="200" fontId="12" fillId="0" borderId="31" xfId="77" applyNumberFormat="1" applyFont="1" applyBorder="1" applyAlignment="1">
      <alignment horizontal="center"/>
    </xf>
    <xf numFmtId="0" fontId="12" fillId="7" borderId="31" xfId="0" applyFont="1" applyFill="1" applyBorder="1" applyAlignment="1">
      <alignment horizontal="center"/>
    </xf>
    <xf numFmtId="0" fontId="20" fillId="0" borderId="5" xfId="0" applyFont="1" applyBorder="1" applyAlignment="1">
      <alignment horizontal="center" vertical="top"/>
    </xf>
    <xf numFmtId="0" fontId="20" fillId="0" borderId="11" xfId="0" applyFont="1" applyBorder="1" applyAlignment="1">
      <alignment vertical="top"/>
    </xf>
    <xf numFmtId="0" fontId="20" fillId="0" borderId="9" xfId="0" applyFont="1" applyBorder="1" applyAlignment="1">
      <alignment vertical="top"/>
    </xf>
    <xf numFmtId="187" fontId="20" fillId="0" borderId="9" xfId="77" applyFont="1" applyBorder="1" applyAlignment="1">
      <alignment vertical="top"/>
    </xf>
    <xf numFmtId="2" fontId="12" fillId="0" borderId="9" xfId="0" applyNumberFormat="1" applyFont="1" applyBorder="1" applyAlignment="1">
      <alignment horizontal="center"/>
    </xf>
    <xf numFmtId="191" fontId="12" fillId="7" borderId="9" xfId="0" applyNumberFormat="1" applyFont="1" applyFill="1" applyBorder="1" applyAlignment="1">
      <alignment horizontal="center"/>
    </xf>
    <xf numFmtId="3" fontId="20" fillId="0" borderId="5" xfId="0" applyNumberFormat="1" applyFont="1" applyBorder="1" applyAlignment="1">
      <alignment horizontal="center" vertical="top"/>
    </xf>
    <xf numFmtId="0" fontId="12" fillId="0" borderId="5" xfId="0" applyFont="1" applyBorder="1" applyAlignment="1">
      <alignment horizontal="center" vertical="top"/>
    </xf>
    <xf numFmtId="0" fontId="12" fillId="0" borderId="11" xfId="0" applyFont="1" applyBorder="1" applyAlignment="1">
      <alignment vertical="top"/>
    </xf>
    <xf numFmtId="0" fontId="12" fillId="7" borderId="9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20" fillId="3" borderId="1" xfId="0" applyFont="1" applyFill="1" applyBorder="1"/>
    <xf numFmtId="187" fontId="12" fillId="3" borderId="10" xfId="77" applyFont="1" applyFill="1" applyBorder="1"/>
    <xf numFmtId="0" fontId="12" fillId="3" borderId="1" xfId="0" applyFont="1" applyFill="1" applyBorder="1" applyAlignment="1">
      <alignment vertical="top"/>
    </xf>
    <xf numFmtId="187" fontId="12" fillId="3" borderId="10" xfId="77" applyFont="1" applyFill="1" applyBorder="1" applyAlignment="1">
      <alignment vertical="top"/>
    </xf>
    <xf numFmtId="0" fontId="12" fillId="0" borderId="0" xfId="0" applyFont="1" applyAlignment="1">
      <alignment vertical="top"/>
    </xf>
    <xf numFmtId="200" fontId="20" fillId="0" borderId="0" xfId="77" applyNumberFormat="1" applyFont="1" applyAlignment="1">
      <alignment vertical="top"/>
    </xf>
    <xf numFmtId="0" fontId="20" fillId="0" borderId="8" xfId="0" applyFont="1" applyBorder="1" applyAlignment="1">
      <alignment horizontal="center"/>
    </xf>
    <xf numFmtId="0" fontId="20" fillId="0" borderId="26" xfId="0" applyFont="1" applyBorder="1"/>
    <xf numFmtId="0" fontId="20" fillId="0" borderId="27" xfId="0" applyFont="1" applyBorder="1"/>
    <xf numFmtId="0" fontId="20" fillId="0" borderId="18" xfId="0" applyFont="1" applyBorder="1"/>
    <xf numFmtId="187" fontId="20" fillId="0" borderId="18" xfId="77" applyFont="1" applyBorder="1"/>
    <xf numFmtId="0" fontId="12" fillId="3" borderId="1" xfId="0" applyFont="1" applyFill="1" applyBorder="1"/>
    <xf numFmtId="0" fontId="20" fillId="0" borderId="5" xfId="0" applyFont="1" applyBorder="1"/>
    <xf numFmtId="43" fontId="20" fillId="0" borderId="9" xfId="0" applyNumberFormat="1" applyFont="1" applyBorder="1"/>
    <xf numFmtId="43" fontId="20" fillId="0" borderId="18" xfId="0" applyNumberFormat="1" applyFont="1" applyBorder="1"/>
    <xf numFmtId="0" fontId="19" fillId="0" borderId="26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2" fontId="12" fillId="0" borderId="18" xfId="0" applyNumberFormat="1" applyFont="1" applyBorder="1" applyAlignment="1">
      <alignment horizontal="center"/>
    </xf>
    <xf numFmtId="191" fontId="12" fillId="7" borderId="18" xfId="0" applyNumberFormat="1" applyFont="1" applyFill="1" applyBorder="1" applyAlignment="1">
      <alignment horizontal="center"/>
    </xf>
    <xf numFmtId="0" fontId="25" fillId="0" borderId="0" xfId="0" applyFont="1"/>
    <xf numFmtId="0" fontId="12" fillId="0" borderId="7" xfId="0" applyFont="1" applyBorder="1" applyAlignment="1">
      <alignment horizontal="center"/>
    </xf>
    <xf numFmtId="0" fontId="25" fillId="0" borderId="0" xfId="0" applyFont="1" applyAlignment="1">
      <alignment vertical="top"/>
    </xf>
    <xf numFmtId="43" fontId="20" fillId="0" borderId="9" xfId="0" applyNumberFormat="1" applyFont="1" applyBorder="1" applyAlignment="1">
      <alignment vertical="top"/>
    </xf>
    <xf numFmtId="43" fontId="20" fillId="0" borderId="18" xfId="0" applyNumberFormat="1" applyFont="1" applyBorder="1" applyAlignment="1">
      <alignment vertical="top"/>
    </xf>
    <xf numFmtId="0" fontId="26" fillId="3" borderId="0" xfId="0" applyFont="1" applyFill="1" applyAlignment="1">
      <alignment vertical="center"/>
    </xf>
    <xf numFmtId="191" fontId="26" fillId="3" borderId="0" xfId="0" applyNumberFormat="1" applyFont="1" applyFill="1" applyAlignment="1">
      <alignment vertical="center"/>
    </xf>
    <xf numFmtId="0" fontId="20" fillId="3" borderId="1" xfId="0" applyFont="1" applyFill="1" applyBorder="1" applyAlignment="1">
      <alignment vertical="top"/>
    </xf>
    <xf numFmtId="0" fontId="20" fillId="3" borderId="7" xfId="0" applyFont="1" applyFill="1" applyBorder="1" applyAlignment="1">
      <alignment horizontal="center"/>
    </xf>
    <xf numFmtId="0" fontId="20" fillId="3" borderId="5" xfId="0" applyFont="1" applyFill="1" applyBorder="1" applyAlignment="1">
      <alignment horizontal="center"/>
    </xf>
    <xf numFmtId="0" fontId="25" fillId="0" borderId="30" xfId="0" applyFont="1" applyBorder="1"/>
    <xf numFmtId="198" fontId="26" fillId="0" borderId="30" xfId="77" applyNumberFormat="1" applyFont="1" applyBorder="1" applyAlignment="1"/>
    <xf numFmtId="0" fontId="25" fillId="0" borderId="11" xfId="0" applyFont="1" applyBorder="1"/>
    <xf numFmtId="198" fontId="26" fillId="0" borderId="11" xfId="77" applyNumberFormat="1" applyFont="1" applyBorder="1" applyAlignment="1"/>
    <xf numFmtId="0" fontId="19" fillId="0" borderId="32" xfId="0" applyFont="1" applyBorder="1" applyAlignment="1">
      <alignment horizontal="center" vertical="top"/>
    </xf>
    <xf numFmtId="0" fontId="19" fillId="0" borderId="7" xfId="0" applyFont="1" applyBorder="1" applyAlignment="1">
      <alignment horizontal="center" vertical="top"/>
    </xf>
    <xf numFmtId="0" fontId="19" fillId="0" borderId="31" xfId="0" applyFont="1" applyBorder="1" applyAlignment="1">
      <alignment horizontal="center"/>
    </xf>
    <xf numFmtId="0" fontId="19" fillId="0" borderId="5" xfId="0" applyFont="1" applyBorder="1" applyAlignment="1">
      <alignment horizontal="center" vertical="top"/>
    </xf>
    <xf numFmtId="0" fontId="19" fillId="0" borderId="9" xfId="0" applyFont="1" applyBorder="1" applyAlignment="1">
      <alignment horizontal="center"/>
    </xf>
    <xf numFmtId="0" fontId="25" fillId="0" borderId="26" xfId="0" applyFont="1" applyBorder="1"/>
    <xf numFmtId="198" fontId="26" fillId="0" borderId="8" xfId="77" applyNumberFormat="1" applyFont="1" applyBorder="1" applyAlignment="1"/>
    <xf numFmtId="0" fontId="19" fillId="0" borderId="26" xfId="0" applyFont="1" applyBorder="1" applyAlignment="1">
      <alignment horizontal="center" vertical="top"/>
    </xf>
    <xf numFmtId="0" fontId="19" fillId="0" borderId="8" xfId="0" applyFont="1" applyBorder="1" applyAlignment="1">
      <alignment horizontal="center" vertical="top"/>
    </xf>
    <xf numFmtId="0" fontId="26" fillId="0" borderId="0" xfId="0" applyFont="1"/>
    <xf numFmtId="201" fontId="10" fillId="0" borderId="0" xfId="77" applyNumberFormat="1" applyFont="1" applyFill="1" applyAlignment="1" applyProtection="1">
      <alignment horizontal="right"/>
    </xf>
    <xf numFmtId="201" fontId="10" fillId="0" borderId="0" xfId="77" applyNumberFormat="1" applyFont="1"/>
    <xf numFmtId="0" fontId="14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center"/>
      <protection hidden="1"/>
    </xf>
    <xf numFmtId="187" fontId="7" fillId="0" borderId="35" xfId="77" applyFont="1" applyBorder="1" applyAlignment="1" applyProtection="1">
      <alignment horizontal="right"/>
      <protection hidden="1"/>
    </xf>
    <xf numFmtId="0" fontId="5" fillId="0" borderId="12" xfId="0" applyFont="1" applyBorder="1" applyAlignment="1">
      <alignment horizontal="center"/>
    </xf>
    <xf numFmtId="187" fontId="5" fillId="0" borderId="12" xfId="77" applyFont="1" applyBorder="1" applyAlignment="1">
      <alignment horizontal="center"/>
    </xf>
    <xf numFmtId="2" fontId="5" fillId="0" borderId="12" xfId="0" applyNumberFormat="1" applyFont="1" applyBorder="1"/>
    <xf numFmtId="0" fontId="5" fillId="0" borderId="17" xfId="0" applyFont="1" applyBorder="1" applyAlignment="1">
      <alignment horizontal="center"/>
    </xf>
    <xf numFmtId="187" fontId="5" fillId="0" borderId="17" xfId="77" applyFont="1" applyBorder="1" applyAlignment="1" applyProtection="1">
      <alignment horizontal="center"/>
      <protection locked="0"/>
    </xf>
    <xf numFmtId="2" fontId="5" fillId="0" borderId="17" xfId="0" applyNumberFormat="1" applyFont="1" applyBorder="1" applyAlignment="1">
      <alignment horizontal="center"/>
    </xf>
    <xf numFmtId="187" fontId="5" fillId="0" borderId="17" xfId="77" applyFont="1" applyBorder="1" applyAlignment="1">
      <alignment horizontal="center"/>
    </xf>
    <xf numFmtId="2" fontId="5" fillId="0" borderId="17" xfId="0" applyNumberFormat="1" applyFont="1" applyBorder="1"/>
    <xf numFmtId="0" fontId="5" fillId="0" borderId="17" xfId="0" applyFont="1" applyBorder="1"/>
    <xf numFmtId="187" fontId="5" fillId="0" borderId="17" xfId="77" applyFont="1" applyBorder="1" applyAlignment="1">
      <alignment horizontal="right"/>
    </xf>
    <xf numFmtId="187" fontId="4" fillId="0" borderId="0" xfId="77" applyFont="1"/>
    <xf numFmtId="187" fontId="5" fillId="0" borderId="0" xfId="77" applyFont="1"/>
    <xf numFmtId="203" fontId="5" fillId="0" borderId="0" xfId="0" applyNumberFormat="1" applyFont="1"/>
    <xf numFmtId="0" fontId="6" fillId="0" borderId="12" xfId="0" applyFont="1" applyBorder="1"/>
    <xf numFmtId="187" fontId="6" fillId="0" borderId="17" xfId="77" applyFont="1" applyBorder="1" applyAlignment="1" applyProtection="1">
      <alignment horizontal="center"/>
      <protection locked="0"/>
    </xf>
    <xf numFmtId="2" fontId="6" fillId="0" borderId="12" xfId="0" applyNumberFormat="1" applyFont="1" applyBorder="1" applyAlignment="1">
      <alignment horizontal="center"/>
    </xf>
    <xf numFmtId="187" fontId="6" fillId="0" borderId="12" xfId="77" applyFont="1" applyBorder="1" applyAlignment="1" applyProtection="1">
      <alignment horizontal="center"/>
      <protection locked="0"/>
    </xf>
    <xf numFmtId="43" fontId="5" fillId="0" borderId="0" xfId="0" applyNumberFormat="1" applyFont="1"/>
    <xf numFmtId="0" fontId="6" fillId="0" borderId="17" xfId="0" applyFont="1" applyBorder="1"/>
    <xf numFmtId="2" fontId="6" fillId="0" borderId="17" xfId="0" applyNumberFormat="1" applyFont="1" applyBorder="1" applyAlignment="1">
      <alignment horizontal="center"/>
    </xf>
    <xf numFmtId="190" fontId="6" fillId="0" borderId="17" xfId="77" applyNumberFormat="1" applyFont="1" applyBorder="1" applyAlignment="1" applyProtection="1">
      <alignment horizontal="center"/>
      <protection locked="0"/>
    </xf>
    <xf numFmtId="0" fontId="6" fillId="0" borderId="21" xfId="0" applyFont="1" applyBorder="1"/>
    <xf numFmtId="43" fontId="6" fillId="0" borderId="17" xfId="77" applyNumberFormat="1" applyFont="1" applyBorder="1" applyAlignment="1" applyProtection="1">
      <alignment horizontal="center"/>
      <protection locked="0"/>
    </xf>
    <xf numFmtId="189" fontId="6" fillId="0" borderId="17" xfId="77" applyNumberFormat="1" applyFont="1" applyBorder="1" applyAlignment="1" applyProtection="1">
      <alignment horizontal="center"/>
      <protection locked="0"/>
    </xf>
    <xf numFmtId="0" fontId="6" fillId="0" borderId="8" xfId="0" applyFont="1" applyBorder="1"/>
    <xf numFmtId="187" fontId="6" fillId="0" borderId="8" xfId="77" applyFont="1" applyBorder="1" applyAlignment="1" applyProtection="1">
      <alignment horizontal="center"/>
      <protection locked="0"/>
    </xf>
    <xf numFmtId="2" fontId="6" fillId="0" borderId="8" xfId="0" applyNumberFormat="1" applyFont="1" applyBorder="1" applyAlignment="1">
      <alignment horizontal="center"/>
    </xf>
    <xf numFmtId="187" fontId="5" fillId="0" borderId="8" xfId="77" applyFont="1" applyBorder="1" applyAlignment="1">
      <alignment horizontal="right"/>
    </xf>
    <xf numFmtId="187" fontId="5" fillId="0" borderId="8" xfId="77" applyFont="1" applyBorder="1" applyAlignment="1">
      <alignment horizontal="center"/>
    </xf>
    <xf numFmtId="2" fontId="5" fillId="0" borderId="8" xfId="0" applyNumberFormat="1" applyFont="1" applyBorder="1"/>
    <xf numFmtId="187" fontId="5" fillId="0" borderId="0" xfId="0" applyNumberFormat="1" applyFont="1"/>
    <xf numFmtId="0" fontId="12" fillId="3" borderId="3" xfId="0" applyFont="1" applyFill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6" fillId="7" borderId="11" xfId="0" applyFont="1" applyFill="1" applyBorder="1" applyAlignment="1">
      <alignment vertical="top"/>
    </xf>
    <xf numFmtId="0" fontId="16" fillId="7" borderId="9" xfId="0" applyFont="1" applyFill="1" applyBorder="1" applyAlignment="1">
      <alignment vertical="top"/>
    </xf>
    <xf numFmtId="0" fontId="29" fillId="0" borderId="0" xfId="0" applyFont="1" applyAlignment="1">
      <alignment vertical="top"/>
    </xf>
    <xf numFmtId="191" fontId="20" fillId="8" borderId="0" xfId="0" applyNumberFormat="1" applyFont="1" applyFill="1" applyAlignment="1">
      <alignment vertical="top"/>
    </xf>
    <xf numFmtId="191" fontId="16" fillId="8" borderId="0" xfId="0" applyNumberFormat="1" applyFont="1" applyFill="1" applyAlignment="1">
      <alignment horizontal="center" vertical="top"/>
    </xf>
    <xf numFmtId="0" fontId="26" fillId="0" borderId="0" xfId="0" applyFont="1" applyAlignment="1">
      <alignment vertical="top"/>
    </xf>
    <xf numFmtId="0" fontId="13" fillId="0" borderId="0" xfId="0" applyFont="1" applyAlignment="1">
      <alignment horizontal="center"/>
    </xf>
    <xf numFmtId="0" fontId="12" fillId="0" borderId="9" xfId="0" applyFont="1" applyBorder="1" applyAlignment="1">
      <alignment vertical="top"/>
    </xf>
    <xf numFmtId="187" fontId="20" fillId="0" borderId="9" xfId="77" applyFont="1" applyBorder="1" applyAlignment="1">
      <alignment horizontal="center" vertical="top"/>
    </xf>
    <xf numFmtId="0" fontId="19" fillId="0" borderId="30" xfId="0" applyFont="1" applyBorder="1" applyAlignment="1">
      <alignment vertical="top"/>
    </xf>
    <xf numFmtId="0" fontId="12" fillId="0" borderId="31" xfId="0" applyFont="1" applyBorder="1" applyAlignment="1">
      <alignment horizontal="center" vertical="top"/>
    </xf>
    <xf numFmtId="200" fontId="12" fillId="0" borderId="31" xfId="77" applyNumberFormat="1" applyFont="1" applyBorder="1" applyAlignment="1">
      <alignment horizontal="center" vertical="top"/>
    </xf>
    <xf numFmtId="0" fontId="12" fillId="7" borderId="31" xfId="0" applyFont="1" applyFill="1" applyBorder="1" applyAlignment="1">
      <alignment horizontal="center" vertical="top"/>
    </xf>
    <xf numFmtId="0" fontId="19" fillId="0" borderId="11" xfId="0" applyFont="1" applyBorder="1" applyAlignment="1">
      <alignment vertical="top"/>
    </xf>
    <xf numFmtId="2" fontId="12" fillId="0" borderId="9" xfId="0" applyNumberFormat="1" applyFont="1" applyBorder="1" applyAlignment="1">
      <alignment horizontal="center" vertical="top"/>
    </xf>
    <xf numFmtId="191" fontId="12" fillId="7" borderId="9" xfId="0" applyNumberFormat="1" applyFont="1" applyFill="1" applyBorder="1" applyAlignment="1">
      <alignment horizontal="center" vertical="top"/>
    </xf>
    <xf numFmtId="0" fontId="20" fillId="0" borderId="8" xfId="0" applyFont="1" applyBorder="1" applyAlignment="1">
      <alignment horizontal="center" vertical="top"/>
    </xf>
    <xf numFmtId="0" fontId="20" fillId="0" borderId="26" xfId="0" applyFont="1" applyBorder="1" applyAlignment="1">
      <alignment vertical="top"/>
    </xf>
    <xf numFmtId="0" fontId="20" fillId="0" borderId="27" xfId="0" applyFont="1" applyBorder="1" applyAlignment="1">
      <alignment vertical="top"/>
    </xf>
    <xf numFmtId="0" fontId="20" fillId="0" borderId="18" xfId="0" applyFont="1" applyBorder="1" applyAlignment="1">
      <alignment vertical="top"/>
    </xf>
    <xf numFmtId="187" fontId="20" fillId="0" borderId="18" xfId="77" applyFont="1" applyBorder="1" applyAlignment="1">
      <alignment vertical="top"/>
    </xf>
    <xf numFmtId="0" fontId="20" fillId="0" borderId="5" xfId="0" applyFont="1" applyBorder="1" applyAlignment="1">
      <alignment vertical="top"/>
    </xf>
    <xf numFmtId="0" fontId="12" fillId="0" borderId="18" xfId="0" applyFont="1" applyBorder="1" applyAlignment="1">
      <alignment horizontal="center" vertical="top"/>
    </xf>
    <xf numFmtId="2" fontId="12" fillId="0" borderId="18" xfId="0" applyNumberFormat="1" applyFont="1" applyBorder="1" applyAlignment="1">
      <alignment horizontal="center" vertical="top"/>
    </xf>
    <xf numFmtId="0" fontId="12" fillId="0" borderId="27" xfId="0" applyFont="1" applyBorder="1" applyAlignment="1">
      <alignment horizontal="center" vertical="top"/>
    </xf>
    <xf numFmtId="191" fontId="12" fillId="7" borderId="18" xfId="0" applyNumberFormat="1" applyFont="1" applyFill="1" applyBorder="1" applyAlignment="1">
      <alignment horizontal="center" vertical="top"/>
    </xf>
    <xf numFmtId="187" fontId="12" fillId="3" borderId="3" xfId="77" applyFont="1" applyFill="1" applyBorder="1" applyAlignment="1">
      <alignment vertical="top"/>
    </xf>
    <xf numFmtId="0" fontId="26" fillId="3" borderId="0" xfId="0" applyFont="1" applyFill="1" applyAlignment="1">
      <alignment vertical="top"/>
    </xf>
    <xf numFmtId="191" fontId="26" fillId="3" borderId="0" xfId="0" applyNumberFormat="1" applyFont="1" applyFill="1" applyAlignment="1">
      <alignment vertical="top"/>
    </xf>
    <xf numFmtId="0" fontId="20" fillId="3" borderId="7" xfId="0" applyFont="1" applyFill="1" applyBorder="1" applyAlignment="1">
      <alignment horizontal="center" vertical="top"/>
    </xf>
    <xf numFmtId="0" fontId="20" fillId="3" borderId="5" xfId="0" applyFont="1" applyFill="1" applyBorder="1" applyAlignment="1">
      <alignment horizontal="center" vertical="top"/>
    </xf>
    <xf numFmtId="0" fontId="25" fillId="0" borderId="30" xfId="0" applyFont="1" applyBorder="1" applyAlignment="1">
      <alignment vertical="top"/>
    </xf>
    <xf numFmtId="198" fontId="26" fillId="0" borderId="30" xfId="77" applyNumberFormat="1" applyFont="1" applyBorder="1" applyAlignment="1">
      <alignment vertical="top"/>
    </xf>
    <xf numFmtId="0" fontId="25" fillId="0" borderId="11" xfId="0" applyFont="1" applyBorder="1" applyAlignment="1">
      <alignment vertical="top"/>
    </xf>
    <xf numFmtId="198" fontId="26" fillId="0" borderId="5" xfId="77" applyNumberFormat="1" applyFont="1" applyBorder="1" applyAlignment="1">
      <alignment vertical="top"/>
    </xf>
    <xf numFmtId="0" fontId="19" fillId="0" borderId="31" xfId="0" applyFont="1" applyBorder="1" applyAlignment="1">
      <alignment horizontal="center" vertical="top"/>
    </xf>
    <xf numFmtId="0" fontId="19" fillId="0" borderId="9" xfId="0" applyFont="1" applyBorder="1" applyAlignment="1">
      <alignment horizontal="center" vertical="top"/>
    </xf>
    <xf numFmtId="0" fontId="0" fillId="0" borderId="11" xfId="0" applyBorder="1"/>
    <xf numFmtId="0" fontId="25" fillId="0" borderId="26" xfId="0" applyFont="1" applyBorder="1" applyAlignment="1">
      <alignment vertical="top"/>
    </xf>
    <xf numFmtId="198" fontId="26" fillId="0" borderId="8" xfId="77" applyNumberFormat="1" applyFont="1" applyBorder="1" applyAlignment="1">
      <alignment vertical="top"/>
    </xf>
    <xf numFmtId="0" fontId="19" fillId="0" borderId="18" xfId="0" applyFont="1" applyBorder="1" applyAlignment="1">
      <alignment horizontal="center" vertical="top"/>
    </xf>
    <xf numFmtId="0" fontId="22" fillId="0" borderId="0" xfId="0" applyFont="1"/>
    <xf numFmtId="0" fontId="26" fillId="0" borderId="0" xfId="0" applyFont="1" applyAlignment="1">
      <alignment vertical="center"/>
    </xf>
    <xf numFmtId="0" fontId="30" fillId="3" borderId="7" xfId="0" applyFont="1" applyFill="1" applyBorder="1" applyAlignment="1">
      <alignment horizontal="center" vertical="top"/>
    </xf>
    <xf numFmtId="0" fontId="30" fillId="3" borderId="5" xfId="0" applyFont="1" applyFill="1" applyBorder="1" applyAlignment="1">
      <alignment horizontal="center" vertical="top"/>
    </xf>
    <xf numFmtId="0" fontId="30" fillId="3" borderId="8" xfId="0" applyFont="1" applyFill="1" applyBorder="1" applyAlignment="1">
      <alignment horizontal="center" vertical="top"/>
    </xf>
    <xf numFmtId="2" fontId="19" fillId="0" borderId="7" xfId="0" applyNumberFormat="1" applyFont="1" applyBorder="1" applyAlignment="1">
      <alignment horizontal="center" vertical="top"/>
    </xf>
    <xf numFmtId="191" fontId="16" fillId="6" borderId="7" xfId="0" applyNumberFormat="1" applyFont="1" applyFill="1" applyBorder="1" applyAlignment="1">
      <alignment horizontal="center" vertical="top"/>
    </xf>
    <xf numFmtId="2" fontId="19" fillId="0" borderId="5" xfId="0" applyNumberFormat="1" applyFont="1" applyBorder="1" applyAlignment="1">
      <alignment horizontal="center" vertical="top"/>
    </xf>
    <xf numFmtId="191" fontId="16" fillId="6" borderId="5" xfId="0" applyNumberFormat="1" applyFont="1" applyFill="1" applyBorder="1" applyAlignment="1">
      <alignment horizontal="center" vertical="top"/>
    </xf>
    <xf numFmtId="0" fontId="17" fillId="0" borderId="0" xfId="0" applyFont="1" applyAlignment="1">
      <alignment horizontal="left" vertical="top"/>
    </xf>
    <xf numFmtId="0" fontId="27" fillId="0" borderId="9" xfId="0" applyFont="1" applyBorder="1" applyAlignment="1">
      <alignment vertical="top"/>
    </xf>
    <xf numFmtId="2" fontId="19" fillId="0" borderId="8" xfId="0" applyNumberFormat="1" applyFont="1" applyBorder="1" applyAlignment="1">
      <alignment horizontal="center" vertical="top"/>
    </xf>
    <xf numFmtId="191" fontId="16" fillId="6" borderId="8" xfId="0" applyNumberFormat="1" applyFont="1" applyFill="1" applyBorder="1" applyAlignment="1">
      <alignment horizontal="center" vertical="top"/>
    </xf>
    <xf numFmtId="2" fontId="19" fillId="0" borderId="32" xfId="0" applyNumberFormat="1" applyFont="1" applyBorder="1" applyAlignment="1">
      <alignment horizontal="center" vertical="top"/>
    </xf>
    <xf numFmtId="0" fontId="0" fillId="0" borderId="32" xfId="0" applyBorder="1"/>
    <xf numFmtId="0" fontId="0" fillId="0" borderId="30" xfId="0" applyBorder="1"/>
    <xf numFmtId="0" fontId="19" fillId="0" borderId="18" xfId="0" applyFont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21" fillId="0" borderId="0" xfId="0" applyFont="1" applyAlignment="1">
      <alignment vertical="top"/>
    </xf>
    <xf numFmtId="0" fontId="20" fillId="0" borderId="30" xfId="0" applyFont="1" applyBorder="1" applyAlignment="1">
      <alignment horizontal="center"/>
    </xf>
    <xf numFmtId="0" fontId="20" fillId="0" borderId="30" xfId="0" applyFont="1" applyBorder="1"/>
    <xf numFmtId="0" fontId="20" fillId="7" borderId="32" xfId="0" applyFont="1" applyFill="1" applyBorder="1"/>
    <xf numFmtId="0" fontId="26" fillId="7" borderId="0" xfId="0" applyFont="1" applyFill="1" applyAlignment="1">
      <alignment vertical="top"/>
    </xf>
    <xf numFmtId="200" fontId="20" fillId="0" borderId="9" xfId="77" applyNumberFormat="1" applyFont="1" applyBorder="1" applyAlignment="1"/>
    <xf numFmtId="0" fontId="20" fillId="7" borderId="0" xfId="0" applyFont="1" applyFill="1"/>
    <xf numFmtId="0" fontId="20" fillId="0" borderId="26" xfId="0" applyFont="1" applyBorder="1" applyAlignment="1">
      <alignment horizontal="center"/>
    </xf>
    <xf numFmtId="200" fontId="20" fillId="0" borderId="18" xfId="77" applyNumberFormat="1" applyFont="1" applyBorder="1" applyAlignment="1"/>
    <xf numFmtId="0" fontId="20" fillId="7" borderId="27" xfId="0" applyFont="1" applyFill="1" applyBorder="1"/>
    <xf numFmtId="0" fontId="26" fillId="7" borderId="27" xfId="0" applyFont="1" applyFill="1" applyBorder="1" applyAlignment="1">
      <alignment vertical="top"/>
    </xf>
    <xf numFmtId="0" fontId="23" fillId="0" borderId="0" xfId="0" applyFont="1"/>
    <xf numFmtId="0" fontId="17" fillId="0" borderId="0" xfId="0" applyFont="1"/>
    <xf numFmtId="0" fontId="23" fillId="0" borderId="0" xfId="0" applyFont="1" applyAlignment="1">
      <alignment horizontal="center"/>
    </xf>
    <xf numFmtId="0" fontId="26" fillId="0" borderId="31" xfId="0" applyFont="1" applyBorder="1" applyAlignment="1">
      <alignment horizontal="center"/>
    </xf>
    <xf numFmtId="0" fontId="26" fillId="0" borderId="31" xfId="0" applyFont="1" applyBorder="1" applyAlignment="1">
      <alignment horizontal="center" vertical="top"/>
    </xf>
    <xf numFmtId="0" fontId="26" fillId="0" borderId="18" xfId="0" applyFont="1" applyBorder="1" applyAlignment="1">
      <alignment horizontal="center"/>
    </xf>
    <xf numFmtId="0" fontId="26" fillId="0" borderId="18" xfId="0" applyFont="1" applyBorder="1" applyAlignment="1">
      <alignment horizontal="center" vertical="top"/>
    </xf>
    <xf numFmtId="0" fontId="17" fillId="3" borderId="0" xfId="0" applyFont="1" applyFill="1"/>
    <xf numFmtId="0" fontId="26" fillId="3" borderId="0" xfId="0" applyFont="1" applyFill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/>
    </xf>
    <xf numFmtId="0" fontId="26" fillId="0" borderId="27" xfId="0" applyFont="1" applyBorder="1"/>
    <xf numFmtId="0" fontId="12" fillId="3" borderId="30" xfId="0" applyFont="1" applyFill="1" applyBorder="1" applyAlignment="1">
      <alignment horizontal="center"/>
    </xf>
    <xf numFmtId="0" fontId="12" fillId="3" borderId="31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20" fillId="0" borderId="32" xfId="0" applyFont="1" applyBorder="1" applyAlignment="1">
      <alignment horizontal="center"/>
    </xf>
    <xf numFmtId="191" fontId="20" fillId="0" borderId="30" xfId="0" applyNumberFormat="1" applyFont="1" applyBorder="1" applyAlignment="1">
      <alignment horizontal="center"/>
    </xf>
    <xf numFmtId="191" fontId="20" fillId="0" borderId="7" xfId="0" applyNumberFormat="1" applyFont="1" applyBorder="1" applyAlignment="1">
      <alignment horizontal="center"/>
    </xf>
    <xf numFmtId="191" fontId="20" fillId="0" borderId="0" xfId="0" applyNumberFormat="1" applyFont="1" applyAlignment="1">
      <alignment horizontal="center"/>
    </xf>
    <xf numFmtId="191" fontId="20" fillId="9" borderId="30" xfId="0" applyNumberFormat="1" applyFont="1" applyFill="1" applyBorder="1" applyAlignment="1">
      <alignment horizontal="center"/>
    </xf>
    <xf numFmtId="191" fontId="17" fillId="3" borderId="0" xfId="0" applyNumberFormat="1" applyFont="1" applyFill="1" applyAlignment="1">
      <alignment vertical="top"/>
    </xf>
    <xf numFmtId="0" fontId="20" fillId="0" borderId="0" xfId="0" applyFont="1" applyAlignment="1">
      <alignment horizontal="center"/>
    </xf>
    <xf numFmtId="191" fontId="20" fillId="0" borderId="11" xfId="0" applyNumberFormat="1" applyFont="1" applyBorder="1" applyAlignment="1">
      <alignment horizontal="center"/>
    </xf>
    <xf numFmtId="191" fontId="20" fillId="0" borderId="5" xfId="0" applyNumberFormat="1" applyFont="1" applyBorder="1" applyAlignment="1">
      <alignment horizontal="center"/>
    </xf>
    <xf numFmtId="191" fontId="20" fillId="9" borderId="11" xfId="0" applyNumberFormat="1" applyFont="1" applyFill="1" applyBorder="1" applyAlignment="1">
      <alignment horizontal="center"/>
    </xf>
    <xf numFmtId="2" fontId="26" fillId="0" borderId="0" xfId="0" applyNumberFormat="1" applyFont="1" applyAlignment="1">
      <alignment vertical="center"/>
    </xf>
    <xf numFmtId="191" fontId="26" fillId="0" borderId="0" xfId="0" applyNumberFormat="1" applyFont="1" applyAlignment="1">
      <alignment vertical="center"/>
    </xf>
    <xf numFmtId="0" fontId="26" fillId="0" borderId="27" xfId="0" applyFont="1" applyBorder="1" applyAlignment="1">
      <alignment vertical="top"/>
    </xf>
    <xf numFmtId="191" fontId="20" fillId="0" borderId="8" xfId="0" applyNumberFormat="1" applyFont="1" applyBorder="1" applyAlignment="1">
      <alignment horizontal="center"/>
    </xf>
    <xf numFmtId="191" fontId="20" fillId="9" borderId="26" xfId="0" applyNumberFormat="1" applyFont="1" applyFill="1" applyBorder="1" applyAlignment="1">
      <alignment horizontal="center"/>
    </xf>
    <xf numFmtId="0" fontId="17" fillId="3" borderId="7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 vertical="top"/>
    </xf>
    <xf numFmtId="0" fontId="26" fillId="0" borderId="9" xfId="0" applyFont="1" applyBorder="1" applyAlignment="1">
      <alignment horizontal="center" vertical="top"/>
    </xf>
    <xf numFmtId="0" fontId="26" fillId="3" borderId="5" xfId="0" applyFont="1" applyFill="1" applyBorder="1" applyAlignment="1">
      <alignment horizontal="center" vertical="top"/>
    </xf>
    <xf numFmtId="0" fontId="26" fillId="3" borderId="5" xfId="0" applyFont="1" applyFill="1" applyBorder="1" applyAlignment="1">
      <alignment horizontal="center"/>
    </xf>
    <xf numFmtId="0" fontId="26" fillId="0" borderId="30" xfId="0" applyFont="1" applyBorder="1" applyAlignment="1">
      <alignment horizontal="center"/>
    </xf>
    <xf numFmtId="191" fontId="26" fillId="0" borderId="31" xfId="0" applyNumberFormat="1" applyFont="1" applyBorder="1" applyAlignment="1">
      <alignment horizontal="center"/>
    </xf>
    <xf numFmtId="191" fontId="26" fillId="9" borderId="7" xfId="0" applyNumberFormat="1" applyFont="1" applyFill="1" applyBorder="1" applyAlignment="1">
      <alignment horizontal="center"/>
    </xf>
    <xf numFmtId="0" fontId="26" fillId="3" borderId="8" xfId="0" applyFont="1" applyFill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91" fontId="26" fillId="0" borderId="9" xfId="0" applyNumberFormat="1" applyFont="1" applyBorder="1" applyAlignment="1">
      <alignment horizontal="center"/>
    </xf>
    <xf numFmtId="2" fontId="20" fillId="0" borderId="11" xfId="0" applyNumberFormat="1" applyFont="1" applyBorder="1" applyAlignment="1">
      <alignment horizontal="left"/>
    </xf>
    <xf numFmtId="191" fontId="26" fillId="9" borderId="5" xfId="0" applyNumberFormat="1" applyFont="1" applyFill="1" applyBorder="1" applyAlignment="1">
      <alignment horizontal="center"/>
    </xf>
    <xf numFmtId="191" fontId="20" fillId="0" borderId="30" xfId="0" applyNumberFormat="1" applyFont="1" applyBorder="1" applyAlignment="1">
      <alignment horizontal="center" vertical="top"/>
    </xf>
    <xf numFmtId="0" fontId="20" fillId="0" borderId="32" xfId="0" applyFont="1" applyBorder="1" applyAlignment="1">
      <alignment horizontal="center" vertical="top"/>
    </xf>
    <xf numFmtId="0" fontId="26" fillId="0" borderId="30" xfId="0" applyFont="1" applyBorder="1" applyAlignment="1">
      <alignment vertical="top"/>
    </xf>
    <xf numFmtId="200" fontId="20" fillId="0" borderId="9" xfId="0" applyNumberFormat="1" applyFont="1" applyBorder="1" applyAlignment="1">
      <alignment vertical="top"/>
    </xf>
    <xf numFmtId="200" fontId="20" fillId="0" borderId="31" xfId="77" applyNumberFormat="1" applyFont="1" applyBorder="1" applyAlignment="1">
      <alignment vertical="top"/>
    </xf>
    <xf numFmtId="0" fontId="26" fillId="10" borderId="0" xfId="0" applyFont="1" applyFill="1" applyAlignment="1">
      <alignment vertical="top"/>
    </xf>
    <xf numFmtId="0" fontId="26" fillId="10" borderId="31" xfId="0" applyFont="1" applyFill="1" applyBorder="1" applyAlignment="1">
      <alignment vertical="top"/>
    </xf>
    <xf numFmtId="0" fontId="20" fillId="0" borderId="31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200" fontId="20" fillId="0" borderId="7" xfId="0" applyNumberFormat="1" applyFont="1" applyBorder="1"/>
    <xf numFmtId="200" fontId="20" fillId="0" borderId="7" xfId="77" applyNumberFormat="1" applyFont="1" applyBorder="1"/>
    <xf numFmtId="198" fontId="20" fillId="10" borderId="0" xfId="77" applyNumberFormat="1" applyFont="1" applyFill="1"/>
    <xf numFmtId="198" fontId="20" fillId="2" borderId="7" xfId="77" applyNumberFormat="1" applyFont="1" applyFill="1" applyBorder="1"/>
    <xf numFmtId="198" fontId="20" fillId="9" borderId="7" xfId="77" applyNumberFormat="1" applyFont="1" applyFill="1" applyBorder="1"/>
    <xf numFmtId="191" fontId="20" fillId="0" borderId="11" xfId="0" applyNumberFormat="1" applyFont="1" applyBorder="1" applyAlignment="1">
      <alignment vertical="top"/>
    </xf>
    <xf numFmtId="0" fontId="26" fillId="0" borderId="11" xfId="0" applyFont="1" applyBorder="1" applyAlignment="1">
      <alignment vertical="top"/>
    </xf>
    <xf numFmtId="200" fontId="20" fillId="0" borderId="9" xfId="77" applyNumberFormat="1" applyFont="1" applyBorder="1" applyAlignment="1">
      <alignment vertical="top"/>
    </xf>
    <xf numFmtId="0" fontId="26" fillId="10" borderId="9" xfId="0" applyFont="1" applyFill="1" applyBorder="1" applyAlignment="1">
      <alignment vertical="top"/>
    </xf>
    <xf numFmtId="191" fontId="20" fillId="0" borderId="11" xfId="0" applyNumberFormat="1" applyFont="1" applyBorder="1"/>
    <xf numFmtId="0" fontId="20" fillId="0" borderId="9" xfId="0" applyFont="1" applyBorder="1" applyAlignment="1">
      <alignment horizontal="center"/>
    </xf>
    <xf numFmtId="200" fontId="20" fillId="0" borderId="5" xfId="0" applyNumberFormat="1" applyFont="1" applyBorder="1"/>
    <xf numFmtId="200" fontId="20" fillId="0" borderId="5" xfId="77" applyNumberFormat="1" applyFont="1" applyBorder="1"/>
    <xf numFmtId="198" fontId="20" fillId="2" borderId="5" xfId="77" applyNumberFormat="1" applyFont="1" applyFill="1" applyBorder="1"/>
    <xf numFmtId="198" fontId="20" fillId="9" borderId="5" xfId="77" applyNumberFormat="1" applyFont="1" applyFill="1" applyBorder="1"/>
    <xf numFmtId="0" fontId="26" fillId="0" borderId="26" xfId="0" applyFont="1" applyBorder="1" applyAlignment="1">
      <alignment horizontal="center"/>
    </xf>
    <xf numFmtId="191" fontId="26" fillId="0" borderId="18" xfId="0" applyNumberFormat="1" applyFont="1" applyBorder="1" applyAlignment="1">
      <alignment horizontal="center"/>
    </xf>
    <xf numFmtId="191" fontId="26" fillId="9" borderId="8" xfId="0" applyNumberFormat="1" applyFont="1" applyFill="1" applyBorder="1" applyAlignment="1">
      <alignment horizontal="center"/>
    </xf>
    <xf numFmtId="0" fontId="20" fillId="0" borderId="26" xfId="0" applyFont="1" applyBorder="1" applyAlignment="1">
      <alignment horizontal="center" vertical="top"/>
    </xf>
    <xf numFmtId="0" fontId="20" fillId="0" borderId="27" xfId="0" applyFont="1" applyBorder="1" applyAlignment="1">
      <alignment horizontal="center" vertical="top"/>
    </xf>
    <xf numFmtId="0" fontId="26" fillId="0" borderId="18" xfId="0" applyFont="1" applyBorder="1" applyAlignment="1">
      <alignment vertical="top"/>
    </xf>
    <xf numFmtId="0" fontId="26" fillId="0" borderId="26" xfId="0" applyFont="1" applyBorder="1" applyAlignment="1">
      <alignment vertical="top"/>
    </xf>
    <xf numFmtId="200" fontId="20" fillId="0" borderId="18" xfId="0" applyNumberFormat="1" applyFont="1" applyBorder="1" applyAlignment="1">
      <alignment vertical="top"/>
    </xf>
    <xf numFmtId="200" fontId="20" fillId="0" borderId="18" xfId="77" applyNumberFormat="1" applyFont="1" applyBorder="1" applyAlignment="1">
      <alignment vertical="top"/>
    </xf>
    <xf numFmtId="0" fontId="26" fillId="10" borderId="26" xfId="0" applyFont="1" applyFill="1" applyBorder="1" applyAlignment="1">
      <alignment vertical="top"/>
    </xf>
    <xf numFmtId="0" fontId="26" fillId="10" borderId="18" xfId="0" applyFont="1" applyFill="1" applyBorder="1" applyAlignment="1">
      <alignment vertical="top"/>
    </xf>
    <xf numFmtId="200" fontId="20" fillId="0" borderId="8" xfId="0" applyNumberFormat="1" applyFont="1" applyBorder="1"/>
    <xf numFmtId="200" fontId="20" fillId="0" borderId="8" xfId="77" applyNumberFormat="1" applyFont="1" applyBorder="1"/>
    <xf numFmtId="198" fontId="20" fillId="10" borderId="8" xfId="77" applyNumberFormat="1" applyFont="1" applyFill="1" applyBorder="1"/>
    <xf numFmtId="198" fontId="20" fillId="2" borderId="8" xfId="77" applyNumberFormat="1" applyFont="1" applyFill="1" applyBorder="1"/>
    <xf numFmtId="198" fontId="20" fillId="9" borderId="8" xfId="77" applyNumberFormat="1" applyFont="1" applyFill="1" applyBorder="1"/>
    <xf numFmtId="43" fontId="26" fillId="0" borderId="0" xfId="0" applyNumberFormat="1" applyFont="1"/>
    <xf numFmtId="187" fontId="17" fillId="0" borderId="0" xfId="77" applyFont="1" applyFill="1" applyBorder="1"/>
    <xf numFmtId="0" fontId="17" fillId="0" borderId="0" xfId="0" applyFont="1" applyAlignment="1">
      <alignment horizontal="center"/>
    </xf>
    <xf numFmtId="187" fontId="26" fillId="0" borderId="0" xfId="77" applyFont="1" applyFill="1" applyBorder="1"/>
    <xf numFmtId="3" fontId="26" fillId="0" borderId="0" xfId="0" applyNumberFormat="1" applyFont="1" applyAlignment="1">
      <alignment horizontal="center"/>
    </xf>
    <xf numFmtId="187" fontId="26" fillId="0" borderId="0" xfId="77" applyFont="1" applyFill="1" applyBorder="1" applyAlignment="1"/>
    <xf numFmtId="187" fontId="26" fillId="0" borderId="0" xfId="77" applyFont="1" applyFill="1" applyBorder="1" applyAlignment="1">
      <alignment horizontal="center"/>
    </xf>
    <xf numFmtId="201" fontId="20" fillId="10" borderId="0" xfId="77" applyNumberFormat="1" applyFont="1" applyFill="1" applyAlignment="1">
      <alignment vertical="top"/>
    </xf>
    <xf numFmtId="201" fontId="20" fillId="10" borderId="27" xfId="77" applyNumberFormat="1" applyFont="1" applyFill="1" applyBorder="1" applyAlignment="1">
      <alignment vertical="top"/>
    </xf>
    <xf numFmtId="0" fontId="25" fillId="0" borderId="0" xfId="0" applyFont="1" applyAlignment="1">
      <alignment vertical="center"/>
    </xf>
    <xf numFmtId="0" fontId="20" fillId="0" borderId="30" xfId="0" applyFont="1" applyBorder="1" applyAlignment="1">
      <alignment horizontal="center" vertical="top"/>
    </xf>
    <xf numFmtId="0" fontId="20" fillId="7" borderId="32" xfId="0" applyFont="1" applyFill="1" applyBorder="1" applyAlignment="1">
      <alignment vertical="top"/>
    </xf>
    <xf numFmtId="0" fontId="20" fillId="7" borderId="0" xfId="0" applyFont="1" applyFill="1" applyAlignment="1">
      <alignment vertical="top"/>
    </xf>
    <xf numFmtId="0" fontId="20" fillId="7" borderId="27" xfId="0" applyFont="1" applyFill="1" applyBorder="1" applyAlignment="1">
      <alignment vertical="top"/>
    </xf>
    <xf numFmtId="0" fontId="17" fillId="3" borderId="0" xfId="0" applyFont="1" applyFill="1" applyAlignment="1">
      <alignment vertical="top"/>
    </xf>
    <xf numFmtId="191" fontId="20" fillId="9" borderId="7" xfId="0" applyNumberFormat="1" applyFont="1" applyFill="1" applyBorder="1" applyAlignment="1">
      <alignment horizontal="center"/>
    </xf>
    <xf numFmtId="191" fontId="20" fillId="9" borderId="5" xfId="0" applyNumberFormat="1" applyFont="1" applyFill="1" applyBorder="1" applyAlignment="1">
      <alignment horizontal="center"/>
    </xf>
    <xf numFmtId="2" fontId="26" fillId="0" borderId="0" xfId="0" applyNumberFormat="1" applyFont="1" applyAlignment="1">
      <alignment vertical="top"/>
    </xf>
    <xf numFmtId="191" fontId="26" fillId="0" borderId="0" xfId="0" applyNumberFormat="1" applyFont="1" applyAlignment="1">
      <alignment vertical="top"/>
    </xf>
    <xf numFmtId="0" fontId="20" fillId="0" borderId="27" xfId="0" applyFont="1" applyBorder="1" applyAlignment="1">
      <alignment horizontal="center"/>
    </xf>
    <xf numFmtId="191" fontId="20" fillId="0" borderId="26" xfId="0" applyNumberFormat="1" applyFont="1" applyBorder="1" applyAlignment="1">
      <alignment horizontal="center"/>
    </xf>
    <xf numFmtId="191" fontId="20" fillId="0" borderId="18" xfId="0" applyNumberFormat="1" applyFont="1" applyBorder="1" applyAlignment="1">
      <alignment horizontal="center"/>
    </xf>
    <xf numFmtId="191" fontId="20" fillId="9" borderId="8" xfId="0" applyNumberFormat="1" applyFont="1" applyFill="1" applyBorder="1" applyAlignment="1">
      <alignment horizontal="center"/>
    </xf>
    <xf numFmtId="0" fontId="17" fillId="3" borderId="7" xfId="0" applyFont="1" applyFill="1" applyBorder="1" applyAlignment="1">
      <alignment horizontal="center" vertical="top"/>
    </xf>
    <xf numFmtId="0" fontId="17" fillId="3" borderId="8" xfId="0" applyFont="1" applyFill="1" applyBorder="1" applyAlignment="1">
      <alignment horizontal="center" vertical="top"/>
    </xf>
    <xf numFmtId="0" fontId="12" fillId="3" borderId="9" xfId="0" applyFont="1" applyFill="1" applyBorder="1" applyAlignment="1">
      <alignment horizontal="center" vertical="top"/>
    </xf>
    <xf numFmtId="0" fontId="12" fillId="3" borderId="5" xfId="0" applyFont="1" applyFill="1" applyBorder="1" applyAlignment="1">
      <alignment horizontal="center" vertical="top"/>
    </xf>
    <xf numFmtId="0" fontId="26" fillId="0" borderId="30" xfId="0" applyFont="1" applyBorder="1" applyAlignment="1">
      <alignment horizontal="center" vertical="top"/>
    </xf>
    <xf numFmtId="191" fontId="26" fillId="0" borderId="31" xfId="0" applyNumberFormat="1" applyFont="1" applyBorder="1" applyAlignment="1">
      <alignment horizontal="center" vertical="top"/>
    </xf>
    <xf numFmtId="191" fontId="26" fillId="9" borderId="7" xfId="0" applyNumberFormat="1" applyFont="1" applyFill="1" applyBorder="1" applyAlignment="1">
      <alignment horizontal="center" vertical="top"/>
    </xf>
    <xf numFmtId="0" fontId="26" fillId="3" borderId="8" xfId="0" applyFont="1" applyFill="1" applyBorder="1" applyAlignment="1">
      <alignment horizontal="center" vertical="top"/>
    </xf>
    <xf numFmtId="0" fontId="26" fillId="0" borderId="11" xfId="0" applyFont="1" applyBorder="1" applyAlignment="1">
      <alignment horizontal="center" vertical="top"/>
    </xf>
    <xf numFmtId="191" fontId="26" fillId="0" borderId="9" xfId="0" applyNumberFormat="1" applyFont="1" applyBorder="1" applyAlignment="1">
      <alignment horizontal="center" vertical="top"/>
    </xf>
    <xf numFmtId="2" fontId="20" fillId="0" borderId="11" xfId="0" applyNumberFormat="1" applyFont="1" applyBorder="1" applyAlignment="1">
      <alignment horizontal="left" vertical="top"/>
    </xf>
    <xf numFmtId="191" fontId="26" fillId="9" borderId="5" xfId="0" applyNumberFormat="1" applyFont="1" applyFill="1" applyBorder="1" applyAlignment="1">
      <alignment horizontal="center" vertical="top"/>
    </xf>
    <xf numFmtId="200" fontId="20" fillId="0" borderId="32" xfId="77" applyNumberFormat="1" applyFont="1" applyBorder="1" applyAlignment="1">
      <alignment horizontal="center" vertical="top"/>
    </xf>
    <xf numFmtId="198" fontId="20" fillId="10" borderId="0" xfId="77" applyNumberFormat="1" applyFont="1" applyFill="1" applyAlignment="1">
      <alignment vertical="top"/>
    </xf>
    <xf numFmtId="0" fontId="20" fillId="0" borderId="31" xfId="0" applyFont="1" applyBorder="1" applyAlignment="1">
      <alignment horizontal="center" vertical="top"/>
    </xf>
    <xf numFmtId="200" fontId="20" fillId="0" borderId="7" xfId="0" applyNumberFormat="1" applyFont="1" applyBorder="1" applyAlignment="1">
      <alignment vertical="top"/>
    </xf>
    <xf numFmtId="200" fontId="20" fillId="0" borderId="7" xfId="77" applyNumberFormat="1" applyFont="1" applyBorder="1" applyAlignment="1">
      <alignment vertical="top"/>
    </xf>
    <xf numFmtId="198" fontId="20" fillId="2" borderId="7" xfId="77" applyNumberFormat="1" applyFont="1" applyFill="1" applyBorder="1" applyAlignment="1">
      <alignment vertical="top"/>
    </xf>
    <xf numFmtId="198" fontId="20" fillId="9" borderId="7" xfId="77" applyNumberFormat="1" applyFont="1" applyFill="1" applyBorder="1" applyAlignment="1">
      <alignment vertical="top"/>
    </xf>
    <xf numFmtId="200" fontId="20" fillId="0" borderId="0" xfId="77" applyNumberFormat="1" applyFont="1" applyBorder="1" applyAlignment="1">
      <alignment horizontal="center" vertical="top"/>
    </xf>
    <xf numFmtId="0" fontId="20" fillId="0" borderId="9" xfId="0" applyFont="1" applyBorder="1" applyAlignment="1">
      <alignment horizontal="center" vertical="top"/>
    </xf>
    <xf numFmtId="200" fontId="20" fillId="0" borderId="5" xfId="0" applyNumberFormat="1" applyFont="1" applyBorder="1" applyAlignment="1">
      <alignment vertical="top"/>
    </xf>
    <xf numFmtId="200" fontId="20" fillId="0" borderId="5" xfId="77" applyNumberFormat="1" applyFont="1" applyBorder="1" applyAlignment="1">
      <alignment vertical="top"/>
    </xf>
    <xf numFmtId="198" fontId="20" fillId="2" borderId="5" xfId="77" applyNumberFormat="1" applyFont="1" applyFill="1" applyBorder="1" applyAlignment="1">
      <alignment vertical="top"/>
    </xf>
    <xf numFmtId="198" fontId="20" fillId="9" borderId="5" xfId="77" applyNumberFormat="1" applyFont="1" applyFill="1" applyBorder="1" applyAlignment="1">
      <alignment vertical="top"/>
    </xf>
    <xf numFmtId="0" fontId="26" fillId="0" borderId="11" xfId="0" applyFont="1" applyBorder="1"/>
    <xf numFmtId="0" fontId="26" fillId="0" borderId="26" xfId="0" applyFont="1" applyBorder="1" applyAlignment="1">
      <alignment horizontal="center" vertical="top"/>
    </xf>
    <xf numFmtId="191" fontId="26" fillId="0" borderId="18" xfId="0" applyNumberFormat="1" applyFont="1" applyBorder="1" applyAlignment="1">
      <alignment horizontal="center" vertical="top"/>
    </xf>
    <xf numFmtId="2" fontId="20" fillId="0" borderId="26" xfId="0" applyNumberFormat="1" applyFont="1" applyBorder="1" applyAlignment="1">
      <alignment horizontal="left" vertical="top"/>
    </xf>
    <xf numFmtId="191" fontId="26" fillId="9" borderId="8" xfId="0" applyNumberFormat="1" applyFont="1" applyFill="1" applyBorder="1" applyAlignment="1">
      <alignment horizontal="center" vertical="top"/>
    </xf>
    <xf numFmtId="200" fontId="20" fillId="0" borderId="27" xfId="77" applyNumberFormat="1" applyFont="1" applyBorder="1" applyAlignment="1">
      <alignment horizontal="center" vertical="top"/>
    </xf>
    <xf numFmtId="198" fontId="20" fillId="10" borderId="27" xfId="77" applyNumberFormat="1" applyFont="1" applyFill="1" applyBorder="1" applyAlignment="1">
      <alignment vertical="top"/>
    </xf>
    <xf numFmtId="0" fontId="20" fillId="0" borderId="18" xfId="0" applyFont="1" applyBorder="1" applyAlignment="1">
      <alignment horizontal="center" vertical="top"/>
    </xf>
    <xf numFmtId="200" fontId="20" fillId="0" borderId="8" xfId="0" applyNumberFormat="1" applyFont="1" applyBorder="1" applyAlignment="1">
      <alignment vertical="top"/>
    </xf>
    <xf numFmtId="200" fontId="20" fillId="0" borderId="8" xfId="77" applyNumberFormat="1" applyFont="1" applyBorder="1" applyAlignment="1">
      <alignment vertical="top"/>
    </xf>
    <xf numFmtId="198" fontId="20" fillId="2" borderId="8" xfId="77" applyNumberFormat="1" applyFont="1" applyFill="1" applyBorder="1" applyAlignment="1">
      <alignment vertical="top"/>
    </xf>
    <xf numFmtId="198" fontId="20" fillId="9" borderId="8" xfId="77" applyNumberFormat="1" applyFont="1" applyFill="1" applyBorder="1" applyAlignment="1">
      <alignment vertical="top"/>
    </xf>
    <xf numFmtId="187" fontId="20" fillId="2" borderId="9" xfId="77" applyFont="1" applyFill="1" applyBorder="1" applyAlignment="1">
      <alignment vertical="top"/>
    </xf>
    <xf numFmtId="200" fontId="20" fillId="2" borderId="0" xfId="77" applyNumberFormat="1" applyFont="1" applyFill="1" applyAlignment="1">
      <alignment vertical="top"/>
    </xf>
    <xf numFmtId="43" fontId="20" fillId="2" borderId="9" xfId="0" applyNumberFormat="1" applyFont="1" applyFill="1" applyBorder="1" applyAlignment="1">
      <alignment vertical="top"/>
    </xf>
    <xf numFmtId="200" fontId="20" fillId="2" borderId="9" xfId="0" applyNumberFormat="1" applyFont="1" applyFill="1" applyBorder="1" applyAlignment="1">
      <alignment vertical="top"/>
    </xf>
    <xf numFmtId="187" fontId="20" fillId="2" borderId="9" xfId="77" applyFont="1" applyFill="1" applyBorder="1"/>
    <xf numFmtId="43" fontId="20" fillId="2" borderId="9" xfId="0" applyNumberFormat="1" applyFont="1" applyFill="1" applyBorder="1"/>
    <xf numFmtId="200" fontId="20" fillId="2" borderId="5" xfId="0" applyNumberFormat="1" applyFont="1" applyFill="1" applyBorder="1"/>
    <xf numFmtId="0" fontId="3" fillId="0" borderId="9" xfId="0" applyFont="1" applyBorder="1" applyAlignment="1">
      <alignment horizontal="centerContinuous" vertical="center"/>
    </xf>
    <xf numFmtId="0" fontId="12" fillId="2" borderId="0" xfId="0" applyFont="1" applyFill="1" applyAlignment="1">
      <alignment horizontal="center" vertical="top"/>
    </xf>
    <xf numFmtId="43" fontId="20" fillId="2" borderId="18" xfId="0" applyNumberFormat="1" applyFont="1" applyFill="1" applyBorder="1" applyAlignment="1">
      <alignment vertical="top"/>
    </xf>
    <xf numFmtId="0" fontId="20" fillId="2" borderId="5" xfId="0" applyFont="1" applyFill="1" applyBorder="1" applyAlignment="1">
      <alignment horizontal="center" vertical="top"/>
    </xf>
    <xf numFmtId="200" fontId="20" fillId="2" borderId="5" xfId="0" applyNumberFormat="1" applyFont="1" applyFill="1" applyBorder="1" applyAlignment="1">
      <alignment vertical="top"/>
    </xf>
    <xf numFmtId="207" fontId="34" fillId="0" borderId="7" xfId="88" applyNumberFormat="1" applyFont="1" applyBorder="1" applyAlignment="1">
      <alignment horizontal="center" vertical="center"/>
    </xf>
    <xf numFmtId="207" fontId="34" fillId="0" borderId="0" xfId="88" applyNumberFormat="1" applyFont="1" applyAlignment="1">
      <alignment horizontal="center" vertical="center"/>
    </xf>
    <xf numFmtId="3" fontId="34" fillId="0" borderId="12" xfId="88" applyNumberFormat="1" applyFont="1" applyBorder="1" applyAlignment="1">
      <alignment horizontal="center" vertical="center"/>
    </xf>
    <xf numFmtId="3" fontId="34" fillId="0" borderId="17" xfId="88" applyNumberFormat="1" applyFont="1" applyBorder="1" applyAlignment="1">
      <alignment horizontal="center" vertical="center"/>
    </xf>
    <xf numFmtId="3" fontId="34" fillId="0" borderId="23" xfId="88" applyNumberFormat="1" applyFont="1" applyBorder="1" applyAlignment="1">
      <alignment horizontal="center" vertical="center"/>
    </xf>
    <xf numFmtId="41" fontId="7" fillId="0" borderId="0" xfId="77" applyNumberFormat="1" applyFont="1" applyFill="1" applyAlignment="1" applyProtection="1">
      <alignment horizontal="left"/>
      <protection hidden="1"/>
    </xf>
    <xf numFmtId="43" fontId="36" fillId="0" borderId="4" xfId="0" applyNumberFormat="1" applyFont="1" applyBorder="1"/>
    <xf numFmtId="207" fontId="34" fillId="0" borderId="0" xfId="88" applyNumberFormat="1" applyFont="1" applyAlignment="1">
      <alignment horizontal="left" vertical="center"/>
    </xf>
    <xf numFmtId="0" fontId="22" fillId="0" borderId="0" xfId="0" applyFont="1" applyAlignment="1">
      <alignment horizontal="center"/>
    </xf>
    <xf numFmtId="0" fontId="0" fillId="0" borderId="8" xfId="0" applyBorder="1" applyAlignment="1">
      <alignment horizontal="center"/>
    </xf>
    <xf numFmtId="0" fontId="24" fillId="0" borderId="0" xfId="0" applyFont="1"/>
    <xf numFmtId="0" fontId="24" fillId="11" borderId="4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2" fontId="22" fillId="0" borderId="0" xfId="0" applyNumberFormat="1" applyFont="1"/>
    <xf numFmtId="3" fontId="0" fillId="0" borderId="0" xfId="0" applyNumberFormat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5" xfId="0" applyBorder="1" applyAlignment="1">
      <alignment horizontal="center"/>
    </xf>
    <xf numFmtId="0" fontId="39" fillId="13" borderId="0" xfId="0" applyFont="1" applyFill="1" applyAlignment="1">
      <alignment horizontal="center"/>
    </xf>
    <xf numFmtId="3" fontId="40" fillId="2" borderId="0" xfId="0" applyNumberFormat="1" applyFont="1" applyFill="1" applyAlignment="1">
      <alignment horizontal="center"/>
    </xf>
    <xf numFmtId="0" fontId="41" fillId="11" borderId="0" xfId="0" applyFont="1" applyFill="1" applyAlignment="1">
      <alignment horizontal="center"/>
    </xf>
    <xf numFmtId="0" fontId="0" fillId="0" borderId="6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" xfId="0" applyBorder="1" applyAlignment="1">
      <alignment horizontal="center"/>
    </xf>
    <xf numFmtId="0" fontId="43" fillId="0" borderId="0" xfId="0" applyFont="1"/>
    <xf numFmtId="0" fontId="0" fillId="0" borderId="67" xfId="0" applyBorder="1" applyAlignment="1">
      <alignment horizontal="center"/>
    </xf>
    <xf numFmtId="4" fontId="0" fillId="0" borderId="9" xfId="0" applyNumberFormat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188" fontId="0" fillId="0" borderId="11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8" xfId="0" applyBorder="1" applyAlignment="1">
      <alignment horizontal="center"/>
    </xf>
    <xf numFmtId="207" fontId="0" fillId="0" borderId="0" xfId="0" applyNumberFormat="1"/>
    <xf numFmtId="0" fontId="0" fillId="8" borderId="0" xfId="0" applyFill="1"/>
    <xf numFmtId="0" fontId="0" fillId="0" borderId="9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41" xfId="0" applyBorder="1"/>
    <xf numFmtId="3" fontId="0" fillId="11" borderId="0" xfId="0" applyNumberFormat="1" applyFill="1"/>
    <xf numFmtId="0" fontId="0" fillId="0" borderId="40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11" borderId="0" xfId="0" applyFill="1"/>
    <xf numFmtId="2" fontId="0" fillId="0" borderId="11" xfId="0" applyNumberFormat="1" applyBorder="1" applyAlignment="1">
      <alignment horizontal="center"/>
    </xf>
    <xf numFmtId="0" fontId="0" fillId="0" borderId="70" xfId="0" applyBorder="1" applyAlignment="1">
      <alignment horizontal="center"/>
    </xf>
    <xf numFmtId="0" fontId="0" fillId="11" borderId="0" xfId="0" applyFill="1" applyAlignment="1">
      <alignment horizontal="center"/>
    </xf>
    <xf numFmtId="0" fontId="0" fillId="0" borderId="71" xfId="0" applyBorder="1"/>
    <xf numFmtId="0" fontId="0" fillId="0" borderId="69" xfId="0" applyBorder="1"/>
    <xf numFmtId="0" fontId="0" fillId="0" borderId="72" xfId="0" applyBorder="1"/>
    <xf numFmtId="0" fontId="0" fillId="0" borderId="72" xfId="0" applyBorder="1" applyAlignment="1">
      <alignment horizontal="center"/>
    </xf>
    <xf numFmtId="0" fontId="0" fillId="0" borderId="73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44" fillId="0" borderId="0" xfId="0" applyFont="1"/>
    <xf numFmtId="3" fontId="22" fillId="14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3" fontId="47" fillId="14" borderId="0" xfId="0" applyNumberFormat="1" applyFont="1" applyFill="1" applyAlignment="1">
      <alignment horizontal="center"/>
    </xf>
    <xf numFmtId="0" fontId="19" fillId="0" borderId="0" xfId="0" applyFont="1"/>
    <xf numFmtId="4" fontId="0" fillId="0" borderId="0" xfId="0" applyNumberFormat="1" applyAlignment="1">
      <alignment horizontal="center"/>
    </xf>
    <xf numFmtId="207" fontId="22" fillId="14" borderId="0" xfId="0" applyNumberFormat="1" applyFont="1" applyFill="1" applyAlignment="1">
      <alignment horizontal="center"/>
    </xf>
    <xf numFmtId="207" fontId="24" fillId="0" borderId="0" xfId="0" applyNumberFormat="1" applyFont="1" applyAlignment="1">
      <alignment horizontal="center"/>
    </xf>
    <xf numFmtId="207" fontId="34" fillId="0" borderId="8" xfId="88" applyNumberFormat="1" applyFont="1" applyBorder="1" applyAlignment="1">
      <alignment horizontal="center" vertical="center"/>
    </xf>
    <xf numFmtId="207" fontId="34" fillId="0" borderId="0" xfId="88" applyNumberFormat="1" applyFont="1" applyAlignment="1">
      <alignment vertical="center"/>
    </xf>
    <xf numFmtId="3" fontId="34" fillId="0" borderId="34" xfId="88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0" fillId="0" borderId="0" xfId="88" applyFont="1" applyAlignment="1">
      <alignment horizontal="center" vertical="center"/>
    </xf>
    <xf numFmtId="207" fontId="34" fillId="0" borderId="0" xfId="87" applyNumberFormat="1" applyFont="1" applyAlignment="1">
      <alignment horizontal="center" vertical="center"/>
    </xf>
    <xf numFmtId="207" fontId="34" fillId="0" borderId="0" xfId="87" applyNumberFormat="1" applyFont="1" applyAlignment="1">
      <alignment horizontal="left" vertical="center"/>
    </xf>
    <xf numFmtId="207" fontId="34" fillId="0" borderId="57" xfId="88" applyNumberFormat="1" applyFont="1" applyBorder="1" applyAlignment="1">
      <alignment horizontal="left" vertical="center"/>
    </xf>
    <xf numFmtId="207" fontId="34" fillId="0" borderId="16" xfId="88" applyNumberFormat="1" applyFont="1" applyBorder="1" applyAlignment="1">
      <alignment horizontal="center" vertical="center"/>
    </xf>
    <xf numFmtId="207" fontId="34" fillId="0" borderId="15" xfId="88" applyNumberFormat="1" applyFont="1" applyBorder="1" applyAlignment="1">
      <alignment horizontal="center" vertical="center"/>
    </xf>
    <xf numFmtId="207" fontId="34" fillId="0" borderId="20" xfId="88" applyNumberFormat="1" applyFont="1" applyBorder="1" applyAlignment="1">
      <alignment horizontal="center" vertical="center"/>
    </xf>
    <xf numFmtId="207" fontId="34" fillId="0" borderId="54" xfId="88" applyNumberFormat="1" applyFont="1" applyBorder="1" applyAlignment="1">
      <alignment horizontal="left" vertical="center"/>
    </xf>
    <xf numFmtId="207" fontId="34" fillId="0" borderId="21" xfId="88" applyNumberFormat="1" applyFont="1" applyBorder="1" applyAlignment="1">
      <alignment horizontal="center" vertical="center"/>
    </xf>
    <xf numFmtId="207" fontId="38" fillId="0" borderId="20" xfId="88" applyNumberFormat="1" applyFont="1" applyBorder="1" applyAlignment="1">
      <alignment horizontal="center" vertical="center"/>
    </xf>
    <xf numFmtId="207" fontId="34" fillId="0" borderId="52" xfId="88" applyNumberFormat="1" applyFont="1" applyBorder="1" applyAlignment="1">
      <alignment horizontal="left" vertical="center"/>
    </xf>
    <xf numFmtId="207" fontId="34" fillId="0" borderId="52" xfId="88" applyNumberFormat="1" applyFont="1" applyBorder="1" applyAlignment="1">
      <alignment horizontal="center" vertical="center"/>
    </xf>
    <xf numFmtId="207" fontId="34" fillId="0" borderId="24" xfId="88" applyNumberFormat="1" applyFont="1" applyBorder="1" applyAlignment="1">
      <alignment horizontal="center" vertical="center"/>
    </xf>
    <xf numFmtId="207" fontId="34" fillId="0" borderId="25" xfId="88" applyNumberFormat="1" applyFont="1" applyBorder="1" applyAlignment="1">
      <alignment horizontal="center" vertical="center"/>
    </xf>
    <xf numFmtId="0" fontId="51" fillId="0" borderId="0" xfId="0" applyFont="1" applyAlignment="1">
      <alignment horizontal="center" readingOrder="1"/>
    </xf>
    <xf numFmtId="2" fontId="0" fillId="0" borderId="0" xfId="0" applyNumberFormat="1"/>
    <xf numFmtId="191" fontId="10" fillId="0" borderId="0" xfId="0" applyNumberFormat="1" applyFont="1"/>
    <xf numFmtId="0" fontId="53" fillId="0" borderId="0" xfId="82" applyFont="1"/>
    <xf numFmtId="0" fontId="54" fillId="0" borderId="0" xfId="82" applyFont="1"/>
    <xf numFmtId="43" fontId="53" fillId="0" borderId="0" xfId="82" applyNumberFormat="1" applyFont="1"/>
    <xf numFmtId="0" fontId="53" fillId="0" borderId="0" xfId="82" applyFont="1" applyAlignment="1">
      <alignment horizontal="center"/>
    </xf>
    <xf numFmtId="43" fontId="53" fillId="0" borderId="8" xfId="80" applyFont="1" applyFill="1" applyBorder="1" applyProtection="1"/>
    <xf numFmtId="43" fontId="54" fillId="0" borderId="35" xfId="80" applyFont="1" applyBorder="1" applyAlignment="1" applyProtection="1">
      <alignment horizontal="center"/>
    </xf>
    <xf numFmtId="43" fontId="53" fillId="0" borderId="4" xfId="82" applyNumberFormat="1" applyFont="1" applyBorder="1"/>
    <xf numFmtId="43" fontId="53" fillId="0" borderId="0" xfId="80" applyFont="1" applyFill="1" applyProtection="1"/>
    <xf numFmtId="198" fontId="53" fillId="0" borderId="4" xfId="82" applyNumberFormat="1" applyFont="1" applyBorder="1"/>
    <xf numFmtId="0" fontId="77" fillId="0" borderId="0" xfId="81" applyFont="1" applyProtection="1">
      <protection hidden="1"/>
    </xf>
    <xf numFmtId="41" fontId="52" fillId="0" borderId="0" xfId="77" applyNumberFormat="1" applyFont="1" applyFill="1" applyAlignment="1" applyProtection="1">
      <alignment horizontal="left"/>
      <protection hidden="1"/>
    </xf>
    <xf numFmtId="187" fontId="77" fillId="0" borderId="0" xfId="77" applyFont="1" applyFill="1" applyProtection="1">
      <protection hidden="1"/>
    </xf>
    <xf numFmtId="0" fontId="52" fillId="0" borderId="0" xfId="81" quotePrefix="1" applyFont="1" applyAlignment="1" applyProtection="1">
      <alignment horizontal="left"/>
      <protection hidden="1"/>
    </xf>
    <xf numFmtId="187" fontId="52" fillId="0" borderId="7" xfId="77" applyFont="1" applyFill="1" applyBorder="1" applyAlignment="1" applyProtection="1">
      <alignment horizontal="center" vertical="center" wrapText="1"/>
      <protection hidden="1"/>
    </xf>
    <xf numFmtId="187" fontId="52" fillId="0" borderId="8" xfId="77" applyFont="1" applyFill="1" applyBorder="1" applyAlignment="1" applyProtection="1">
      <alignment horizontal="center" vertical="center" wrapText="1"/>
      <protection hidden="1"/>
    </xf>
    <xf numFmtId="41" fontId="77" fillId="0" borderId="12" xfId="77" applyNumberFormat="1" applyFont="1" applyFill="1" applyBorder="1" applyAlignment="1" applyProtection="1">
      <protection locked="0" hidden="1"/>
    </xf>
    <xf numFmtId="187" fontId="77" fillId="0" borderId="12" xfId="77" applyFont="1" applyFill="1" applyBorder="1" applyAlignment="1" applyProtection="1">
      <protection locked="0" hidden="1"/>
    </xf>
    <xf numFmtId="41" fontId="77" fillId="0" borderId="17" xfId="77" applyNumberFormat="1" applyFont="1" applyFill="1" applyBorder="1" applyAlignment="1" applyProtection="1">
      <protection locked="0" hidden="1"/>
    </xf>
    <xf numFmtId="187" fontId="77" fillId="0" borderId="17" xfId="77" applyFont="1" applyFill="1" applyBorder="1" applyAlignment="1" applyProtection="1">
      <protection locked="0" hidden="1"/>
    </xf>
    <xf numFmtId="187" fontId="77" fillId="0" borderId="49" xfId="77" applyFont="1" applyFill="1" applyBorder="1" applyAlignment="1" applyProtection="1">
      <protection locked="0" hidden="1"/>
    </xf>
    <xf numFmtId="0" fontId="77" fillId="19" borderId="1" xfId="81" applyFont="1" applyFill="1" applyBorder="1"/>
    <xf numFmtId="0" fontId="52" fillId="0" borderId="3" xfId="81" applyFont="1" applyBorder="1" applyAlignment="1">
      <alignment horizontal="left"/>
    </xf>
    <xf numFmtId="0" fontId="77" fillId="0" borderId="3" xfId="81" applyFont="1" applyBorder="1"/>
    <xf numFmtId="187" fontId="77" fillId="0" borderId="3" xfId="77" applyFont="1" applyFill="1" applyBorder="1"/>
    <xf numFmtId="0" fontId="77" fillId="0" borderId="10" xfId="81" applyFont="1" applyBorder="1"/>
    <xf numFmtId="187" fontId="81" fillId="0" borderId="35" xfId="77" applyFont="1" applyFill="1" applyBorder="1"/>
    <xf numFmtId="0" fontId="77" fillId="19" borderId="4" xfId="81" applyFont="1" applyFill="1" applyBorder="1" applyProtection="1">
      <protection locked="0"/>
    </xf>
    <xf numFmtId="41" fontId="77" fillId="0" borderId="49" xfId="77" applyNumberFormat="1" applyFont="1" applyFill="1" applyBorder="1" applyAlignment="1" applyProtection="1">
      <protection locked="0" hidden="1"/>
    </xf>
    <xf numFmtId="0" fontId="77" fillId="0" borderId="0" xfId="81" applyFont="1" applyAlignment="1">
      <alignment horizontal="left"/>
    </xf>
    <xf numFmtId="0" fontId="77" fillId="0" borderId="0" xfId="81" applyFont="1"/>
    <xf numFmtId="0" fontId="77" fillId="0" borderId="0" xfId="81" applyFont="1" applyAlignment="1">
      <alignment horizontal="center"/>
    </xf>
    <xf numFmtId="187" fontId="77" fillId="0" borderId="0" xfId="77" applyFont="1" applyFill="1" applyAlignment="1">
      <alignment horizontal="center"/>
    </xf>
    <xf numFmtId="187" fontId="77" fillId="0" borderId="0" xfId="77" applyFont="1" applyFill="1" applyAlignment="1"/>
    <xf numFmtId="0" fontId="77" fillId="19" borderId="53" xfId="81" applyFont="1" applyFill="1" applyBorder="1"/>
    <xf numFmtId="0" fontId="52" fillId="0" borderId="33" xfId="81" applyFont="1" applyBorder="1"/>
    <xf numFmtId="0" fontId="77" fillId="0" borderId="33" xfId="81" applyFont="1" applyBorder="1"/>
    <xf numFmtId="187" fontId="77" fillId="0" borderId="33" xfId="77" applyFont="1" applyFill="1" applyBorder="1"/>
    <xf numFmtId="187" fontId="81" fillId="0" borderId="75" xfId="77" applyFont="1" applyFill="1" applyBorder="1"/>
    <xf numFmtId="0" fontId="77" fillId="19" borderId="8" xfId="81" applyFont="1" applyFill="1" applyBorder="1" applyProtection="1">
      <protection locked="0"/>
    </xf>
    <xf numFmtId="0" fontId="52" fillId="0" borderId="3" xfId="81" applyFont="1" applyBorder="1"/>
    <xf numFmtId="187" fontId="77" fillId="0" borderId="35" xfId="77" applyFont="1" applyFill="1" applyBorder="1"/>
    <xf numFmtId="0" fontId="77" fillId="19" borderId="8" xfId="81" applyFont="1" applyFill="1" applyBorder="1"/>
    <xf numFmtId="0" fontId="52" fillId="0" borderId="0" xfId="81" applyFont="1"/>
    <xf numFmtId="187" fontId="77" fillId="0" borderId="0" xfId="77" applyFont="1" applyFill="1" applyBorder="1"/>
    <xf numFmtId="187" fontId="77" fillId="0" borderId="0" xfId="77" applyFont="1" applyFill="1"/>
    <xf numFmtId="0" fontId="78" fillId="0" borderId="0" xfId="81" applyFont="1"/>
    <xf numFmtId="0" fontId="77" fillId="0" borderId="0" xfId="81" applyFont="1" applyProtection="1">
      <protection locked="0"/>
    </xf>
    <xf numFmtId="187" fontId="77" fillId="0" borderId="0" xfId="77" applyFont="1" applyFill="1" applyAlignment="1" applyProtection="1">
      <alignment horizontal="centerContinuous"/>
      <protection locked="0"/>
    </xf>
    <xf numFmtId="187" fontId="77" fillId="0" borderId="0" xfId="77" applyFont="1" applyFill="1" applyAlignment="1">
      <alignment horizontal="centerContinuous"/>
    </xf>
    <xf numFmtId="41" fontId="77" fillId="0" borderId="0" xfId="77" applyNumberFormat="1" applyFont="1" applyFill="1" applyAlignment="1" applyProtection="1">
      <protection hidden="1"/>
    </xf>
    <xf numFmtId="0" fontId="83" fillId="0" borderId="0" xfId="84" applyFont="1" applyAlignment="1">
      <alignment horizontal="center"/>
    </xf>
    <xf numFmtId="0" fontId="84" fillId="0" borderId="0" xfId="84" applyFont="1"/>
    <xf numFmtId="0" fontId="84" fillId="0" borderId="0" xfId="84" applyFont="1" applyAlignment="1">
      <alignment horizontal="right"/>
    </xf>
    <xf numFmtId="0" fontId="84" fillId="0" borderId="0" xfId="84" applyFont="1" applyAlignment="1">
      <alignment horizontal="left"/>
    </xf>
    <xf numFmtId="0" fontId="85" fillId="0" borderId="0" xfId="84" applyFont="1"/>
    <xf numFmtId="0" fontId="85" fillId="0" borderId="0" xfId="84" applyFont="1" applyAlignment="1">
      <alignment horizontal="left"/>
    </xf>
    <xf numFmtId="41" fontId="85" fillId="0" borderId="0" xfId="84" applyNumberFormat="1" applyFont="1" applyAlignment="1">
      <alignment horizontal="left"/>
    </xf>
    <xf numFmtId="41" fontId="85" fillId="0" borderId="0" xfId="84" applyNumberFormat="1" applyFont="1"/>
    <xf numFmtId="0" fontId="86" fillId="0" borderId="0" xfId="84" applyFont="1"/>
    <xf numFmtId="0" fontId="88" fillId="0" borderId="0" xfId="84" applyFont="1" applyAlignment="1">
      <alignment horizontal="center"/>
    </xf>
    <xf numFmtId="0" fontId="84" fillId="0" borderId="0" xfId="84" applyFont="1" applyAlignment="1">
      <alignment horizontal="center"/>
    </xf>
    <xf numFmtId="0" fontId="94" fillId="0" borderId="0" xfId="84" applyFont="1"/>
    <xf numFmtId="188" fontId="85" fillId="0" borderId="0" xfId="84" applyNumberFormat="1" applyFont="1" applyAlignment="1">
      <alignment horizontal="center"/>
    </xf>
    <xf numFmtId="195" fontId="86" fillId="0" borderId="0" xfId="84" applyNumberFormat="1" applyFont="1" applyAlignment="1">
      <alignment horizontal="center"/>
    </xf>
    <xf numFmtId="188" fontId="84" fillId="0" borderId="0" xfId="84" applyNumberFormat="1" applyFont="1" applyAlignment="1">
      <alignment horizontal="center"/>
    </xf>
    <xf numFmtId="0" fontId="86" fillId="0" borderId="0" xfId="84" applyFont="1" applyAlignment="1">
      <alignment horizontal="center"/>
    </xf>
    <xf numFmtId="0" fontId="95" fillId="0" borderId="0" xfId="84" applyFont="1"/>
    <xf numFmtId="0" fontId="96" fillId="0" borderId="0" xfId="84" applyFont="1"/>
    <xf numFmtId="188" fontId="96" fillId="0" borderId="0" xfId="84" applyNumberFormat="1" applyFont="1" applyAlignment="1">
      <alignment horizontal="center"/>
    </xf>
    <xf numFmtId="195" fontId="96" fillId="0" borderId="0" xfId="84" applyNumberFormat="1" applyFont="1" applyAlignment="1">
      <alignment horizontal="center"/>
    </xf>
    <xf numFmtId="188" fontId="94" fillId="0" borderId="0" xfId="84" applyNumberFormat="1" applyFont="1" applyAlignment="1">
      <alignment horizontal="center"/>
    </xf>
    <xf numFmtId="0" fontId="84" fillId="0" borderId="7" xfId="84" applyFont="1" applyBorder="1" applyAlignment="1">
      <alignment horizontal="center"/>
    </xf>
    <xf numFmtId="0" fontId="86" fillId="0" borderId="4" xfId="84" applyFont="1" applyBorder="1" applyAlignment="1">
      <alignment horizontal="center"/>
    </xf>
    <xf numFmtId="0" fontId="84" fillId="0" borderId="26" xfId="84" applyFont="1" applyBorder="1" applyAlignment="1">
      <alignment horizontal="center"/>
    </xf>
    <xf numFmtId="0" fontId="84" fillId="0" borderId="18" xfId="84" applyFont="1" applyBorder="1"/>
    <xf numFmtId="0" fontId="84" fillId="0" borderId="8" xfId="84" applyFont="1" applyBorder="1" applyAlignment="1">
      <alignment horizontal="center"/>
    </xf>
    <xf numFmtId="0" fontId="84" fillId="0" borderId="8" xfId="84" applyFont="1" applyBorder="1"/>
    <xf numFmtId="0" fontId="84" fillId="0" borderId="4" xfId="84" applyFont="1" applyBorder="1" applyAlignment="1">
      <alignment horizontal="center"/>
    </xf>
    <xf numFmtId="2" fontId="88" fillId="0" borderId="4" xfId="84" applyNumberFormat="1" applyFont="1" applyBorder="1" applyAlignment="1">
      <alignment horizontal="center"/>
    </xf>
    <xf numFmtId="0" fontId="88" fillId="0" borderId="8" xfId="84" applyFont="1" applyBorder="1" applyAlignment="1">
      <alignment horizontal="center"/>
    </xf>
    <xf numFmtId="0" fontId="89" fillId="0" borderId="0" xfId="84" applyFont="1"/>
    <xf numFmtId="43" fontId="84" fillId="0" borderId="5" xfId="80" applyFont="1" applyBorder="1" applyAlignment="1"/>
    <xf numFmtId="43" fontId="84" fillId="0" borderId="7" xfId="80" applyFont="1" applyBorder="1" applyAlignment="1"/>
    <xf numFmtId="43" fontId="85" fillId="0" borderId="9" xfId="80" applyFont="1" applyBorder="1"/>
    <xf numFmtId="2" fontId="84" fillId="0" borderId="5" xfId="84" applyNumberFormat="1" applyFont="1" applyBorder="1" applyAlignment="1">
      <alignment horizontal="center"/>
    </xf>
    <xf numFmtId="0" fontId="84" fillId="0" borderId="7" xfId="84" applyFont="1" applyBorder="1" applyAlignment="1">
      <alignment horizontal="right"/>
    </xf>
    <xf numFmtId="0" fontId="84" fillId="0" borderId="7" xfId="84" applyFont="1" applyBorder="1"/>
    <xf numFmtId="2" fontId="84" fillId="0" borderId="7" xfId="84" applyNumberFormat="1" applyFont="1" applyBorder="1"/>
    <xf numFmtId="188" fontId="84" fillId="0" borderId="7" xfId="84" applyNumberFormat="1" applyFont="1" applyBorder="1"/>
    <xf numFmtId="2" fontId="84" fillId="0" borderId="0" xfId="84" applyNumberFormat="1" applyFont="1"/>
    <xf numFmtId="0" fontId="84" fillId="0" borderId="9" xfId="84" applyFont="1" applyBorder="1"/>
    <xf numFmtId="43" fontId="86" fillId="2" borderId="5" xfId="80" applyFont="1" applyFill="1" applyBorder="1" applyAlignment="1"/>
    <xf numFmtId="43" fontId="86" fillId="0" borderId="5" xfId="80" applyFont="1" applyFill="1" applyBorder="1" applyAlignment="1"/>
    <xf numFmtId="43" fontId="84" fillId="0" borderId="0" xfId="80" applyFont="1"/>
    <xf numFmtId="194" fontId="84" fillId="0" borderId="5" xfId="80" applyNumberFormat="1" applyFont="1" applyBorder="1" applyAlignment="1">
      <alignment horizontal="center"/>
    </xf>
    <xf numFmtId="194" fontId="87" fillId="0" borderId="5" xfId="80" applyNumberFormat="1" applyFont="1" applyBorder="1" applyAlignment="1">
      <alignment horizontal="right"/>
    </xf>
    <xf numFmtId="43" fontId="84" fillId="0" borderId="5" xfId="80" applyFont="1" applyBorder="1" applyAlignment="1">
      <alignment horizontal="center"/>
    </xf>
    <xf numFmtId="43" fontId="86" fillId="0" borderId="0" xfId="80" applyFont="1" applyBorder="1" applyAlignment="1">
      <alignment horizontal="center"/>
    </xf>
    <xf numFmtId="43" fontId="87" fillId="0" borderId="5" xfId="80" applyFont="1" applyBorder="1" applyAlignment="1"/>
    <xf numFmtId="43" fontId="86" fillId="0" borderId="5" xfId="80" applyFont="1" applyBorder="1" applyAlignment="1">
      <alignment horizontal="center"/>
    </xf>
    <xf numFmtId="43" fontId="84" fillId="20" borderId="5" xfId="80" applyFont="1" applyFill="1" applyBorder="1" applyAlignment="1">
      <alignment horizontal="center"/>
    </xf>
    <xf numFmtId="188" fontId="88" fillId="0" borderId="5" xfId="80" applyNumberFormat="1" applyFont="1" applyBorder="1" applyAlignment="1"/>
    <xf numFmtId="43" fontId="84" fillId="0" borderId="5" xfId="80" applyFont="1" applyBorder="1"/>
    <xf numFmtId="0" fontId="84" fillId="0" borderId="11" xfId="84" applyFont="1" applyBorder="1"/>
    <xf numFmtId="43" fontId="86" fillId="2" borderId="5" xfId="80" applyFont="1" applyFill="1" applyBorder="1" applyAlignment="1" applyProtection="1">
      <alignment horizontal="center"/>
      <protection locked="0"/>
    </xf>
    <xf numFmtId="200" fontId="87" fillId="0" borderId="5" xfId="80" applyNumberFormat="1" applyFont="1" applyBorder="1" applyAlignment="1">
      <alignment horizontal="right"/>
    </xf>
    <xf numFmtId="43" fontId="86" fillId="0" borderId="5" xfId="80" applyFont="1" applyBorder="1" applyAlignment="1"/>
    <xf numFmtId="43" fontId="85" fillId="0" borderId="5" xfId="80" applyFont="1" applyFill="1" applyBorder="1"/>
    <xf numFmtId="0" fontId="84" fillId="0" borderId="11" xfId="84" applyFont="1" applyBorder="1" applyAlignment="1">
      <alignment horizontal="left"/>
    </xf>
    <xf numFmtId="43" fontId="85" fillId="2" borderId="5" xfId="80" applyFont="1" applyFill="1" applyBorder="1"/>
    <xf numFmtId="194" fontId="86" fillId="0" borderId="5" xfId="80" applyNumberFormat="1" applyFont="1" applyBorder="1" applyAlignment="1">
      <alignment horizontal="center"/>
    </xf>
    <xf numFmtId="43" fontId="85" fillId="0" borderId="5" xfId="80" applyFont="1" applyBorder="1"/>
    <xf numFmtId="2" fontId="88" fillId="0" borderId="0" xfId="80" applyNumberFormat="1" applyFont="1" applyBorder="1" applyAlignment="1"/>
    <xf numFmtId="4" fontId="85" fillId="0" borderId="0" xfId="84" applyNumberFormat="1" applyFont="1"/>
    <xf numFmtId="43" fontId="84" fillId="0" borderId="0" xfId="84" applyNumberFormat="1" applyFont="1"/>
    <xf numFmtId="2" fontId="88" fillId="0" borderId="0" xfId="84" applyNumberFormat="1" applyFont="1" applyAlignment="1">
      <alignment horizontal="center"/>
    </xf>
    <xf numFmtId="43" fontId="84" fillId="0" borderId="0" xfId="80" applyFont="1" applyBorder="1" applyAlignment="1">
      <alignment horizontal="center"/>
    </xf>
    <xf numFmtId="192" fontId="88" fillId="0" borderId="0" xfId="80" applyNumberFormat="1" applyFont="1" applyBorder="1" applyAlignment="1"/>
    <xf numFmtId="194" fontId="87" fillId="0" borderId="5" xfId="80" applyNumberFormat="1" applyFont="1" applyBorder="1" applyAlignment="1"/>
    <xf numFmtId="39" fontId="84" fillId="0" borderId="0" xfId="84" applyNumberFormat="1" applyFont="1" applyAlignment="1">
      <alignment horizontal="left"/>
    </xf>
    <xf numFmtId="0" fontId="88" fillId="0" borderId="0" xfId="84" applyFont="1"/>
    <xf numFmtId="0" fontId="84" fillId="0" borderId="32" xfId="84" applyFont="1" applyBorder="1"/>
    <xf numFmtId="0" fontId="83" fillId="0" borderId="31" xfId="84" applyFont="1" applyBorder="1" applyAlignment="1">
      <alignment horizontal="center"/>
    </xf>
    <xf numFmtId="4" fontId="90" fillId="0" borderId="4" xfId="84" applyNumberFormat="1" applyFont="1" applyBorder="1"/>
    <xf numFmtId="43" fontId="83" fillId="0" borderId="4" xfId="84" applyNumberFormat="1" applyFont="1" applyBorder="1"/>
    <xf numFmtId="188" fontId="88" fillId="0" borderId="4" xfId="84" applyNumberFormat="1" applyFont="1" applyBorder="1" applyAlignment="1">
      <alignment horizontal="center"/>
    </xf>
    <xf numFmtId="9" fontId="88" fillId="0" borderId="4" xfId="84" applyNumberFormat="1" applyFont="1" applyBorder="1" applyAlignment="1">
      <alignment horizontal="center"/>
    </xf>
    <xf numFmtId="0" fontId="84" fillId="0" borderId="4" xfId="84" applyFont="1" applyBorder="1"/>
    <xf numFmtId="43" fontId="84" fillId="0" borderId="3" xfId="80" applyFont="1" applyBorder="1" applyAlignment="1">
      <alignment horizontal="center"/>
    </xf>
    <xf numFmtId="43" fontId="88" fillId="0" borderId="4" xfId="80" applyFont="1" applyBorder="1" applyAlignment="1">
      <alignment horizontal="center"/>
    </xf>
    <xf numFmtId="194" fontId="88" fillId="0" borderId="4" xfId="80" applyNumberFormat="1" applyFont="1" applyBorder="1" applyAlignment="1">
      <alignment horizontal="center"/>
    </xf>
    <xf numFmtId="43" fontId="84" fillId="0" borderId="4" xfId="80" applyFont="1" applyBorder="1" applyAlignment="1">
      <alignment horizontal="center"/>
    </xf>
    <xf numFmtId="188" fontId="88" fillId="0" borderId="4" xfId="80" applyNumberFormat="1" applyFont="1" applyBorder="1" applyAlignment="1">
      <alignment horizontal="center"/>
    </xf>
    <xf numFmtId="192" fontId="88" fillId="0" borderId="4" xfId="84" applyNumberFormat="1" applyFont="1" applyBorder="1" applyAlignment="1">
      <alignment horizontal="center"/>
    </xf>
    <xf numFmtId="43" fontId="84" fillId="0" borderId="11" xfId="84" applyNumberFormat="1" applyFont="1" applyBorder="1"/>
    <xf numFmtId="0" fontId="88" fillId="2" borderId="0" xfId="84" applyFont="1" applyFill="1"/>
    <xf numFmtId="4" fontId="87" fillId="0" borderId="4" xfId="84" applyNumberFormat="1" applyFont="1" applyBorder="1"/>
    <xf numFmtId="4" fontId="84" fillId="0" borderId="32" xfId="84" applyNumberFormat="1" applyFont="1" applyBorder="1"/>
    <xf numFmtId="43" fontId="97" fillId="0" borderId="32" xfId="80" applyFont="1" applyFill="1" applyBorder="1"/>
    <xf numFmtId="189" fontId="84" fillId="0" borderId="32" xfId="80" applyNumberFormat="1" applyFont="1" applyBorder="1" applyAlignment="1" applyProtection="1">
      <protection locked="0"/>
    </xf>
    <xf numFmtId="187" fontId="84" fillId="16" borderId="32" xfId="80" applyNumberFormat="1" applyFont="1" applyFill="1" applyBorder="1" applyAlignment="1" applyProtection="1">
      <protection locked="0"/>
    </xf>
    <xf numFmtId="0" fontId="84" fillId="16" borderId="0" xfId="84" applyFont="1" applyFill="1" applyAlignment="1">
      <alignment horizontal="center"/>
    </xf>
    <xf numFmtId="2" fontId="84" fillId="16" borderId="0" xfId="84" applyNumberFormat="1" applyFont="1" applyFill="1" applyAlignment="1">
      <alignment horizontal="center"/>
    </xf>
    <xf numFmtId="0" fontId="84" fillId="16" borderId="0" xfId="84" applyFont="1" applyFill="1"/>
    <xf numFmtId="0" fontId="91" fillId="16" borderId="0" xfId="84" applyFont="1" applyFill="1"/>
    <xf numFmtId="2" fontId="84" fillId="16" borderId="0" xfId="84" applyNumberFormat="1" applyFont="1" applyFill="1"/>
    <xf numFmtId="188" fontId="84" fillId="16" borderId="0" xfId="84" applyNumberFormat="1" applyFont="1" applyFill="1"/>
    <xf numFmtId="194" fontId="88" fillId="0" borderId="0" xfId="84" applyNumberFormat="1" applyFont="1"/>
    <xf numFmtId="192" fontId="86" fillId="0" borderId="4" xfId="84" applyNumberFormat="1" applyFont="1" applyBorder="1" applyAlignment="1">
      <alignment horizontal="center"/>
    </xf>
    <xf numFmtId="43" fontId="88" fillId="0" borderId="4" xfId="80" applyFont="1" applyFill="1" applyBorder="1" applyProtection="1"/>
    <xf numFmtId="43" fontId="97" fillId="0" borderId="0" xfId="84" applyNumberFormat="1" applyFont="1"/>
    <xf numFmtId="2" fontId="84" fillId="0" borderId="0" xfId="84" applyNumberFormat="1" applyFont="1" applyAlignment="1">
      <alignment horizontal="center"/>
    </xf>
    <xf numFmtId="0" fontId="97" fillId="0" borderId="0" xfId="84" applyFont="1"/>
    <xf numFmtId="187" fontId="84" fillId="0" borderId="0" xfId="77" applyFont="1"/>
    <xf numFmtId="187" fontId="92" fillId="21" borderId="4" xfId="77" applyFont="1" applyFill="1" applyBorder="1"/>
    <xf numFmtId="1" fontId="84" fillId="0" borderId="0" xfId="84" applyNumberFormat="1" applyFont="1" applyAlignment="1">
      <alignment horizontal="center"/>
    </xf>
    <xf numFmtId="0" fontId="26" fillId="0" borderId="0" xfId="85"/>
    <xf numFmtId="41" fontId="77" fillId="0" borderId="23" xfId="77" applyNumberFormat="1" applyFont="1" applyFill="1" applyBorder="1" applyAlignment="1" applyProtection="1">
      <protection locked="0" hidden="1"/>
    </xf>
    <xf numFmtId="187" fontId="77" fillId="0" borderId="23" xfId="77" applyFont="1" applyFill="1" applyBorder="1" applyAlignment="1" applyProtection="1">
      <protection locked="0" hidden="1"/>
    </xf>
    <xf numFmtId="43" fontId="84" fillId="16" borderId="0" xfId="84" applyNumberFormat="1" applyFont="1" applyFill="1"/>
    <xf numFmtId="0" fontId="98" fillId="0" borderId="0" xfId="85" applyFont="1"/>
    <xf numFmtId="0" fontId="26" fillId="0" borderId="0" xfId="85" applyAlignment="1">
      <alignment horizontal="left"/>
    </xf>
    <xf numFmtId="0" fontId="100" fillId="19" borderId="38" xfId="84" applyFont="1" applyFill="1" applyBorder="1" applyAlignment="1">
      <alignment horizontal="center"/>
    </xf>
    <xf numFmtId="0" fontId="84" fillId="0" borderId="11" xfId="84" applyFont="1" applyBorder="1" applyAlignment="1">
      <alignment horizontal="center"/>
    </xf>
    <xf numFmtId="0" fontId="84" fillId="0" borderId="9" xfId="84" applyFont="1" applyBorder="1" applyAlignment="1">
      <alignment horizontal="center"/>
    </xf>
    <xf numFmtId="0" fontId="99" fillId="18" borderId="0" xfId="84" applyFont="1" applyFill="1" applyAlignment="1">
      <alignment horizontal="center"/>
    </xf>
    <xf numFmtId="188" fontId="84" fillId="22" borderId="0" xfId="84" applyNumberFormat="1" applyFont="1" applyFill="1" applyAlignment="1">
      <alignment horizontal="center"/>
    </xf>
    <xf numFmtId="0" fontId="26" fillId="23" borderId="77" xfId="85" applyFill="1" applyBorder="1"/>
    <xf numFmtId="221" fontId="26" fillId="14" borderId="0" xfId="85" applyNumberFormat="1" applyFill="1" applyAlignment="1">
      <alignment horizontal="center"/>
    </xf>
    <xf numFmtId="3" fontId="26" fillId="24" borderId="78" xfId="85" applyNumberFormat="1" applyFill="1" applyBorder="1" applyAlignment="1">
      <alignment horizontal="right"/>
    </xf>
    <xf numFmtId="222" fontId="26" fillId="14" borderId="78" xfId="85" applyNumberFormat="1" applyFill="1" applyBorder="1" applyAlignment="1">
      <alignment horizontal="center"/>
    </xf>
    <xf numFmtId="0" fontId="26" fillId="14" borderId="78" xfId="85" applyFill="1" applyBorder="1"/>
    <xf numFmtId="200" fontId="26" fillId="14" borderId="78" xfId="85" applyNumberFormat="1" applyFill="1" applyBorder="1"/>
    <xf numFmtId="0" fontId="26" fillId="14" borderId="78" xfId="85" applyFill="1" applyBorder="1" applyAlignment="1">
      <alignment horizontal="right"/>
    </xf>
    <xf numFmtId="43" fontId="92" fillId="0" borderId="4" xfId="84" applyNumberFormat="1" applyFont="1" applyBorder="1"/>
    <xf numFmtId="188" fontId="84" fillId="0" borderId="0" xfId="84" applyNumberFormat="1" applyFont="1"/>
    <xf numFmtId="207" fontId="34" fillId="0" borderId="56" xfId="88" applyNumberFormat="1" applyFont="1" applyBorder="1" applyAlignment="1">
      <alignment horizontal="left" vertical="center"/>
    </xf>
    <xf numFmtId="207" fontId="34" fillId="0" borderId="51" xfId="88" applyNumberFormat="1" applyFont="1" applyBorder="1" applyAlignment="1">
      <alignment horizontal="center" vertical="center"/>
    </xf>
    <xf numFmtId="207" fontId="34" fillId="0" borderId="55" xfId="88" applyNumberFormat="1" applyFont="1" applyBorder="1" applyAlignment="1">
      <alignment horizontal="center" vertical="center"/>
    </xf>
    <xf numFmtId="0" fontId="103" fillId="0" borderId="0" xfId="97" applyFont="1" applyAlignment="1">
      <alignment horizontal="centerContinuous"/>
    </xf>
    <xf numFmtId="0" fontId="104" fillId="0" borderId="0" xfId="97" applyFont="1" applyAlignment="1">
      <alignment horizontal="centerContinuous"/>
    </xf>
    <xf numFmtId="43" fontId="104" fillId="0" borderId="0" xfId="97" applyNumberFormat="1" applyFont="1" applyAlignment="1">
      <alignment horizontal="center"/>
    </xf>
    <xf numFmtId="0" fontId="104" fillId="0" borderId="0" xfId="97" applyFont="1"/>
    <xf numFmtId="190" fontId="104" fillId="0" borderId="0" xfId="77" applyNumberFormat="1" applyFont="1"/>
    <xf numFmtId="187" fontId="104" fillId="0" borderId="0" xfId="77" applyFont="1"/>
    <xf numFmtId="0" fontId="105" fillId="0" borderId="0" xfId="98"/>
    <xf numFmtId="0" fontId="106" fillId="0" borderId="0" xfId="97" applyFont="1"/>
    <xf numFmtId="0" fontId="106" fillId="0" borderId="0" xfId="97" applyFont="1" applyAlignment="1">
      <alignment horizontal="center"/>
    </xf>
    <xf numFmtId="187" fontId="9" fillId="0" borderId="0" xfId="77" applyFont="1" applyAlignment="1">
      <alignment horizontal="center" vertical="center"/>
    </xf>
    <xf numFmtId="0" fontId="3" fillId="0" borderId="0" xfId="98" applyFont="1" applyAlignment="1">
      <alignment vertical="center"/>
    </xf>
    <xf numFmtId="41" fontId="106" fillId="0" borderId="0" xfId="97" applyNumberFormat="1" applyFont="1"/>
    <xf numFmtId="2" fontId="106" fillId="0" borderId="0" xfId="97" applyNumberFormat="1" applyFont="1"/>
    <xf numFmtId="0" fontId="106" fillId="0" borderId="0" xfId="97" applyFont="1" applyAlignment="1">
      <alignment horizontal="left"/>
    </xf>
    <xf numFmtId="41" fontId="106" fillId="0" borderId="0" xfId="97" applyNumberFormat="1" applyFont="1" applyAlignment="1">
      <alignment horizontal="left"/>
    </xf>
    <xf numFmtId="223" fontId="104" fillId="0" borderId="4" xfId="97" applyNumberFormat="1" applyFont="1" applyBorder="1" applyAlignment="1">
      <alignment horizontal="center" vertical="center"/>
    </xf>
    <xf numFmtId="0" fontId="104" fillId="0" borderId="4" xfId="97" applyFont="1" applyBorder="1" applyAlignment="1">
      <alignment vertical="center"/>
    </xf>
    <xf numFmtId="0" fontId="104" fillId="0" borderId="3" xfId="97" applyFont="1" applyBorder="1" applyAlignment="1">
      <alignment horizontal="center" vertical="center"/>
    </xf>
    <xf numFmtId="0" fontId="104" fillId="0" borderId="10" xfId="97" applyFont="1" applyBorder="1" applyAlignment="1">
      <alignment vertical="center"/>
    </xf>
    <xf numFmtId="190" fontId="104" fillId="0" borderId="26" xfId="77" applyNumberFormat="1" applyFont="1" applyBorder="1" applyAlignment="1">
      <alignment vertical="center"/>
    </xf>
    <xf numFmtId="190" fontId="104" fillId="0" borderId="27" xfId="77" applyNumberFormat="1" applyFont="1" applyBorder="1" applyAlignment="1">
      <alignment vertical="center"/>
    </xf>
    <xf numFmtId="187" fontId="104" fillId="0" borderId="27" xfId="77" applyFont="1" applyBorder="1" applyAlignment="1">
      <alignment vertical="center"/>
    </xf>
    <xf numFmtId="0" fontId="104" fillId="0" borderId="0" xfId="97" applyFont="1" applyAlignment="1">
      <alignment vertical="center"/>
    </xf>
    <xf numFmtId="187" fontId="104" fillId="0" borderId="0" xfId="77" applyFont="1" applyAlignment="1">
      <alignment vertical="center"/>
    </xf>
    <xf numFmtId="223" fontId="104" fillId="0" borderId="49" xfId="97" applyNumberFormat="1" applyFont="1" applyBorder="1" applyAlignment="1">
      <alignment horizontal="center"/>
    </xf>
    <xf numFmtId="0" fontId="104" fillId="0" borderId="33" xfId="97" applyFont="1" applyBorder="1"/>
    <xf numFmtId="0" fontId="104" fillId="0" borderId="12" xfId="97" applyFont="1" applyBorder="1" applyAlignment="1">
      <alignment horizontal="center"/>
    </xf>
    <xf numFmtId="0" fontId="104" fillId="0" borderId="49" xfId="97" applyFont="1" applyBorder="1" applyAlignment="1">
      <alignment horizontal="center"/>
    </xf>
    <xf numFmtId="43" fontId="104" fillId="0" borderId="49" xfId="97" applyNumberFormat="1" applyFont="1" applyBorder="1" applyAlignment="1">
      <alignment horizontal="center"/>
    </xf>
    <xf numFmtId="190" fontId="104" fillId="0" borderId="49" xfId="77" applyNumberFormat="1" applyFont="1" applyBorder="1" applyAlignment="1">
      <alignment horizontal="center"/>
    </xf>
    <xf numFmtId="187" fontId="104" fillId="0" borderId="53" xfId="77" applyFont="1" applyBorder="1" applyAlignment="1">
      <alignment horizontal="center"/>
    </xf>
    <xf numFmtId="0" fontId="104" fillId="0" borderId="17" xfId="97" applyFont="1" applyBorder="1"/>
    <xf numFmtId="0" fontId="104" fillId="0" borderId="54" xfId="97" applyFont="1" applyBorder="1" applyAlignment="1">
      <alignment horizontal="center"/>
    </xf>
    <xf numFmtId="0" fontId="107" fillId="0" borderId="21" xfId="97" applyFont="1" applyBorder="1"/>
    <xf numFmtId="0" fontId="104" fillId="0" borderId="21" xfId="97" applyFont="1" applyBorder="1"/>
    <xf numFmtId="0" fontId="104" fillId="0" borderId="23" xfId="97" applyFont="1" applyBorder="1" applyAlignment="1">
      <alignment horizontal="center"/>
    </xf>
    <xf numFmtId="0" fontId="104" fillId="0" borderId="25" xfId="97" applyFont="1" applyBorder="1" applyAlignment="1">
      <alignment horizontal="center"/>
    </xf>
    <xf numFmtId="43" fontId="104" fillId="0" borderId="23" xfId="97" applyNumberFormat="1" applyFont="1" applyBorder="1" applyAlignment="1">
      <alignment horizontal="center"/>
    </xf>
    <xf numFmtId="190" fontId="104" fillId="0" borderId="23" xfId="77" applyNumberFormat="1" applyFont="1" applyBorder="1" applyAlignment="1">
      <alignment horizontal="center"/>
    </xf>
    <xf numFmtId="190" fontId="104" fillId="0" borderId="52" xfId="77" applyNumberFormat="1" applyFont="1" applyBorder="1" applyAlignment="1">
      <alignment horizontal="center"/>
    </xf>
    <xf numFmtId="0" fontId="104" fillId="0" borderId="4" xfId="97" applyFont="1" applyBorder="1"/>
    <xf numFmtId="0" fontId="104" fillId="0" borderId="54" xfId="97" applyFont="1" applyBorder="1"/>
    <xf numFmtId="0" fontId="104" fillId="0" borderId="21" xfId="97" applyFont="1" applyBorder="1" applyAlignment="1">
      <alignment horizontal="center"/>
    </xf>
    <xf numFmtId="43" fontId="104" fillId="5" borderId="49" xfId="97" applyNumberFormat="1" applyFont="1" applyFill="1" applyBorder="1" applyAlignment="1">
      <alignment horizontal="center"/>
    </xf>
    <xf numFmtId="43" fontId="104" fillId="0" borderId="49" xfId="97" applyNumberFormat="1" applyFont="1" applyBorder="1"/>
    <xf numFmtId="0" fontId="104" fillId="0" borderId="11" xfId="97" applyFont="1" applyBorder="1"/>
    <xf numFmtId="187" fontId="104" fillId="0" borderId="7" xfId="77" applyFont="1" applyBorder="1"/>
    <xf numFmtId="224" fontId="104" fillId="0" borderId="21" xfId="97" applyNumberFormat="1" applyFont="1" applyBorder="1"/>
    <xf numFmtId="0" fontId="104" fillId="0" borderId="17" xfId="97" applyFont="1" applyBorder="1" applyAlignment="1">
      <alignment horizontal="center"/>
    </xf>
    <xf numFmtId="0" fontId="104" fillId="0" borderId="20" xfId="97" applyFont="1" applyBorder="1" applyAlignment="1">
      <alignment horizontal="center"/>
    </xf>
    <xf numFmtId="43" fontId="104" fillId="5" borderId="17" xfId="97" applyNumberFormat="1" applyFont="1" applyFill="1" applyBorder="1" applyAlignment="1">
      <alignment horizontal="center"/>
    </xf>
    <xf numFmtId="187" fontId="104" fillId="0" borderId="5" xfId="77" applyFont="1" applyBorder="1"/>
    <xf numFmtId="0" fontId="104" fillId="16" borderId="17" xfId="97" applyFont="1" applyFill="1" applyBorder="1"/>
    <xf numFmtId="0" fontId="107" fillId="16" borderId="21" xfId="97" applyFont="1" applyFill="1" applyBorder="1"/>
    <xf numFmtId="0" fontId="104" fillId="16" borderId="21" xfId="97" applyFont="1" applyFill="1" applyBorder="1"/>
    <xf numFmtId="0" fontId="104" fillId="0" borderId="34" xfId="97" applyFont="1" applyBorder="1"/>
    <xf numFmtId="0" fontId="104" fillId="0" borderId="23" xfId="97" applyFont="1" applyBorder="1"/>
    <xf numFmtId="0" fontId="104" fillId="0" borderId="52" xfId="97" applyFont="1" applyBorder="1"/>
    <xf numFmtId="224" fontId="104" fillId="0" borderId="24" xfId="97" applyNumberFormat="1" applyFont="1" applyBorder="1"/>
    <xf numFmtId="0" fontId="104" fillId="0" borderId="24" xfId="97" applyFont="1" applyBorder="1"/>
    <xf numFmtId="43" fontId="104" fillId="5" borderId="23" xfId="97" applyNumberFormat="1" applyFont="1" applyFill="1" applyBorder="1" applyAlignment="1">
      <alignment horizontal="center"/>
    </xf>
    <xf numFmtId="43" fontId="104" fillId="0" borderId="23" xfId="97" applyNumberFormat="1" applyFont="1" applyBorder="1"/>
    <xf numFmtId="0" fontId="106" fillId="0" borderId="4" xfId="97" applyFont="1" applyBorder="1"/>
    <xf numFmtId="43" fontId="106" fillId="0" borderId="4" xfId="97" applyNumberFormat="1" applyFont="1" applyBorder="1"/>
    <xf numFmtId="0" fontId="106" fillId="0" borderId="11" xfId="97" applyFont="1" applyBorder="1"/>
    <xf numFmtId="0" fontId="106" fillId="0" borderId="9" xfId="97" applyFont="1" applyBorder="1"/>
    <xf numFmtId="187" fontId="104" fillId="0" borderId="9" xfId="77" applyFont="1" applyBorder="1"/>
    <xf numFmtId="223" fontId="106" fillId="0" borderId="49" xfId="97" applyNumberFormat="1" applyFont="1" applyBorder="1" applyAlignment="1">
      <alignment horizontal="center"/>
    </xf>
    <xf numFmtId="0" fontId="106" fillId="0" borderId="53" xfId="97" applyFont="1" applyBorder="1"/>
    <xf numFmtId="0" fontId="106" fillId="0" borderId="33" xfId="97" applyFont="1" applyBorder="1"/>
    <xf numFmtId="190" fontId="106" fillId="0" borderId="0" xfId="77" applyNumberFormat="1" applyFont="1" applyFill="1" applyAlignment="1">
      <alignment horizontal="center"/>
    </xf>
    <xf numFmtId="190" fontId="106" fillId="0" borderId="0" xfId="77" applyNumberFormat="1" applyFont="1" applyFill="1"/>
    <xf numFmtId="0" fontId="106" fillId="0" borderId="17" xfId="97" applyFont="1" applyBorder="1"/>
    <xf numFmtId="0" fontId="106" fillId="0" borderId="54" xfId="97" applyFont="1" applyBorder="1" applyAlignment="1">
      <alignment horizontal="center"/>
    </xf>
    <xf numFmtId="0" fontId="106" fillId="0" borderId="21" xfId="97" applyFont="1" applyBorder="1"/>
    <xf numFmtId="0" fontId="106" fillId="0" borderId="54" xfId="97" applyFont="1" applyBorder="1"/>
    <xf numFmtId="0" fontId="106" fillId="0" borderId="21" xfId="97" applyFont="1" applyBorder="1" applyAlignment="1">
      <alignment horizontal="center"/>
    </xf>
    <xf numFmtId="0" fontId="106" fillId="0" borderId="49" xfId="97" applyFont="1" applyBorder="1" applyAlignment="1">
      <alignment horizontal="center"/>
    </xf>
    <xf numFmtId="0" fontId="106" fillId="0" borderId="50" xfId="97" applyFont="1" applyBorder="1" applyAlignment="1">
      <alignment horizontal="center"/>
    </xf>
    <xf numFmtId="43" fontId="106" fillId="5" borderId="49" xfId="97" applyNumberFormat="1" applyFont="1" applyFill="1" applyBorder="1" applyAlignment="1">
      <alignment horizontal="center"/>
    </xf>
    <xf numFmtId="224" fontId="106" fillId="0" borderId="21" xfId="97" applyNumberFormat="1" applyFont="1" applyBorder="1"/>
    <xf numFmtId="0" fontId="106" fillId="0" borderId="17" xfId="97" applyFont="1" applyBorder="1" applyAlignment="1">
      <alignment horizontal="center"/>
    </xf>
    <xf numFmtId="0" fontId="106" fillId="0" borderId="20" xfId="97" applyFont="1" applyBorder="1" applyAlignment="1">
      <alignment horizontal="center"/>
    </xf>
    <xf numFmtId="43" fontId="106" fillId="5" borderId="17" xfId="97" applyNumberFormat="1" applyFont="1" applyFill="1" applyBorder="1" applyAlignment="1">
      <alignment horizontal="center"/>
    </xf>
    <xf numFmtId="0" fontId="108" fillId="16" borderId="21" xfId="97" applyFont="1" applyFill="1" applyBorder="1"/>
    <xf numFmtId="0" fontId="106" fillId="16" borderId="21" xfId="97" applyFont="1" applyFill="1" applyBorder="1"/>
    <xf numFmtId="0" fontId="106" fillId="0" borderId="34" xfId="97" applyFont="1" applyBorder="1"/>
    <xf numFmtId="224" fontId="106" fillId="0" borderId="51" xfId="97" applyNumberFormat="1" applyFont="1" applyBorder="1"/>
    <xf numFmtId="0" fontId="106" fillId="0" borderId="51" xfId="97" applyFont="1" applyBorder="1"/>
    <xf numFmtId="43" fontId="106" fillId="5" borderId="34" xfId="97" applyNumberFormat="1" applyFont="1" applyFill="1" applyBorder="1" applyAlignment="1">
      <alignment horizontal="center"/>
    </xf>
    <xf numFmtId="190" fontId="106" fillId="0" borderId="0" xfId="77" applyNumberFormat="1" applyFont="1"/>
    <xf numFmtId="187" fontId="106" fillId="0" borderId="0" xfId="77" applyFont="1"/>
    <xf numFmtId="0" fontId="106" fillId="0" borderId="26" xfId="97" applyFont="1" applyBorder="1"/>
    <xf numFmtId="0" fontId="106" fillId="0" borderId="27" xfId="97" applyFont="1" applyBorder="1"/>
    <xf numFmtId="0" fontId="106" fillId="0" borderId="18" xfId="97" applyFont="1" applyBorder="1"/>
    <xf numFmtId="187" fontId="106" fillId="0" borderId="18" xfId="77" applyFont="1" applyBorder="1"/>
    <xf numFmtId="187" fontId="106" fillId="0" borderId="0" xfId="77" applyFont="1" applyFill="1"/>
    <xf numFmtId="187" fontId="106" fillId="0" borderId="7" xfId="77" applyFont="1" applyFill="1" applyBorder="1"/>
    <xf numFmtId="187" fontId="106" fillId="0" borderId="5" xfId="77" applyFont="1" applyFill="1" applyBorder="1"/>
    <xf numFmtId="198" fontId="106" fillId="0" borderId="4" xfId="97" applyNumberFormat="1" applyFont="1" applyBorder="1"/>
    <xf numFmtId="187" fontId="106" fillId="0" borderId="0" xfId="77" applyFont="1" applyAlignment="1">
      <alignment horizontal="left"/>
    </xf>
    <xf numFmtId="0" fontId="109" fillId="0" borderId="0" xfId="97" applyFont="1"/>
    <xf numFmtId="43" fontId="109" fillId="0" borderId="4" xfId="97" applyNumberFormat="1" applyFont="1" applyBorder="1"/>
    <xf numFmtId="190" fontId="109" fillId="0" borderId="0" xfId="77" applyNumberFormat="1" applyFont="1"/>
    <xf numFmtId="0" fontId="109" fillId="0" borderId="4" xfId="97" applyFont="1" applyBorder="1"/>
    <xf numFmtId="187" fontId="106" fillId="0" borderId="4" xfId="77" applyFont="1" applyBorder="1"/>
    <xf numFmtId="0" fontId="104" fillId="0" borderId="0" xfId="97" applyFont="1" applyAlignment="1">
      <alignment horizontal="right"/>
    </xf>
    <xf numFmtId="0" fontId="104" fillId="0" borderId="0" xfId="97" applyFont="1" applyAlignment="1">
      <alignment horizontal="center"/>
    </xf>
    <xf numFmtId="43" fontId="104" fillId="0" borderId="0" xfId="97" applyNumberFormat="1" applyFont="1"/>
    <xf numFmtId="187" fontId="109" fillId="0" borderId="4" xfId="77" applyFont="1" applyBorder="1"/>
    <xf numFmtId="43" fontId="104" fillId="0" borderId="0" xfId="97" applyNumberFormat="1" applyFont="1" applyAlignment="1">
      <alignment horizontal="centerContinuous"/>
    </xf>
    <xf numFmtId="0" fontId="132" fillId="0" borderId="0" xfId="98" applyFont="1"/>
    <xf numFmtId="0" fontId="132" fillId="0" borderId="0" xfId="98" applyFont="1" applyAlignment="1">
      <alignment vertical="center"/>
    </xf>
    <xf numFmtId="188" fontId="106" fillId="0" borderId="0" xfId="97" applyNumberFormat="1" applyFont="1"/>
    <xf numFmtId="223" fontId="104" fillId="0" borderId="12" xfId="97" applyNumberFormat="1" applyFont="1" applyBorder="1" applyAlignment="1">
      <alignment horizontal="center"/>
    </xf>
    <xf numFmtId="0" fontId="104" fillId="0" borderId="12" xfId="97" applyFont="1" applyBorder="1"/>
    <xf numFmtId="43" fontId="104" fillId="0" borderId="12" xfId="97" applyNumberFormat="1" applyFont="1" applyBorder="1" applyAlignment="1">
      <alignment horizontal="center"/>
    </xf>
    <xf numFmtId="0" fontId="104" fillId="0" borderId="20" xfId="97" applyFont="1" applyBorder="1"/>
    <xf numFmtId="0" fontId="104" fillId="0" borderId="31" xfId="97" applyFont="1" applyBorder="1"/>
    <xf numFmtId="43" fontId="104" fillId="0" borderId="17" xfId="97" applyNumberFormat="1" applyFont="1" applyBorder="1" applyAlignment="1">
      <alignment horizontal="center"/>
    </xf>
    <xf numFmtId="0" fontId="104" fillId="0" borderId="9" xfId="97" applyFont="1" applyBorder="1"/>
    <xf numFmtId="0" fontId="104" fillId="16" borderId="54" xfId="97" applyFont="1" applyFill="1" applyBorder="1" applyAlignment="1">
      <alignment horizontal="center"/>
    </xf>
    <xf numFmtId="0" fontId="104" fillId="16" borderId="20" xfId="97" applyFont="1" applyFill="1" applyBorder="1"/>
    <xf numFmtId="43" fontId="104" fillId="16" borderId="17" xfId="97" applyNumberFormat="1" applyFont="1" applyFill="1" applyBorder="1" applyAlignment="1">
      <alignment horizontal="center"/>
    </xf>
    <xf numFmtId="43" fontId="104" fillId="0" borderId="17" xfId="97" applyNumberFormat="1" applyFont="1" applyBorder="1"/>
    <xf numFmtId="0" fontId="104" fillId="0" borderId="25" xfId="97" applyFont="1" applyBorder="1"/>
    <xf numFmtId="43" fontId="104" fillId="16" borderId="23" xfId="97" applyNumberFormat="1" applyFont="1" applyFill="1" applyBorder="1" applyAlignment="1">
      <alignment horizontal="center"/>
    </xf>
    <xf numFmtId="0" fontId="107" fillId="0" borderId="57" xfId="97" applyFont="1" applyBorder="1"/>
    <xf numFmtId="0" fontId="104" fillId="0" borderId="16" xfId="97" applyFont="1" applyBorder="1"/>
    <xf numFmtId="0" fontId="104" fillId="0" borderId="15" xfId="97" applyFont="1" applyBorder="1"/>
    <xf numFmtId="0" fontId="104" fillId="16" borderId="49" xfId="97" applyFont="1" applyFill="1" applyBorder="1" applyAlignment="1">
      <alignment horizontal="center"/>
    </xf>
    <xf numFmtId="0" fontId="104" fillId="16" borderId="17" xfId="97" applyFont="1" applyFill="1" applyBorder="1" applyAlignment="1">
      <alignment horizontal="center"/>
    </xf>
    <xf numFmtId="0" fontId="104" fillId="16" borderId="23" xfId="97" applyFont="1" applyFill="1" applyBorder="1" applyAlignment="1">
      <alignment horizontal="center"/>
    </xf>
    <xf numFmtId="43" fontId="104" fillId="0" borderId="4" xfId="97" applyNumberFormat="1" applyFont="1" applyBorder="1"/>
    <xf numFmtId="187" fontId="104" fillId="0" borderId="4" xfId="77" applyFont="1" applyBorder="1"/>
    <xf numFmtId="43" fontId="104" fillId="0" borderId="12" xfId="97" applyNumberFormat="1" applyFont="1" applyBorder="1"/>
    <xf numFmtId="0" fontId="107" fillId="0" borderId="53" xfId="97" applyFont="1" applyBorder="1"/>
    <xf numFmtId="0" fontId="104" fillId="0" borderId="50" xfId="97" applyFont="1" applyBorder="1"/>
    <xf numFmtId="0" fontId="104" fillId="0" borderId="49" xfId="97" applyFont="1" applyBorder="1"/>
    <xf numFmtId="224" fontId="104" fillId="0" borderId="54" xfId="97" applyNumberFormat="1" applyFont="1" applyBorder="1"/>
    <xf numFmtId="43" fontId="104" fillId="5" borderId="17" xfId="97" applyNumberFormat="1" applyFont="1" applyFill="1" applyBorder="1"/>
    <xf numFmtId="0" fontId="104" fillId="5" borderId="17" xfId="97" applyFont="1" applyFill="1" applyBorder="1" applyAlignment="1">
      <alignment horizontal="center"/>
    </xf>
    <xf numFmtId="43" fontId="104" fillId="0" borderId="8" xfId="97" applyNumberFormat="1" applyFont="1" applyBorder="1"/>
    <xf numFmtId="0" fontId="104" fillId="0" borderId="8" xfId="97" applyFont="1" applyBorder="1"/>
    <xf numFmtId="0" fontId="133" fillId="0" borderId="0" xfId="97" applyFont="1"/>
    <xf numFmtId="43" fontId="133" fillId="0" borderId="0" xfId="97" applyNumberFormat="1" applyFont="1"/>
    <xf numFmtId="0" fontId="107" fillId="0" borderId="12" xfId="97" applyFont="1" applyBorder="1"/>
    <xf numFmtId="43" fontId="109" fillId="0" borderId="7" xfId="97" applyNumberFormat="1" applyFont="1" applyBorder="1"/>
    <xf numFmtId="0" fontId="106" fillId="0" borderId="32" xfId="97" applyFont="1" applyBorder="1"/>
    <xf numFmtId="43" fontId="106" fillId="0" borderId="32" xfId="97" applyNumberFormat="1" applyFont="1" applyBorder="1"/>
    <xf numFmtId="43" fontId="106" fillId="0" borderId="0" xfId="97" applyNumberFormat="1" applyFont="1"/>
    <xf numFmtId="0" fontId="106" fillId="16" borderId="0" xfId="97" applyFont="1" applyFill="1"/>
    <xf numFmtId="0" fontId="108" fillId="16" borderId="0" xfId="97" applyFont="1" applyFill="1"/>
    <xf numFmtId="198" fontId="106" fillId="0" borderId="0" xfId="97" applyNumberFormat="1" applyFont="1"/>
    <xf numFmtId="43" fontId="109" fillId="0" borderId="0" xfId="97" applyNumberFormat="1" applyFont="1"/>
    <xf numFmtId="0" fontId="106" fillId="16" borderId="32" xfId="97" applyFont="1" applyFill="1" applyBorder="1"/>
    <xf numFmtId="224" fontId="106" fillId="16" borderId="32" xfId="97" applyNumberFormat="1" applyFont="1" applyFill="1" applyBorder="1"/>
    <xf numFmtId="0" fontId="106" fillId="16" borderId="32" xfId="97" applyFont="1" applyFill="1" applyBorder="1" applyAlignment="1">
      <alignment horizontal="center"/>
    </xf>
    <xf numFmtId="43" fontId="106" fillId="16" borderId="32" xfId="97" applyNumberFormat="1" applyFont="1" applyFill="1" applyBorder="1" applyAlignment="1">
      <alignment horizontal="center"/>
    </xf>
    <xf numFmtId="224" fontId="106" fillId="16" borderId="0" xfId="97" applyNumberFormat="1" applyFont="1" applyFill="1"/>
    <xf numFmtId="0" fontId="106" fillId="16" borderId="0" xfId="97" applyFont="1" applyFill="1" applyAlignment="1">
      <alignment horizontal="center"/>
    </xf>
    <xf numFmtId="43" fontId="106" fillId="16" borderId="0" xfId="97" applyNumberFormat="1" applyFont="1" applyFill="1" applyAlignment="1">
      <alignment horizontal="center"/>
    </xf>
    <xf numFmtId="0" fontId="80" fillId="0" borderId="0" xfId="0" applyFont="1" applyProtection="1">
      <protection hidden="1"/>
    </xf>
    <xf numFmtId="41" fontId="54" fillId="0" borderId="0" xfId="77" applyNumberFormat="1" applyFont="1" applyFill="1" applyAlignment="1" applyProtection="1">
      <alignment horizontal="left"/>
      <protection hidden="1"/>
    </xf>
    <xf numFmtId="0" fontId="53" fillId="0" borderId="0" xfId="0" applyFont="1" applyProtection="1">
      <protection hidden="1"/>
    </xf>
    <xf numFmtId="187" fontId="53" fillId="0" borderId="0" xfId="0" applyNumberFormat="1" applyFont="1" applyProtection="1">
      <protection hidden="1"/>
    </xf>
    <xf numFmtId="187" fontId="54" fillId="0" borderId="0" xfId="0" applyNumberFormat="1" applyFont="1" applyProtection="1">
      <protection hidden="1"/>
    </xf>
    <xf numFmtId="0" fontId="54" fillId="0" borderId="0" xfId="0" applyFont="1" applyProtection="1">
      <protection hidden="1"/>
    </xf>
    <xf numFmtId="41" fontId="54" fillId="0" borderId="0" xfId="77" applyNumberFormat="1" applyFont="1" applyFill="1" applyAlignment="1" applyProtection="1">
      <protection hidden="1"/>
    </xf>
    <xf numFmtId="0" fontId="54" fillId="0" borderId="0" xfId="0" applyFont="1" applyAlignment="1" applyProtection="1">
      <alignment horizontal="center"/>
      <protection hidden="1"/>
    </xf>
    <xf numFmtId="0" fontId="80" fillId="0" borderId="12" xfId="0" applyFont="1" applyBorder="1" applyAlignment="1" applyProtection="1">
      <alignment horizontal="center"/>
      <protection hidden="1"/>
    </xf>
    <xf numFmtId="41" fontId="80" fillId="0" borderId="12" xfId="77" applyNumberFormat="1" applyFont="1" applyFill="1" applyBorder="1" applyAlignment="1" applyProtection="1">
      <protection locked="0" hidden="1"/>
    </xf>
    <xf numFmtId="187" fontId="80" fillId="0" borderId="12" xfId="77" applyFont="1" applyFill="1" applyBorder="1" applyAlignment="1" applyProtection="1">
      <protection locked="0" hidden="1"/>
    </xf>
    <xf numFmtId="0" fontId="80" fillId="0" borderId="17" xfId="0" applyFont="1" applyBorder="1" applyProtection="1">
      <protection hidden="1"/>
    </xf>
    <xf numFmtId="41" fontId="80" fillId="0" borderId="17" xfId="77" applyNumberFormat="1" applyFont="1" applyFill="1" applyBorder="1" applyAlignment="1" applyProtection="1">
      <protection locked="0" hidden="1"/>
    </xf>
    <xf numFmtId="187" fontId="80" fillId="0" borderId="17" xfId="77" applyFont="1" applyFill="1" applyBorder="1" applyAlignment="1" applyProtection="1">
      <protection locked="0" hidden="1"/>
    </xf>
    <xf numFmtId="0" fontId="80" fillId="0" borderId="17" xfId="0" applyFont="1" applyBorder="1" applyAlignment="1" applyProtection="1">
      <alignment horizontal="center"/>
      <protection hidden="1"/>
    </xf>
    <xf numFmtId="201" fontId="80" fillId="0" borderId="17" xfId="77" applyNumberFormat="1" applyFont="1" applyFill="1" applyBorder="1" applyAlignment="1" applyProtection="1">
      <protection locked="0" hidden="1"/>
    </xf>
    <xf numFmtId="0" fontId="80" fillId="0" borderId="54" xfId="0" applyFont="1" applyBorder="1" applyProtection="1">
      <protection hidden="1"/>
    </xf>
    <xf numFmtId="0" fontId="80" fillId="0" borderId="21" xfId="0" applyFont="1" applyBorder="1" applyProtection="1">
      <protection hidden="1"/>
    </xf>
    <xf numFmtId="0" fontId="80" fillId="0" borderId="20" xfId="0" applyFont="1" applyBorder="1" applyProtection="1">
      <protection hidden="1"/>
    </xf>
    <xf numFmtId="187" fontId="80" fillId="0" borderId="0" xfId="77" applyFont="1" applyFill="1" applyProtection="1">
      <protection hidden="1"/>
    </xf>
    <xf numFmtId="0" fontId="79" fillId="0" borderId="21" xfId="0" applyFont="1" applyBorder="1" applyProtection="1">
      <protection hidden="1"/>
    </xf>
    <xf numFmtId="0" fontId="136" fillId="0" borderId="17" xfId="0" applyFont="1" applyBorder="1" applyProtection="1">
      <protection hidden="1"/>
    </xf>
    <xf numFmtId="0" fontId="136" fillId="0" borderId="17" xfId="0" applyFont="1" applyBorder="1" applyProtection="1">
      <protection locked="0"/>
    </xf>
    <xf numFmtId="0" fontId="80" fillId="0" borderId="49" xfId="0" applyFont="1" applyBorder="1" applyAlignment="1" applyProtection="1">
      <alignment horizontal="center"/>
      <protection hidden="1"/>
    </xf>
    <xf numFmtId="41" fontId="80" fillId="0" borderId="49" xfId="77" applyNumberFormat="1" applyFont="1" applyFill="1" applyBorder="1" applyAlignment="1" applyProtection="1">
      <protection locked="0" hidden="1"/>
    </xf>
    <xf numFmtId="187" fontId="80" fillId="0" borderId="49" xfId="77" applyFont="1" applyFill="1" applyBorder="1" applyAlignment="1" applyProtection="1">
      <protection locked="0" hidden="1"/>
    </xf>
    <xf numFmtId="201" fontId="80" fillId="0" borderId="49" xfId="77" applyNumberFormat="1" applyFont="1" applyFill="1" applyBorder="1" applyAlignment="1" applyProtection="1">
      <protection locked="0" hidden="1"/>
    </xf>
    <xf numFmtId="0" fontId="80" fillId="0" borderId="49" xfId="0" applyFont="1" applyBorder="1" applyProtection="1">
      <protection hidden="1"/>
    </xf>
    <xf numFmtId="0" fontId="80" fillId="0" borderId="20" xfId="0" applyFont="1" applyBorder="1" applyAlignment="1" applyProtection="1">
      <alignment horizontal="left"/>
      <protection hidden="1"/>
    </xf>
    <xf numFmtId="0" fontId="134" fillId="0" borderId="54" xfId="0" applyFont="1" applyBorder="1" applyProtection="1">
      <protection hidden="1"/>
    </xf>
    <xf numFmtId="0" fontId="134" fillId="0" borderId="49" xfId="0" applyFont="1" applyBorder="1" applyAlignment="1" applyProtection="1">
      <alignment horizontal="center"/>
      <protection hidden="1"/>
    </xf>
    <xf numFmtId="187" fontId="134" fillId="0" borderId="53" xfId="77" applyFont="1" applyFill="1" applyBorder="1" applyAlignment="1" applyProtection="1">
      <protection hidden="1"/>
    </xf>
    <xf numFmtId="187" fontId="80" fillId="0" borderId="33" xfId="77" applyFont="1" applyFill="1" applyBorder="1" applyAlignment="1" applyProtection="1">
      <protection hidden="1"/>
    </xf>
    <xf numFmtId="187" fontId="80" fillId="0" borderId="50" xfId="77" applyFont="1" applyFill="1" applyBorder="1" applyAlignment="1" applyProtection="1">
      <protection hidden="1"/>
    </xf>
    <xf numFmtId="187" fontId="80" fillId="0" borderId="49" xfId="77" applyFont="1" applyFill="1" applyBorder="1" applyAlignment="1" applyProtection="1">
      <protection hidden="1"/>
    </xf>
    <xf numFmtId="187" fontId="80" fillId="0" borderId="54" xfId="77" applyFont="1" applyFill="1" applyBorder="1" applyAlignment="1" applyProtection="1">
      <protection hidden="1"/>
    </xf>
    <xf numFmtId="187" fontId="79" fillId="0" borderId="21" xfId="77" applyFont="1" applyFill="1" applyBorder="1" applyAlignment="1" applyProtection="1">
      <protection hidden="1"/>
    </xf>
    <xf numFmtId="187" fontId="80" fillId="0" borderId="20" xfId="77" applyFont="1" applyFill="1" applyBorder="1" applyAlignment="1" applyProtection="1">
      <protection hidden="1"/>
    </xf>
    <xf numFmtId="187" fontId="80" fillId="0" borderId="17" xfId="77" applyFont="1" applyFill="1" applyBorder="1" applyAlignment="1" applyProtection="1">
      <alignment horizontal="center"/>
      <protection hidden="1"/>
    </xf>
    <xf numFmtId="0" fontId="80" fillId="0" borderId="53" xfId="0" applyFont="1" applyBorder="1" applyProtection="1">
      <protection hidden="1"/>
    </xf>
    <xf numFmtId="0" fontId="80" fillId="0" borderId="33" xfId="0" applyFont="1" applyBorder="1" applyProtection="1">
      <protection hidden="1"/>
    </xf>
    <xf numFmtId="0" fontId="80" fillId="0" borderId="50" xfId="0" applyFont="1" applyBorder="1" applyProtection="1">
      <protection hidden="1"/>
    </xf>
    <xf numFmtId="0" fontId="136" fillId="0" borderId="17" xfId="0" applyFont="1" applyBorder="1" applyAlignment="1" applyProtection="1">
      <alignment horizontal="center"/>
      <protection hidden="1"/>
    </xf>
    <xf numFmtId="0" fontId="134" fillId="0" borderId="17" xfId="0" applyFont="1" applyBorder="1" applyAlignment="1" applyProtection="1">
      <alignment horizontal="center"/>
      <protection hidden="1"/>
    </xf>
    <xf numFmtId="187" fontId="80" fillId="0" borderId="34" xfId="77" applyFont="1" applyFill="1" applyBorder="1" applyAlignment="1" applyProtection="1">
      <protection locked="0" hidden="1"/>
    </xf>
    <xf numFmtId="201" fontId="80" fillId="0" borderId="34" xfId="77" applyNumberFormat="1" applyFont="1" applyFill="1" applyBorder="1" applyAlignment="1" applyProtection="1">
      <protection locked="0" hidden="1"/>
    </xf>
    <xf numFmtId="0" fontId="80" fillId="0" borderId="34" xfId="0" applyFont="1" applyBorder="1" applyAlignment="1" applyProtection="1">
      <alignment horizontal="center"/>
      <protection hidden="1"/>
    </xf>
    <xf numFmtId="0" fontId="80" fillId="0" borderId="51" xfId="0" applyFont="1" applyBorder="1" applyProtection="1">
      <protection hidden="1"/>
    </xf>
    <xf numFmtId="0" fontId="80" fillId="0" borderId="55" xfId="0" applyFont="1" applyBorder="1" applyProtection="1">
      <protection hidden="1"/>
    </xf>
    <xf numFmtId="0" fontId="80" fillId="0" borderId="56" xfId="0" applyFont="1" applyBorder="1" applyProtection="1">
      <protection hidden="1"/>
    </xf>
    <xf numFmtId="0" fontId="137" fillId="0" borderId="54" xfId="0" applyFont="1" applyBorder="1" applyProtection="1">
      <protection hidden="1"/>
    </xf>
    <xf numFmtId="0" fontId="80" fillId="0" borderId="20" xfId="0" applyFont="1" applyBorder="1" applyAlignment="1" applyProtection="1">
      <alignment horizontal="center"/>
      <protection hidden="1"/>
    </xf>
    <xf numFmtId="41" fontId="80" fillId="0" borderId="0" xfId="77" applyNumberFormat="1" applyFont="1" applyFill="1" applyAlignment="1" applyProtection="1">
      <protection hidden="1"/>
    </xf>
    <xf numFmtId="187" fontId="54" fillId="0" borderId="0" xfId="77" applyFont="1" applyFill="1" applyProtection="1">
      <protection hidden="1"/>
    </xf>
    <xf numFmtId="0" fontId="54" fillId="0" borderId="27" xfId="0" applyFont="1" applyBorder="1" applyProtection="1">
      <protection hidden="1"/>
    </xf>
    <xf numFmtId="0" fontId="80" fillId="0" borderId="12" xfId="0" applyFont="1" applyBorder="1" applyAlignment="1" applyProtection="1">
      <alignment horizontal="centerContinuous"/>
      <protection hidden="1"/>
    </xf>
    <xf numFmtId="0" fontId="135" fillId="0" borderId="57" xfId="0" applyFont="1" applyBorder="1" applyAlignment="1" applyProtection="1">
      <alignment horizontal="left"/>
      <protection hidden="1"/>
    </xf>
    <xf numFmtId="0" fontId="135" fillId="0" borderId="16" xfId="0" applyFont="1" applyBorder="1" applyAlignment="1" applyProtection="1">
      <alignment horizontal="left"/>
      <protection hidden="1"/>
    </xf>
    <xf numFmtId="0" fontId="135" fillId="0" borderId="15" xfId="0" applyFont="1" applyBorder="1" applyAlignment="1" applyProtection="1">
      <alignment horizontal="left"/>
      <protection hidden="1"/>
    </xf>
    <xf numFmtId="0" fontId="134" fillId="0" borderId="17" xfId="0" applyFont="1" applyBorder="1" applyAlignment="1" applyProtection="1">
      <alignment horizontal="centerContinuous"/>
      <protection hidden="1"/>
    </xf>
    <xf numFmtId="0" fontId="134" fillId="0" borderId="21" xfId="0" applyFont="1" applyBorder="1" applyProtection="1">
      <protection hidden="1"/>
    </xf>
    <xf numFmtId="0" fontId="134" fillId="0" borderId="20" xfId="0" applyFont="1" applyBorder="1" applyProtection="1">
      <protection hidden="1"/>
    </xf>
    <xf numFmtId="0" fontId="80" fillId="0" borderId="17" xfId="0" applyFont="1" applyBorder="1" applyAlignment="1" applyProtection="1">
      <alignment horizontal="centerContinuous"/>
      <protection hidden="1"/>
    </xf>
    <xf numFmtId="0" fontId="80" fillId="0" borderId="54" xfId="0" applyFont="1" applyBorder="1" applyAlignment="1" applyProtection="1">
      <alignment horizontal="left" vertical="center"/>
      <protection hidden="1"/>
    </xf>
    <xf numFmtId="0" fontId="80" fillId="0" borderId="21" xfId="0" applyFont="1" applyBorder="1" applyAlignment="1" applyProtection="1">
      <alignment horizontal="left" vertical="center"/>
      <protection hidden="1"/>
    </xf>
    <xf numFmtId="0" fontId="80" fillId="0" borderId="20" xfId="0" applyFont="1" applyBorder="1" applyAlignment="1" applyProtection="1">
      <alignment horizontal="left" vertical="center"/>
      <protection hidden="1"/>
    </xf>
    <xf numFmtId="0" fontId="134" fillId="0" borderId="54" xfId="0" applyFont="1" applyBorder="1" applyAlignment="1" applyProtection="1">
      <alignment horizontal="left" vertical="center"/>
      <protection hidden="1"/>
    </xf>
    <xf numFmtId="0" fontId="134" fillId="0" borderId="21" xfId="0" applyFont="1" applyBorder="1" applyAlignment="1" applyProtection="1">
      <alignment horizontal="left" vertical="center"/>
      <protection hidden="1"/>
    </xf>
    <xf numFmtId="0" fontId="134" fillId="0" borderId="20" xfId="0" applyFont="1" applyBorder="1" applyAlignment="1" applyProtection="1">
      <alignment horizontal="left" vertical="center"/>
      <protection hidden="1"/>
    </xf>
    <xf numFmtId="0" fontId="79" fillId="0" borderId="54" xfId="0" applyFont="1" applyBorder="1" applyProtection="1">
      <protection hidden="1"/>
    </xf>
    <xf numFmtId="0" fontId="134" fillId="0" borderId="49" xfId="0" applyFont="1" applyBorder="1" applyAlignment="1" applyProtection="1">
      <alignment horizontal="centerContinuous"/>
      <protection hidden="1"/>
    </xf>
    <xf numFmtId="0" fontId="134" fillId="0" borderId="53" xfId="0" applyFont="1" applyBorder="1" applyProtection="1">
      <protection hidden="1"/>
    </xf>
    <xf numFmtId="0" fontId="134" fillId="0" borderId="33" xfId="0" applyFont="1" applyBorder="1" applyProtection="1">
      <protection hidden="1"/>
    </xf>
    <xf numFmtId="0" fontId="134" fillId="0" borderId="50" xfId="0" applyFont="1" applyBorder="1" applyProtection="1">
      <protection hidden="1"/>
    </xf>
    <xf numFmtId="41" fontId="80" fillId="0" borderId="34" xfId="77" applyNumberFormat="1" applyFont="1" applyFill="1" applyBorder="1" applyAlignment="1" applyProtection="1">
      <protection locked="0" hidden="1"/>
    </xf>
    <xf numFmtId="2" fontId="54" fillId="0" borderId="0" xfId="0" applyNumberFormat="1" applyFont="1" applyAlignment="1" applyProtection="1">
      <alignment horizontal="center"/>
      <protection hidden="1"/>
    </xf>
    <xf numFmtId="0" fontId="80" fillId="0" borderId="55" xfId="0" applyFont="1" applyBorder="1" applyAlignment="1" applyProtection="1">
      <alignment horizontal="left"/>
      <protection hidden="1"/>
    </xf>
    <xf numFmtId="43" fontId="53" fillId="0" borderId="0" xfId="80" applyFont="1" applyBorder="1" applyProtection="1"/>
    <xf numFmtId="0" fontId="84" fillId="11" borderId="1" xfId="84" applyFont="1" applyFill="1" applyBorder="1" applyAlignment="1">
      <alignment horizontal="center"/>
    </xf>
    <xf numFmtId="0" fontId="84" fillId="11" borderId="3" xfId="84" applyFont="1" applyFill="1" applyBorder="1" applyAlignment="1">
      <alignment horizontal="center"/>
    </xf>
    <xf numFmtId="0" fontId="54" fillId="0" borderId="0" xfId="82" applyFont="1" applyAlignment="1">
      <alignment horizontal="center"/>
    </xf>
    <xf numFmtId="187" fontId="53" fillId="0" borderId="4" xfId="82" applyNumberFormat="1" applyFont="1" applyBorder="1"/>
    <xf numFmtId="0" fontId="80" fillId="0" borderId="23" xfId="0" applyFont="1" applyBorder="1" applyAlignment="1" applyProtection="1">
      <alignment horizontal="center"/>
      <protection hidden="1"/>
    </xf>
    <xf numFmtId="0" fontId="137" fillId="0" borderId="52" xfId="0" applyFont="1" applyBorder="1" applyProtection="1">
      <protection hidden="1"/>
    </xf>
    <xf numFmtId="0" fontId="80" fillId="0" borderId="24" xfId="0" applyFont="1" applyBorder="1" applyProtection="1">
      <protection hidden="1"/>
    </xf>
    <xf numFmtId="0" fontId="80" fillId="0" borderId="25" xfId="0" applyFont="1" applyBorder="1" applyProtection="1">
      <protection hidden="1"/>
    </xf>
    <xf numFmtId="187" fontId="80" fillId="0" borderId="23" xfId="77" applyFont="1" applyFill="1" applyBorder="1" applyAlignment="1" applyProtection="1">
      <protection locked="0" hidden="1"/>
    </xf>
    <xf numFmtId="201" fontId="80" fillId="0" borderId="23" xfId="77" applyNumberFormat="1" applyFont="1" applyFill="1" applyBorder="1" applyAlignment="1" applyProtection="1">
      <protection locked="0" hidden="1"/>
    </xf>
    <xf numFmtId="0" fontId="80" fillId="0" borderId="49" xfId="0" applyFont="1" applyBorder="1" applyAlignment="1" applyProtection="1">
      <alignment horizontal="centerContinuous"/>
      <protection hidden="1"/>
    </xf>
    <xf numFmtId="0" fontId="135" fillId="0" borderId="53" xfId="0" applyFont="1" applyBorder="1" applyAlignment="1" applyProtection="1">
      <alignment horizontal="left"/>
      <protection hidden="1"/>
    </xf>
    <xf numFmtId="0" fontId="135" fillId="0" borderId="33" xfId="0" applyFont="1" applyBorder="1" applyAlignment="1" applyProtection="1">
      <alignment horizontal="left"/>
      <protection hidden="1"/>
    </xf>
    <xf numFmtId="0" fontId="135" fillId="0" borderId="50" xfId="0" applyFont="1" applyBorder="1" applyAlignment="1" applyProtection="1">
      <alignment horizontal="left"/>
      <protection hidden="1"/>
    </xf>
    <xf numFmtId="0" fontId="56" fillId="0" borderId="49" xfId="0" applyFont="1" applyBorder="1" applyAlignment="1" applyProtection="1">
      <alignment horizontal="center"/>
      <protection hidden="1"/>
    </xf>
    <xf numFmtId="0" fontId="134" fillId="0" borderId="23" xfId="0" applyFont="1" applyBorder="1" applyAlignment="1" applyProtection="1">
      <alignment horizontal="center"/>
      <protection hidden="1"/>
    </xf>
    <xf numFmtId="0" fontId="80" fillId="0" borderId="23" xfId="0" applyFont="1" applyBorder="1" applyProtection="1">
      <protection hidden="1"/>
    </xf>
    <xf numFmtId="0" fontId="80" fillId="0" borderId="52" xfId="0" applyFont="1" applyBorder="1" applyProtection="1">
      <protection hidden="1"/>
    </xf>
    <xf numFmtId="41" fontId="80" fillId="0" borderId="23" xfId="77" applyNumberFormat="1" applyFont="1" applyFill="1" applyBorder="1" applyAlignment="1" applyProtection="1">
      <protection locked="0" hidden="1"/>
    </xf>
    <xf numFmtId="0" fontId="135" fillId="0" borderId="49" xfId="0" applyFont="1" applyBorder="1" applyProtection="1">
      <protection hidden="1"/>
    </xf>
    <xf numFmtId="187" fontId="81" fillId="0" borderId="4" xfId="77" applyFont="1" applyFill="1" applyBorder="1"/>
    <xf numFmtId="0" fontId="79" fillId="0" borderId="17" xfId="0" applyFont="1" applyBorder="1" applyAlignment="1" applyProtection="1">
      <alignment horizontal="center"/>
      <protection hidden="1"/>
    </xf>
    <xf numFmtId="0" fontId="79" fillId="0" borderId="23" xfId="0" applyFont="1" applyBorder="1" applyAlignment="1" applyProtection="1">
      <alignment horizontal="center"/>
      <protection hidden="1"/>
    </xf>
    <xf numFmtId="0" fontId="77" fillId="0" borderId="12" xfId="0" applyFont="1" applyBorder="1" applyAlignment="1" applyProtection="1">
      <alignment horizontal="centerContinuous"/>
      <protection hidden="1"/>
    </xf>
    <xf numFmtId="0" fontId="78" fillId="0" borderId="57" xfId="0" applyFont="1" applyBorder="1" applyAlignment="1" applyProtection="1">
      <alignment horizontal="left"/>
      <protection hidden="1"/>
    </xf>
    <xf numFmtId="0" fontId="78" fillId="0" borderId="16" xfId="0" applyFont="1" applyBorder="1" applyAlignment="1" applyProtection="1">
      <alignment horizontal="left"/>
      <protection hidden="1"/>
    </xf>
    <xf numFmtId="0" fontId="77" fillId="0" borderId="12" xfId="0" applyFont="1" applyBorder="1" applyAlignment="1" applyProtection="1">
      <alignment horizontal="center"/>
      <protection hidden="1"/>
    </xf>
    <xf numFmtId="0" fontId="52" fillId="0" borderId="17" xfId="0" applyFont="1" applyBorder="1" applyAlignment="1" applyProtection="1">
      <alignment horizontal="centerContinuous"/>
      <protection hidden="1"/>
    </xf>
    <xf numFmtId="0" fontId="52" fillId="0" borderId="54" xfId="0" applyFont="1" applyBorder="1" applyProtection="1">
      <protection hidden="1"/>
    </xf>
    <xf numFmtId="0" fontId="52" fillId="0" borderId="21" xfId="0" applyFont="1" applyBorder="1" applyProtection="1">
      <protection hidden="1"/>
    </xf>
    <xf numFmtId="0" fontId="77" fillId="0" borderId="17" xfId="0" applyFont="1" applyBorder="1" applyProtection="1">
      <protection hidden="1"/>
    </xf>
    <xf numFmtId="0" fontId="77" fillId="0" borderId="17" xfId="0" applyFont="1" applyBorder="1" applyAlignment="1" applyProtection="1">
      <alignment horizontal="centerContinuous"/>
      <protection hidden="1"/>
    </xf>
    <xf numFmtId="0" fontId="77" fillId="0" borderId="54" xfId="0" applyFont="1" applyBorder="1" applyProtection="1">
      <protection hidden="1"/>
    </xf>
    <xf numFmtId="0" fontId="77" fillId="0" borderId="21" xfId="0" applyFont="1" applyBorder="1" applyProtection="1">
      <protection hidden="1"/>
    </xf>
    <xf numFmtId="0" fontId="77" fillId="0" borderId="17" xfId="0" applyFont="1" applyBorder="1" applyAlignment="1" applyProtection="1">
      <alignment horizontal="center"/>
      <protection hidden="1"/>
    </xf>
    <xf numFmtId="0" fontId="77" fillId="0" borderId="54" xfId="0" applyFont="1" applyBorder="1" applyAlignment="1" applyProtection="1">
      <alignment horizontal="left" vertical="center"/>
      <protection hidden="1"/>
    </xf>
    <xf numFmtId="0" fontId="77" fillId="0" borderId="21" xfId="0" applyFont="1" applyBorder="1" applyAlignment="1" applyProtection="1">
      <alignment horizontal="left" vertical="center"/>
      <protection hidden="1"/>
    </xf>
    <xf numFmtId="0" fontId="52" fillId="0" borderId="54" xfId="0" applyFont="1" applyBorder="1" applyAlignment="1" applyProtection="1">
      <alignment horizontal="left" vertical="center"/>
      <protection hidden="1"/>
    </xf>
    <xf numFmtId="0" fontId="52" fillId="0" borderId="21" xfId="0" applyFont="1" applyBorder="1" applyAlignment="1" applyProtection="1">
      <alignment horizontal="left" vertical="center"/>
      <protection hidden="1"/>
    </xf>
    <xf numFmtId="0" fontId="52" fillId="0" borderId="53" xfId="0" applyFont="1" applyBorder="1" applyProtection="1">
      <protection hidden="1"/>
    </xf>
    <xf numFmtId="0" fontId="52" fillId="0" borderId="33" xfId="0" applyFont="1" applyBorder="1" applyProtection="1">
      <protection hidden="1"/>
    </xf>
    <xf numFmtId="0" fontId="77" fillId="0" borderId="49" xfId="0" applyFont="1" applyBorder="1" applyAlignment="1" applyProtection="1">
      <alignment horizontal="center"/>
      <protection hidden="1"/>
    </xf>
    <xf numFmtId="0" fontId="77" fillId="0" borderId="49" xfId="0" applyFont="1" applyBorder="1" applyProtection="1">
      <protection hidden="1"/>
    </xf>
    <xf numFmtId="0" fontId="4" fillId="0" borderId="54" xfId="0" applyFont="1" applyBorder="1" applyProtection="1">
      <protection hidden="1"/>
    </xf>
    <xf numFmtId="0" fontId="4" fillId="0" borderId="21" xfId="0" applyFont="1" applyBorder="1" applyProtection="1">
      <protection hidden="1"/>
    </xf>
    <xf numFmtId="0" fontId="77" fillId="0" borderId="53" xfId="0" applyFont="1" applyBorder="1" applyProtection="1">
      <protection hidden="1"/>
    </xf>
    <xf numFmtId="0" fontId="4" fillId="0" borderId="54" xfId="0" applyFont="1" applyBorder="1" applyAlignment="1" applyProtection="1">
      <alignment horizontal="left"/>
      <protection hidden="1"/>
    </xf>
    <xf numFmtId="0" fontId="4" fillId="0" borderId="21" xfId="0" applyFont="1" applyBorder="1" applyAlignment="1" applyProtection="1">
      <alignment horizontal="left"/>
      <protection hidden="1"/>
    </xf>
    <xf numFmtId="0" fontId="77" fillId="0" borderId="34" xfId="0" applyFont="1" applyBorder="1" applyAlignment="1" applyProtection="1">
      <alignment horizontal="center"/>
      <protection hidden="1"/>
    </xf>
    <xf numFmtId="0" fontId="4" fillId="0" borderId="56" xfId="0" applyFont="1" applyBorder="1" applyAlignment="1" applyProtection="1">
      <alignment horizontal="left"/>
      <protection hidden="1"/>
    </xf>
    <xf numFmtId="0" fontId="4" fillId="0" borderId="51" xfId="0" applyFont="1" applyBorder="1" applyAlignment="1" applyProtection="1">
      <alignment horizontal="left"/>
      <protection hidden="1"/>
    </xf>
    <xf numFmtId="41" fontId="77" fillId="0" borderId="34" xfId="77" applyNumberFormat="1" applyFont="1" applyFill="1" applyBorder="1" applyAlignment="1" applyProtection="1">
      <protection locked="0" hidden="1"/>
    </xf>
    <xf numFmtId="187" fontId="77" fillId="0" borderId="34" xfId="77" applyFont="1" applyFill="1" applyBorder="1" applyAlignment="1" applyProtection="1">
      <protection locked="0" hidden="1"/>
    </xf>
    <xf numFmtId="0" fontId="77" fillId="0" borderId="34" xfId="0" applyFont="1" applyBorder="1" applyProtection="1">
      <protection hidden="1"/>
    </xf>
    <xf numFmtId="0" fontId="77" fillId="0" borderId="33" xfId="0" applyFont="1" applyBorder="1" applyProtection="1">
      <protection hidden="1"/>
    </xf>
    <xf numFmtId="0" fontId="52" fillId="0" borderId="17" xfId="0" applyFont="1" applyBorder="1" applyAlignment="1" applyProtection="1">
      <alignment horizontal="center"/>
      <protection hidden="1"/>
    </xf>
    <xf numFmtId="0" fontId="52" fillId="0" borderId="49" xfId="0" applyFont="1" applyBorder="1" applyAlignment="1" applyProtection="1">
      <alignment horizontal="center"/>
      <protection hidden="1"/>
    </xf>
    <xf numFmtId="187" fontId="52" fillId="0" borderId="53" xfId="77" applyFont="1" applyFill="1" applyBorder="1" applyAlignment="1" applyProtection="1">
      <protection hidden="1"/>
    </xf>
    <xf numFmtId="187" fontId="77" fillId="0" borderId="33" xfId="77" applyFont="1" applyFill="1" applyBorder="1" applyAlignment="1" applyProtection="1">
      <protection hidden="1"/>
    </xf>
    <xf numFmtId="187" fontId="77" fillId="0" borderId="49" xfId="77" applyFont="1" applyFill="1" applyBorder="1" applyAlignment="1" applyProtection="1">
      <protection hidden="1"/>
    </xf>
    <xf numFmtId="187" fontId="77" fillId="0" borderId="54" xfId="77" applyFont="1" applyFill="1" applyBorder="1" applyAlignment="1" applyProtection="1">
      <protection hidden="1"/>
    </xf>
    <xf numFmtId="187" fontId="77" fillId="0" borderId="21" xfId="77" applyFont="1" applyFill="1" applyBorder="1" applyAlignment="1" applyProtection="1">
      <protection hidden="1"/>
    </xf>
    <xf numFmtId="187" fontId="77" fillId="0" borderId="17" xfId="77" applyFont="1" applyFill="1" applyBorder="1" applyAlignment="1" applyProtection="1">
      <alignment horizontal="center"/>
      <protection hidden="1"/>
    </xf>
    <xf numFmtId="0" fontId="78" fillId="0" borderId="49" xfId="0" applyFont="1" applyBorder="1" applyProtection="1">
      <protection hidden="1"/>
    </xf>
    <xf numFmtId="0" fontId="52" fillId="0" borderId="23" xfId="0" applyFont="1" applyBorder="1" applyAlignment="1" applyProtection="1">
      <alignment horizontal="center"/>
      <protection hidden="1"/>
    </xf>
    <xf numFmtId="0" fontId="77" fillId="0" borderId="23" xfId="0" applyFont="1" applyBorder="1" applyProtection="1">
      <protection hidden="1"/>
    </xf>
    <xf numFmtId="0" fontId="77" fillId="0" borderId="52" xfId="0" applyFont="1" applyBorder="1" applyProtection="1">
      <protection hidden="1"/>
    </xf>
    <xf numFmtId="0" fontId="77" fillId="0" borderId="23" xfId="0" applyFont="1" applyBorder="1" applyAlignment="1" applyProtection="1">
      <alignment horizontal="center"/>
      <protection hidden="1"/>
    </xf>
    <xf numFmtId="0" fontId="77" fillId="0" borderId="49" xfId="0" applyFont="1" applyBorder="1" applyAlignment="1" applyProtection="1">
      <alignment horizontal="centerContinuous"/>
      <protection hidden="1"/>
    </xf>
    <xf numFmtId="0" fontId="78" fillId="0" borderId="53" xfId="0" applyFont="1" applyBorder="1" applyAlignment="1" applyProtection="1">
      <alignment horizontal="left"/>
      <protection hidden="1"/>
    </xf>
    <xf numFmtId="0" fontId="78" fillId="0" borderId="33" xfId="0" applyFont="1" applyBorder="1" applyAlignment="1" applyProtection="1">
      <alignment horizontal="left"/>
      <protection hidden="1"/>
    </xf>
    <xf numFmtId="0" fontId="77" fillId="0" borderId="20" xfId="0" applyFont="1" applyBorder="1" applyAlignment="1" applyProtection="1">
      <alignment horizontal="center"/>
      <protection hidden="1"/>
    </xf>
    <xf numFmtId="0" fontId="77" fillId="0" borderId="24" xfId="0" applyFont="1" applyBorder="1" applyProtection="1">
      <protection hidden="1"/>
    </xf>
    <xf numFmtId="0" fontId="77" fillId="0" borderId="25" xfId="0" applyFont="1" applyBorder="1" applyAlignment="1" applyProtection="1">
      <alignment horizontal="center"/>
      <protection hidden="1"/>
    </xf>
    <xf numFmtId="0" fontId="53" fillId="0" borderId="17" xfId="0" applyFont="1" applyBorder="1" applyProtection="1">
      <protection locked="0"/>
    </xf>
    <xf numFmtId="0" fontId="80" fillId="0" borderId="17" xfId="0" applyFont="1" applyBorder="1" applyProtection="1">
      <protection locked="0"/>
    </xf>
    <xf numFmtId="0" fontId="77" fillId="0" borderId="23" xfId="0" applyFont="1" applyBorder="1" applyAlignment="1" applyProtection="1">
      <alignment horizontal="centerContinuous"/>
      <protection hidden="1"/>
    </xf>
    <xf numFmtId="0" fontId="4" fillId="0" borderId="52" xfId="0" applyFont="1" applyBorder="1" applyProtection="1">
      <protection hidden="1"/>
    </xf>
    <xf numFmtId="0" fontId="4" fillId="0" borderId="24" xfId="0" applyFont="1" applyBorder="1" applyProtection="1">
      <protection hidden="1"/>
    </xf>
    <xf numFmtId="0" fontId="82" fillId="0" borderId="54" xfId="0" applyFont="1" applyBorder="1" applyProtection="1">
      <protection hidden="1"/>
    </xf>
    <xf numFmtId="0" fontId="53" fillId="0" borderId="49" xfId="0" applyFont="1" applyBorder="1" applyAlignment="1" applyProtection="1">
      <alignment horizontal="center"/>
      <protection hidden="1"/>
    </xf>
    <xf numFmtId="0" fontId="52" fillId="0" borderId="0" xfId="0" applyFont="1" applyProtection="1">
      <protection hidden="1"/>
    </xf>
    <xf numFmtId="49" fontId="52" fillId="0" borderId="0" xfId="77" applyNumberFormat="1" applyFont="1" applyFill="1" applyAlignment="1" applyProtection="1">
      <alignment horizontal="center"/>
      <protection hidden="1"/>
    </xf>
    <xf numFmtId="0" fontId="55" fillId="16" borderId="0" xfId="81" applyFont="1" applyFill="1" applyAlignment="1">
      <alignment vertical="center"/>
    </xf>
    <xf numFmtId="0" fontId="26" fillId="16" borderId="0" xfId="85" applyFill="1"/>
    <xf numFmtId="0" fontId="55" fillId="16" borderId="0" xfId="81" applyFont="1" applyFill="1" applyAlignment="1">
      <alignment horizontal="left" vertical="center"/>
    </xf>
    <xf numFmtId="0" fontId="53" fillId="16" borderId="0" xfId="81" applyFont="1" applyFill="1" applyAlignment="1">
      <alignment vertical="center"/>
    </xf>
    <xf numFmtId="0" fontId="53" fillId="16" borderId="0" xfId="81" applyFont="1" applyFill="1" applyAlignment="1">
      <alignment horizontal="left" vertical="center"/>
    </xf>
    <xf numFmtId="43" fontId="53" fillId="16" borderId="0" xfId="81" applyNumberFormat="1" applyFont="1" applyFill="1" applyAlignment="1">
      <alignment vertical="center"/>
    </xf>
    <xf numFmtId="188" fontId="53" fillId="16" borderId="0" xfId="81" applyNumberFormat="1" applyFont="1" applyFill="1" applyAlignment="1">
      <alignment horizontal="center" vertical="center"/>
    </xf>
    <xf numFmtId="0" fontId="53" fillId="16" borderId="0" xfId="81" applyFont="1" applyFill="1" applyAlignment="1">
      <alignment horizontal="center" vertical="center"/>
    </xf>
    <xf numFmtId="43" fontId="53" fillId="16" borderId="0" xfId="81" applyNumberFormat="1" applyFont="1" applyFill="1" applyAlignment="1">
      <alignment horizontal="center" vertical="center"/>
    </xf>
    <xf numFmtId="9" fontId="53" fillId="16" borderId="0" xfId="81" applyNumberFormat="1" applyFont="1" applyFill="1" applyAlignment="1">
      <alignment horizontal="center" vertical="center"/>
    </xf>
    <xf numFmtId="0" fontId="55" fillId="16" borderId="0" xfId="81" applyFont="1" applyFill="1" applyAlignment="1">
      <alignment horizontal="center" vertical="center"/>
    </xf>
    <xf numFmtId="2" fontId="53" fillId="16" borderId="0" xfId="81" applyNumberFormat="1" applyFont="1" applyFill="1" applyAlignment="1">
      <alignment horizontal="center" vertical="center"/>
    </xf>
    <xf numFmtId="4" fontId="53" fillId="16" borderId="0" xfId="81" applyNumberFormat="1" applyFont="1" applyFill="1" applyAlignment="1">
      <alignment horizontal="center" vertical="center"/>
    </xf>
    <xf numFmtId="0" fontId="26" fillId="16" borderId="0" xfId="81" applyFont="1" applyFill="1"/>
    <xf numFmtId="0" fontId="93" fillId="16" borderId="0" xfId="81" applyFont="1" applyFill="1" applyAlignment="1">
      <alignment vertical="center"/>
    </xf>
    <xf numFmtId="194" fontId="53" fillId="16" borderId="0" xfId="80" applyNumberFormat="1" applyFont="1" applyFill="1" applyBorder="1" applyAlignment="1">
      <alignment horizontal="center" vertical="center"/>
    </xf>
    <xf numFmtId="0" fontId="93" fillId="16" borderId="0" xfId="86" applyFont="1" applyFill="1" applyAlignment="1">
      <alignment vertical="center"/>
    </xf>
    <xf numFmtId="188" fontId="53" fillId="16" borderId="0" xfId="81" applyNumberFormat="1" applyFont="1" applyFill="1" applyAlignment="1">
      <alignment vertical="center"/>
    </xf>
    <xf numFmtId="0" fontId="53" fillId="16" borderId="0" xfId="86" applyFont="1" applyFill="1"/>
    <xf numFmtId="1" fontId="53" fillId="16" borderId="0" xfId="81" applyNumberFormat="1" applyFont="1" applyFill="1" applyAlignment="1">
      <alignment horizontal="center" vertical="center"/>
    </xf>
    <xf numFmtId="0" fontId="3" fillId="16" borderId="0" xfId="81" applyFont="1" applyFill="1" applyAlignment="1" applyProtection="1">
      <alignment vertical="center"/>
      <protection locked="0" hidden="1"/>
    </xf>
    <xf numFmtId="4" fontId="26" fillId="16" borderId="0" xfId="81" applyNumberFormat="1" applyFont="1" applyFill="1"/>
    <xf numFmtId="2" fontId="26" fillId="16" borderId="0" xfId="81" applyNumberFormat="1" applyFont="1" applyFill="1"/>
    <xf numFmtId="41" fontId="53" fillId="16" borderId="0" xfId="81" applyNumberFormat="1" applyFont="1" applyFill="1" applyAlignment="1">
      <alignment vertical="center"/>
    </xf>
    <xf numFmtId="187" fontId="53" fillId="0" borderId="0" xfId="77" applyFont="1" applyBorder="1"/>
    <xf numFmtId="43" fontId="53" fillId="0" borderId="0" xfId="80" applyFont="1" applyBorder="1" applyAlignment="1">
      <alignment horizontal="center"/>
    </xf>
    <xf numFmtId="43" fontId="26" fillId="16" borderId="0" xfId="81" applyNumberFormat="1" applyFont="1" applyFill="1"/>
    <xf numFmtId="0" fontId="53" fillId="0" borderId="0" xfId="81" applyFont="1" applyAlignment="1">
      <alignment vertical="center"/>
    </xf>
    <xf numFmtId="0" fontId="140" fillId="0" borderId="0" xfId="85" applyFont="1"/>
    <xf numFmtId="0" fontId="80" fillId="0" borderId="0" xfId="277" applyFont="1" applyProtection="1">
      <protection hidden="1"/>
    </xf>
    <xf numFmtId="41" fontId="52" fillId="0" borderId="0" xfId="78" applyNumberFormat="1" applyFont="1" applyFill="1" applyAlignment="1" applyProtection="1">
      <alignment horizontal="left"/>
      <protection hidden="1"/>
    </xf>
    <xf numFmtId="41" fontId="54" fillId="0" borderId="0" xfId="78" applyNumberFormat="1" applyFont="1" applyFill="1" applyAlignment="1" applyProtection="1">
      <protection hidden="1"/>
    </xf>
    <xf numFmtId="0" fontId="53" fillId="0" borderId="0" xfId="277" applyFont="1" applyProtection="1">
      <protection hidden="1"/>
    </xf>
    <xf numFmtId="0" fontId="53" fillId="0" borderId="0" xfId="277" applyFont="1" applyAlignment="1" applyProtection="1">
      <alignment horizontal="center"/>
      <protection hidden="1"/>
    </xf>
    <xf numFmtId="187" fontId="54" fillId="0" borderId="0" xfId="277" applyNumberFormat="1" applyFont="1" applyProtection="1">
      <protection hidden="1"/>
    </xf>
    <xf numFmtId="0" fontId="54" fillId="0" borderId="0" xfId="277" applyFont="1" applyProtection="1">
      <protection hidden="1"/>
    </xf>
    <xf numFmtId="0" fontId="52" fillId="0" borderId="0" xfId="245" quotePrefix="1" applyFont="1" applyAlignment="1" applyProtection="1">
      <alignment horizontal="left"/>
      <protection hidden="1"/>
    </xf>
    <xf numFmtId="0" fontId="54" fillId="0" borderId="27" xfId="277" applyFont="1" applyBorder="1" applyProtection="1">
      <protection hidden="1"/>
    </xf>
    <xf numFmtId="0" fontId="54" fillId="0" borderId="0" xfId="277" applyFont="1" applyAlignment="1" applyProtection="1">
      <alignment horizontal="center"/>
      <protection hidden="1"/>
    </xf>
    <xf numFmtId="49" fontId="52" fillId="0" borderId="0" xfId="78" applyNumberFormat="1" applyFont="1" applyFill="1" applyAlignment="1" applyProtection="1">
      <alignment horizontal="center"/>
      <protection hidden="1"/>
    </xf>
    <xf numFmtId="0" fontId="52" fillId="0" borderId="0" xfId="277" applyFont="1" applyProtection="1">
      <protection hidden="1"/>
    </xf>
    <xf numFmtId="187" fontId="52" fillId="0" borderId="94" xfId="78" applyFont="1" applyFill="1" applyBorder="1" applyAlignment="1" applyProtection="1">
      <alignment horizontal="center" vertical="center" wrapText="1"/>
      <protection hidden="1"/>
    </xf>
    <xf numFmtId="187" fontId="52" fillId="0" borderId="8" xfId="78" applyFont="1" applyFill="1" applyBorder="1" applyAlignment="1" applyProtection="1">
      <alignment horizontal="center" vertical="center" wrapText="1"/>
      <protection hidden="1"/>
    </xf>
    <xf numFmtId="0" fontId="77" fillId="0" borderId="12" xfId="277" applyFont="1" applyBorder="1" applyAlignment="1" applyProtection="1">
      <alignment horizontal="centerContinuous"/>
      <protection hidden="1"/>
    </xf>
    <xf numFmtId="0" fontId="77" fillId="0" borderId="57" xfId="277" applyFont="1" applyBorder="1" applyAlignment="1" applyProtection="1">
      <alignment horizontal="left"/>
      <protection hidden="1"/>
    </xf>
    <xf numFmtId="0" fontId="77" fillId="0" borderId="16" xfId="277" applyFont="1" applyBorder="1" applyAlignment="1" applyProtection="1">
      <alignment horizontal="left"/>
      <protection hidden="1"/>
    </xf>
    <xf numFmtId="41" fontId="77" fillId="0" borderId="12" xfId="78" applyNumberFormat="1" applyFont="1" applyFill="1" applyBorder="1" applyAlignment="1" applyProtection="1">
      <protection locked="0" hidden="1"/>
    </xf>
    <xf numFmtId="0" fontId="77" fillId="0" borderId="12" xfId="277" applyFont="1" applyBorder="1" applyAlignment="1" applyProtection="1">
      <alignment horizontal="center"/>
      <protection hidden="1"/>
    </xf>
    <xf numFmtId="187" fontId="77" fillId="0" borderId="12" xfId="78" applyFont="1" applyFill="1" applyBorder="1" applyAlignment="1" applyProtection="1">
      <protection locked="0" hidden="1"/>
    </xf>
    <xf numFmtId="0" fontId="77" fillId="0" borderId="17" xfId="277" applyFont="1" applyBorder="1" applyProtection="1">
      <protection hidden="1"/>
    </xf>
    <xf numFmtId="0" fontId="77" fillId="0" borderId="17" xfId="277" applyFont="1" applyBorder="1" applyAlignment="1" applyProtection="1">
      <alignment horizontal="centerContinuous"/>
      <protection hidden="1"/>
    </xf>
    <xf numFmtId="0" fontId="77" fillId="0" borderId="54" xfId="277" applyFont="1" applyBorder="1" applyAlignment="1" applyProtection="1">
      <alignment horizontal="left"/>
      <protection hidden="1"/>
    </xf>
    <xf numFmtId="0" fontId="77" fillId="0" borderId="21" xfId="277" applyFont="1" applyBorder="1" applyProtection="1">
      <protection hidden="1"/>
    </xf>
    <xf numFmtId="187" fontId="77" fillId="0" borderId="17" xfId="78" applyFont="1" applyFill="1" applyBorder="1" applyAlignment="1" applyProtection="1">
      <protection locked="0" hidden="1"/>
    </xf>
    <xf numFmtId="0" fontId="77" fillId="0" borderId="54" xfId="277" applyFont="1" applyBorder="1" applyProtection="1">
      <protection hidden="1"/>
    </xf>
    <xf numFmtId="0" fontId="77" fillId="0" borderId="21" xfId="277" applyFont="1" applyBorder="1" applyAlignment="1" applyProtection="1">
      <alignment horizontal="left" vertical="center"/>
      <protection hidden="1"/>
    </xf>
    <xf numFmtId="0" fontId="80" fillId="0" borderId="17" xfId="277" applyFont="1" applyBorder="1" applyProtection="1">
      <protection locked="0"/>
    </xf>
    <xf numFmtId="0" fontId="77" fillId="0" borderId="17" xfId="277" applyFont="1" applyBorder="1" applyAlignment="1" applyProtection="1">
      <alignment horizontal="center"/>
      <protection hidden="1"/>
    </xf>
    <xf numFmtId="187" fontId="77" fillId="0" borderId="17" xfId="78" applyFont="1" applyFill="1" applyBorder="1" applyAlignment="1" applyProtection="1">
      <alignment horizontal="left"/>
      <protection locked="0" hidden="1"/>
    </xf>
    <xf numFmtId="0" fontId="77" fillId="0" borderId="17" xfId="277" applyFont="1" applyBorder="1" applyAlignment="1" applyProtection="1">
      <alignment horizontal="left"/>
      <protection hidden="1"/>
    </xf>
    <xf numFmtId="0" fontId="80" fillId="0" borderId="0" xfId="277" applyFont="1" applyAlignment="1" applyProtection="1">
      <alignment horizontal="left"/>
      <protection hidden="1"/>
    </xf>
    <xf numFmtId="0" fontId="77" fillId="0" borderId="23" xfId="277" applyFont="1" applyBorder="1" applyAlignment="1" applyProtection="1">
      <alignment horizontal="centerContinuous"/>
      <protection hidden="1"/>
    </xf>
    <xf numFmtId="41" fontId="77" fillId="0" borderId="23" xfId="78" applyNumberFormat="1" applyFont="1" applyFill="1" applyBorder="1" applyAlignment="1" applyProtection="1">
      <protection locked="0" hidden="1"/>
    </xf>
    <xf numFmtId="0" fontId="77" fillId="0" borderId="23" xfId="277" applyFont="1" applyBorder="1" applyAlignment="1" applyProtection="1">
      <alignment horizontal="center"/>
      <protection hidden="1"/>
    </xf>
    <xf numFmtId="187" fontId="77" fillId="0" borderId="23" xfId="78" applyFont="1" applyFill="1" applyBorder="1" applyAlignment="1" applyProtection="1">
      <protection locked="0" hidden="1"/>
    </xf>
    <xf numFmtId="0" fontId="77" fillId="0" borderId="23" xfId="277" applyFont="1" applyBorder="1" applyProtection="1">
      <protection hidden="1"/>
    </xf>
    <xf numFmtId="0" fontId="77" fillId="0" borderId="0" xfId="245" applyFont="1"/>
    <xf numFmtId="0" fontId="52" fillId="0" borderId="0" xfId="245" applyFont="1"/>
    <xf numFmtId="187" fontId="77" fillId="0" borderId="0" xfId="78" applyFont="1" applyFill="1" applyBorder="1"/>
    <xf numFmtId="0" fontId="77" fillId="0" borderId="0" xfId="245" applyFont="1" applyProtection="1">
      <protection hidden="1"/>
    </xf>
    <xf numFmtId="0" fontId="77" fillId="0" borderId="0" xfId="245" applyFont="1" applyAlignment="1">
      <alignment horizontal="center"/>
    </xf>
    <xf numFmtId="187" fontId="77" fillId="0" borderId="0" xfId="78" applyFont="1" applyFill="1" applyAlignment="1">
      <alignment horizontal="center"/>
    </xf>
    <xf numFmtId="187" fontId="77" fillId="0" borderId="0" xfId="78" applyFont="1" applyFill="1" applyAlignment="1"/>
    <xf numFmtId="0" fontId="4" fillId="0" borderId="21" xfId="277" applyFont="1" applyBorder="1" applyAlignment="1" applyProtection="1">
      <alignment horizontal="left"/>
      <protection hidden="1"/>
    </xf>
    <xf numFmtId="0" fontId="77" fillId="16" borderId="104" xfId="245" applyFont="1" applyFill="1" applyBorder="1"/>
    <xf numFmtId="0" fontId="52" fillId="16" borderId="105" xfId="245" applyFont="1" applyFill="1" applyBorder="1" applyAlignment="1">
      <alignment horizontal="left"/>
    </xf>
    <xf numFmtId="0" fontId="77" fillId="16" borderId="105" xfId="245" applyFont="1" applyFill="1" applyBorder="1"/>
    <xf numFmtId="187" fontId="77" fillId="16" borderId="92" xfId="78" applyFont="1" applyFill="1" applyBorder="1"/>
    <xf numFmtId="0" fontId="77" fillId="16" borderId="92" xfId="245" applyFont="1" applyFill="1" applyBorder="1" applyAlignment="1">
      <alignment horizontal="center"/>
    </xf>
    <xf numFmtId="0" fontId="77" fillId="16" borderId="106" xfId="245" applyFont="1" applyFill="1" applyBorder="1"/>
    <xf numFmtId="187" fontId="81" fillId="16" borderId="35" xfId="78" applyFont="1" applyFill="1" applyBorder="1"/>
    <xf numFmtId="0" fontId="77" fillId="16" borderId="92" xfId="245" applyFont="1" applyFill="1" applyBorder="1" applyProtection="1">
      <protection locked="0"/>
    </xf>
    <xf numFmtId="41" fontId="77" fillId="0" borderId="0" xfId="78" applyNumberFormat="1" applyFont="1" applyFill="1" applyAlignment="1" applyProtection="1">
      <protection hidden="1"/>
    </xf>
    <xf numFmtId="0" fontId="77" fillId="0" borderId="0" xfId="245" applyFont="1" applyAlignment="1" applyProtection="1">
      <alignment horizontal="center"/>
      <protection hidden="1"/>
    </xf>
    <xf numFmtId="187" fontId="77" fillId="0" borderId="0" xfId="78" applyFont="1" applyFill="1" applyProtection="1">
      <protection hidden="1"/>
    </xf>
    <xf numFmtId="0" fontId="80" fillId="0" borderId="0" xfId="277" applyFont="1" applyAlignment="1" applyProtection="1">
      <alignment horizontal="center"/>
      <protection hidden="1"/>
    </xf>
    <xf numFmtId="187" fontId="80" fillId="0" borderId="0" xfId="78" applyFont="1" applyFill="1" applyProtection="1">
      <protection hidden="1"/>
    </xf>
    <xf numFmtId="0" fontId="77" fillId="16" borderId="0" xfId="0" applyFont="1" applyFill="1" applyProtection="1">
      <protection hidden="1"/>
    </xf>
    <xf numFmtId="41" fontId="77" fillId="0" borderId="17" xfId="78" applyNumberFormat="1" applyFont="1" applyFill="1" applyBorder="1" applyAlignment="1" applyProtection="1">
      <protection locked="0" hidden="1"/>
    </xf>
    <xf numFmtId="41" fontId="77" fillId="0" borderId="17" xfId="78" applyNumberFormat="1" applyFont="1" applyFill="1" applyBorder="1" applyAlignment="1" applyProtection="1">
      <alignment horizontal="left"/>
      <protection locked="0" hidden="1"/>
    </xf>
    <xf numFmtId="0" fontId="77" fillId="0" borderId="52" xfId="277" applyFont="1" applyBorder="1" applyProtection="1">
      <protection hidden="1"/>
    </xf>
    <xf numFmtId="0" fontId="77" fillId="0" borderId="24" xfId="277" applyFont="1" applyBorder="1" applyProtection="1">
      <protection hidden="1"/>
    </xf>
    <xf numFmtId="0" fontId="53" fillId="0" borderId="54" xfId="277" applyFont="1" applyBorder="1" applyProtection="1">
      <protection hidden="1"/>
    </xf>
    <xf numFmtId="0" fontId="141" fillId="0" borderId="54" xfId="277" applyFont="1" applyBorder="1" applyAlignment="1" applyProtection="1">
      <alignment horizontal="left"/>
      <protection hidden="1"/>
    </xf>
    <xf numFmtId="0" fontId="77" fillId="0" borderId="17" xfId="277" applyFont="1" applyBorder="1" applyAlignment="1" applyProtection="1">
      <alignment horizontal="center" vertical="top"/>
      <protection hidden="1"/>
    </xf>
    <xf numFmtId="0" fontId="77" fillId="0" borderId="0" xfId="277" applyFont="1" applyAlignment="1" applyProtection="1">
      <alignment horizontal="center" vertical="top"/>
      <protection hidden="1"/>
    </xf>
    <xf numFmtId="0" fontId="77" fillId="0" borderId="0" xfId="277" applyFont="1" applyAlignment="1" applyProtection="1">
      <alignment horizontal="left" wrapText="1"/>
      <protection hidden="1"/>
    </xf>
    <xf numFmtId="41" fontId="77" fillId="0" borderId="0" xfId="78" applyNumberFormat="1" applyFont="1" applyFill="1" applyBorder="1" applyAlignment="1" applyProtection="1">
      <protection locked="0" hidden="1"/>
    </xf>
    <xf numFmtId="0" fontId="77" fillId="0" borderId="0" xfId="277" applyFont="1" applyAlignment="1" applyProtection="1">
      <alignment horizontal="center"/>
      <protection hidden="1"/>
    </xf>
    <xf numFmtId="187" fontId="77" fillId="0" borderId="0" xfId="78" applyFont="1" applyFill="1" applyBorder="1" applyAlignment="1" applyProtection="1">
      <protection locked="0" hidden="1"/>
    </xf>
    <xf numFmtId="187" fontId="77" fillId="0" borderId="0" xfId="77" applyFont="1" applyFill="1" applyBorder="1" applyAlignment="1" applyProtection="1">
      <protection locked="0" hidden="1"/>
    </xf>
    <xf numFmtId="0" fontId="77" fillId="0" borderId="0" xfId="277" applyFont="1" applyProtection="1">
      <protection hidden="1"/>
    </xf>
    <xf numFmtId="0" fontId="77" fillId="0" borderId="23" xfId="277" applyFont="1" applyBorder="1" applyAlignment="1" applyProtection="1">
      <alignment horizontal="center" vertical="top"/>
      <protection hidden="1"/>
    </xf>
    <xf numFmtId="0" fontId="77" fillId="16" borderId="0" xfId="245" applyFont="1" applyFill="1"/>
    <xf numFmtId="0" fontId="52" fillId="16" borderId="0" xfId="245" applyFont="1" applyFill="1" applyAlignment="1">
      <alignment horizontal="left"/>
    </xf>
    <xf numFmtId="187" fontId="77" fillId="16" borderId="0" xfId="78" applyFont="1" applyFill="1" applyBorder="1"/>
    <xf numFmtId="0" fontId="77" fillId="16" borderId="0" xfId="245" applyFont="1" applyFill="1" applyAlignment="1">
      <alignment horizontal="center"/>
    </xf>
    <xf numFmtId="187" fontId="81" fillId="16" borderId="0" xfId="78" applyFont="1" applyFill="1" applyBorder="1"/>
    <xf numFmtId="0" fontId="77" fillId="16" borderId="0" xfId="245" applyFont="1" applyFill="1" applyProtection="1">
      <protection locked="0"/>
    </xf>
    <xf numFmtId="3" fontId="34" fillId="44" borderId="12" xfId="88" applyNumberFormat="1" applyFont="1" applyFill="1" applyBorder="1" applyAlignment="1">
      <alignment horizontal="center" vertical="center"/>
    </xf>
    <xf numFmtId="3" fontId="34" fillId="44" borderId="17" xfId="88" applyNumberFormat="1" applyFont="1" applyFill="1" applyBorder="1" applyAlignment="1">
      <alignment horizontal="center" vertical="center"/>
    </xf>
    <xf numFmtId="3" fontId="34" fillId="44" borderId="34" xfId="88" applyNumberFormat="1" applyFont="1" applyFill="1" applyBorder="1" applyAlignment="1">
      <alignment horizontal="center" vertical="center"/>
    </xf>
    <xf numFmtId="3" fontId="34" fillId="44" borderId="23" xfId="88" applyNumberFormat="1" applyFont="1" applyFill="1" applyBorder="1" applyAlignment="1">
      <alignment horizontal="center" vertical="center"/>
    </xf>
    <xf numFmtId="0" fontId="53" fillId="0" borderId="0" xfId="0" applyFont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Continuous" vertical="center"/>
      <protection hidden="1"/>
    </xf>
    <xf numFmtId="0" fontId="79" fillId="8" borderId="0" xfId="0" applyFont="1" applyFill="1" applyProtection="1">
      <protection hidden="1"/>
    </xf>
    <xf numFmtId="195" fontId="144" fillId="0" borderId="0" xfId="0" applyNumberFormat="1" applyFont="1" applyProtection="1">
      <protection hidden="1"/>
    </xf>
    <xf numFmtId="208" fontId="144" fillId="0" borderId="0" xfId="0" applyNumberFormat="1" applyFont="1" applyAlignment="1" applyProtection="1">
      <alignment horizontal="left"/>
      <protection hidden="1"/>
    </xf>
    <xf numFmtId="0" fontId="144" fillId="0" borderId="0" xfId="0" applyFont="1" applyProtection="1">
      <protection hidden="1"/>
    </xf>
    <xf numFmtId="0" fontId="79" fillId="0" borderId="0" xfId="0" applyFont="1" applyProtection="1">
      <protection hidden="1"/>
    </xf>
    <xf numFmtId="0" fontId="144" fillId="0" borderId="0" xfId="0" applyFont="1" applyAlignment="1" applyProtection="1">
      <alignment horizontal="center"/>
      <protection hidden="1"/>
    </xf>
    <xf numFmtId="0" fontId="144" fillId="0" borderId="0" xfId="0" applyFont="1" applyAlignment="1" applyProtection="1">
      <alignment horizontal="centerContinuous"/>
      <protection hidden="1"/>
    </xf>
    <xf numFmtId="0" fontId="79" fillId="0" borderId="0" xfId="0" applyFont="1" applyAlignment="1" applyProtection="1">
      <alignment horizontal="center"/>
      <protection hidden="1"/>
    </xf>
    <xf numFmtId="0" fontId="80" fillId="0" borderId="4" xfId="0" applyFont="1" applyBorder="1"/>
    <xf numFmtId="0" fontId="80" fillId="0" borderId="4" xfId="0" applyFont="1" applyBorder="1" applyAlignment="1">
      <alignment horizontal="center"/>
    </xf>
    <xf numFmtId="0" fontId="80" fillId="8" borderId="4" xfId="0" applyFont="1" applyFill="1" applyBorder="1" applyAlignment="1">
      <alignment horizontal="center"/>
    </xf>
    <xf numFmtId="0" fontId="80" fillId="0" borderId="11" xfId="0" applyFont="1" applyBorder="1"/>
    <xf numFmtId="0" fontId="80" fillId="0" borderId="0" xfId="0" applyFont="1" applyAlignment="1" applyProtection="1">
      <alignment horizontal="center" vertical="center"/>
      <protection locked="0"/>
    </xf>
    <xf numFmtId="187" fontId="79" fillId="0" borderId="0" xfId="77" applyFont="1" applyFill="1" applyAlignment="1" applyProtection="1">
      <alignment horizontal="left"/>
      <protection hidden="1"/>
    </xf>
    <xf numFmtId="197" fontId="144" fillId="0" borderId="0" xfId="0" applyNumberFormat="1" applyFont="1" applyAlignment="1" applyProtection="1">
      <alignment horizontal="centerContinuous" vertical="center"/>
      <protection hidden="1"/>
    </xf>
    <xf numFmtId="2" fontId="145" fillId="12" borderId="4" xfId="0" applyNumberFormat="1" applyFont="1" applyFill="1" applyBorder="1" applyAlignment="1" applyProtection="1">
      <alignment horizontal="center"/>
      <protection locked="0" hidden="1"/>
    </xf>
    <xf numFmtId="189" fontId="143" fillId="12" borderId="4" xfId="77" applyNumberFormat="1" applyFont="1" applyFill="1" applyBorder="1" applyAlignment="1" applyProtection="1">
      <alignment horizontal="center"/>
      <protection locked="0"/>
    </xf>
    <xf numFmtId="189" fontId="143" fillId="12" borderId="92" xfId="77" applyNumberFormat="1" applyFont="1" applyFill="1" applyBorder="1" applyAlignment="1" applyProtection="1">
      <alignment horizontal="center"/>
      <protection locked="0"/>
    </xf>
    <xf numFmtId="189" fontId="142" fillId="12" borderId="4" xfId="77" applyNumberFormat="1" applyFont="1" applyFill="1" applyBorder="1" applyAlignment="1" applyProtection="1">
      <alignment horizontal="center"/>
      <protection locked="0"/>
    </xf>
    <xf numFmtId="189" fontId="146" fillId="12" borderId="4" xfId="77" applyNumberFormat="1" applyFont="1" applyFill="1" applyBorder="1" applyAlignment="1" applyProtection="1">
      <alignment horizontal="center"/>
      <protection locked="0"/>
    </xf>
    <xf numFmtId="187" fontId="146" fillId="12" borderId="0" xfId="77" applyFont="1" applyFill="1" applyBorder="1" applyAlignment="1" applyProtection="1">
      <alignment horizontal="center"/>
      <protection locked="0"/>
    </xf>
    <xf numFmtId="187" fontId="143" fillId="12" borderId="0" xfId="77" applyFont="1" applyFill="1" applyBorder="1" applyAlignment="1" applyProtection="1">
      <alignment horizontal="center"/>
      <protection locked="0"/>
    </xf>
    <xf numFmtId="188" fontId="79" fillId="0" borderId="0" xfId="0" applyNumberFormat="1" applyFont="1" applyAlignment="1" applyProtection="1">
      <alignment horizontal="centerContinuous" vertical="center"/>
      <protection hidden="1"/>
    </xf>
    <xf numFmtId="190" fontId="79" fillId="0" borderId="0" xfId="77" applyNumberFormat="1" applyFont="1" applyFill="1" applyAlignment="1" applyProtection="1">
      <alignment horizontal="centerContinuous" vertical="center"/>
      <protection hidden="1"/>
    </xf>
    <xf numFmtId="0" fontId="79" fillId="0" borderId="0" xfId="0" applyFont="1" applyAlignment="1" applyProtection="1">
      <alignment horizontal="left"/>
      <protection hidden="1"/>
    </xf>
    <xf numFmtId="0" fontId="80" fillId="0" borderId="4" xfId="0" applyFont="1" applyBorder="1" applyAlignment="1">
      <alignment horizontal="left"/>
    </xf>
    <xf numFmtId="1" fontId="145" fillId="0" borderId="0" xfId="0" applyNumberFormat="1" applyFont="1" applyAlignment="1" applyProtection="1">
      <alignment horizontal="center"/>
      <protection locked="0" hidden="1"/>
    </xf>
    <xf numFmtId="0" fontId="79" fillId="0" borderId="0" xfId="0" applyFont="1" applyAlignment="1" applyProtection="1">
      <alignment horizontal="left"/>
      <protection locked="0" hidden="1"/>
    </xf>
    <xf numFmtId="0" fontId="79" fillId="0" borderId="0" xfId="0" applyFont="1" applyProtection="1">
      <protection locked="0" hidden="1"/>
    </xf>
    <xf numFmtId="0" fontId="79" fillId="0" borderId="0" xfId="0" applyFont="1" applyAlignment="1" applyProtection="1">
      <alignment horizontal="center"/>
      <protection locked="0" hidden="1"/>
    </xf>
    <xf numFmtId="0" fontId="147" fillId="0" borderId="0" xfId="0" applyFont="1" applyProtection="1">
      <protection hidden="1"/>
    </xf>
    <xf numFmtId="187" fontId="79" fillId="0" borderId="0" xfId="77" applyFont="1" applyFill="1" applyAlignment="1" applyProtection="1">
      <protection hidden="1"/>
    </xf>
    <xf numFmtId="189" fontId="142" fillId="12" borderId="7" xfId="77" applyNumberFormat="1" applyFont="1" applyFill="1" applyBorder="1" applyAlignment="1" applyProtection="1">
      <alignment horizontal="center"/>
      <protection locked="0"/>
    </xf>
    <xf numFmtId="39" fontId="79" fillId="0" borderId="0" xfId="89" applyFont="1" applyAlignment="1">
      <alignment horizontal="center" wrapText="1"/>
    </xf>
    <xf numFmtId="0" fontId="145" fillId="12" borderId="4" xfId="0" applyFont="1" applyFill="1" applyBorder="1" applyAlignment="1" applyProtection="1">
      <alignment horizontal="left"/>
      <protection locked="0" hidden="1"/>
    </xf>
    <xf numFmtId="187" fontId="80" fillId="12" borderId="4" xfId="77" applyFont="1" applyFill="1" applyBorder="1" applyAlignment="1" applyProtection="1">
      <alignment horizontal="center"/>
    </xf>
    <xf numFmtId="0" fontId="144" fillId="0" borderId="0" xfId="0" applyFont="1" applyAlignment="1" applyProtection="1">
      <alignment horizontal="left"/>
      <protection hidden="1"/>
    </xf>
    <xf numFmtId="0" fontId="80" fillId="0" borderId="0" xfId="0" applyFont="1" applyAlignment="1">
      <alignment horizontal="left"/>
    </xf>
    <xf numFmtId="0" fontId="80" fillId="0" borderId="0" xfId="0" applyFont="1"/>
    <xf numFmtId="39" fontId="79" fillId="0" borderId="0" xfId="0" applyNumberFormat="1" applyFont="1" applyProtection="1">
      <protection hidden="1"/>
    </xf>
    <xf numFmtId="0" fontId="80" fillId="0" borderId="4" xfId="0" applyFont="1" applyBorder="1" applyAlignment="1" applyProtection="1">
      <alignment horizontal="center" vertical="center"/>
      <protection locked="0"/>
    </xf>
    <xf numFmtId="0" fontId="142" fillId="0" borderId="0" xfId="0" applyFont="1" applyProtection="1">
      <protection hidden="1"/>
    </xf>
    <xf numFmtId="189" fontId="143" fillId="12" borderId="4" xfId="77" applyNumberFormat="1" applyFont="1" applyFill="1" applyBorder="1" applyAlignment="1" applyProtection="1">
      <alignment horizontal="right"/>
      <protection locked="0"/>
    </xf>
    <xf numFmtId="189" fontId="143" fillId="12" borderId="4" xfId="0" applyNumberFormat="1" applyFont="1" applyFill="1" applyBorder="1" applyAlignment="1" applyProtection="1">
      <alignment horizontal="right"/>
      <protection locked="0"/>
    </xf>
    <xf numFmtId="3" fontId="79" fillId="0" borderId="0" xfId="0" applyNumberFormat="1" applyFont="1" applyAlignment="1" applyProtection="1">
      <alignment horizontal="center"/>
      <protection hidden="1"/>
    </xf>
    <xf numFmtId="189" fontId="146" fillId="0" borderId="4" xfId="0" applyNumberFormat="1" applyFont="1" applyBorder="1" applyAlignment="1" applyProtection="1">
      <alignment horizontal="right" vertical="center"/>
      <protection locked="0"/>
    </xf>
    <xf numFmtId="187" fontId="143" fillId="12" borderId="4" xfId="77" applyFont="1" applyFill="1" applyBorder="1" applyAlignment="1" applyProtection="1">
      <alignment horizontal="center"/>
      <protection locked="0"/>
    </xf>
    <xf numFmtId="0" fontId="80" fillId="12" borderId="4" xfId="0" applyFont="1" applyFill="1" applyBorder="1" applyProtection="1">
      <protection locked="0"/>
    </xf>
    <xf numFmtId="194" fontId="79" fillId="0" borderId="0" xfId="0" applyNumberFormat="1" applyFont="1" applyProtection="1">
      <protection hidden="1"/>
    </xf>
    <xf numFmtId="187" fontId="149" fillId="44" borderId="92" xfId="77" applyFont="1" applyFill="1" applyBorder="1" applyAlignment="1" applyProtection="1">
      <alignment horizontal="center"/>
      <protection locked="0"/>
    </xf>
    <xf numFmtId="0" fontId="150" fillId="47" borderId="116" xfId="0" applyFont="1" applyFill="1" applyBorder="1" applyAlignment="1">
      <alignment horizontal="right" vertical="center" wrapText="1"/>
    </xf>
    <xf numFmtId="0" fontId="79" fillId="0" borderId="0" xfId="0" applyFont="1" applyProtection="1">
      <protection locked="0"/>
    </xf>
    <xf numFmtId="39" fontId="79" fillId="0" borderId="0" xfId="0" applyNumberFormat="1" applyFont="1" applyAlignment="1">
      <alignment horizontal="left"/>
    </xf>
    <xf numFmtId="3" fontId="143" fillId="44" borderId="92" xfId="0" applyNumberFormat="1" applyFont="1" applyFill="1" applyBorder="1" applyAlignment="1" applyProtection="1">
      <alignment horizontal="center"/>
      <protection locked="0"/>
    </xf>
    <xf numFmtId="226" fontId="79" fillId="0" borderId="0" xfId="89" applyNumberFormat="1" applyFont="1" applyAlignment="1">
      <alignment horizontal="center" wrapText="1"/>
    </xf>
    <xf numFmtId="0" fontId="134" fillId="0" borderId="0" xfId="0" applyFont="1" applyAlignment="1">
      <alignment horizontal="left"/>
    </xf>
    <xf numFmtId="4" fontId="143" fillId="12" borderId="0" xfId="0" applyNumberFormat="1" applyFont="1" applyFill="1" applyProtection="1">
      <protection locked="0"/>
    </xf>
    <xf numFmtId="0" fontId="151" fillId="0" borderId="0" xfId="0" applyFont="1" applyAlignment="1" applyProtection="1">
      <alignment horizontal="center"/>
      <protection hidden="1"/>
    </xf>
    <xf numFmtId="0" fontId="151" fillId="0" borderId="0" xfId="0" applyFont="1" applyAlignment="1" applyProtection="1">
      <alignment horizontal="centerContinuous"/>
      <protection hidden="1"/>
    </xf>
    <xf numFmtId="187" fontId="79" fillId="0" borderId="0" xfId="77" applyFont="1" applyProtection="1">
      <protection hidden="1"/>
    </xf>
    <xf numFmtId="187" fontId="79" fillId="0" borderId="0" xfId="77" applyFont="1" applyFill="1" applyAlignment="1" applyProtection="1">
      <alignment horizontal="center"/>
      <protection hidden="1"/>
    </xf>
    <xf numFmtId="188" fontId="79" fillId="0" borderId="0" xfId="0" applyNumberFormat="1" applyFont="1" applyAlignment="1" applyProtection="1">
      <alignment horizontal="center"/>
      <protection hidden="1"/>
    </xf>
    <xf numFmtId="2" fontId="79" fillId="0" borderId="0" xfId="0" applyNumberFormat="1" applyFont="1" applyAlignment="1" applyProtection="1">
      <alignment horizontal="center"/>
      <protection hidden="1"/>
    </xf>
    <xf numFmtId="187" fontId="79" fillId="0" borderId="0" xfId="77" applyFont="1" applyFill="1" applyProtection="1">
      <protection hidden="1"/>
    </xf>
    <xf numFmtId="187" fontId="144" fillId="0" borderId="0" xfId="77" applyFont="1" applyFill="1" applyAlignment="1" applyProtection="1">
      <alignment horizontal="centerContinuous"/>
      <protection hidden="1"/>
    </xf>
    <xf numFmtId="187" fontId="151" fillId="0" borderId="0" xfId="77" applyFont="1" applyFill="1" applyAlignment="1" applyProtection="1">
      <alignment horizontal="centerContinuous"/>
      <protection hidden="1"/>
    </xf>
    <xf numFmtId="0" fontId="152" fillId="0" borderId="0" xfId="0" applyFont="1" applyAlignment="1" applyProtection="1">
      <alignment horizontal="center"/>
      <protection hidden="1"/>
    </xf>
    <xf numFmtId="2" fontId="79" fillId="0" borderId="0" xfId="0" applyNumberFormat="1" applyFont="1" applyProtection="1">
      <protection hidden="1"/>
    </xf>
    <xf numFmtId="187" fontId="79" fillId="0" borderId="0" xfId="77" applyFont="1" applyFill="1" applyAlignment="1" applyProtection="1">
      <alignment horizontal="right"/>
      <protection hidden="1"/>
    </xf>
    <xf numFmtId="0" fontId="153" fillId="47" borderId="116" xfId="0" applyFont="1" applyFill="1" applyBorder="1" applyAlignment="1">
      <alignment horizontal="center" vertical="center" wrapText="1"/>
    </xf>
    <xf numFmtId="0" fontId="53" fillId="0" borderId="0" xfId="0" applyFont="1" applyAlignment="1" applyProtection="1">
      <alignment horizontal="right"/>
      <protection hidden="1"/>
    </xf>
    <xf numFmtId="41" fontId="53" fillId="0" borderId="0" xfId="77" applyNumberFormat="1" applyFont="1" applyFill="1" applyAlignment="1" applyProtection="1">
      <protection hidden="1"/>
    </xf>
    <xf numFmtId="37" fontId="53" fillId="0" borderId="0" xfId="0" applyNumberFormat="1" applyFont="1" applyProtection="1">
      <protection hidden="1"/>
    </xf>
    <xf numFmtId="0" fontId="53" fillId="0" borderId="0" xfId="0" applyFont="1" applyAlignment="1" applyProtection="1">
      <alignment horizontal="left"/>
      <protection hidden="1"/>
    </xf>
    <xf numFmtId="43" fontId="53" fillId="0" borderId="0" xfId="0" applyNumberFormat="1" applyFont="1" applyProtection="1">
      <protection hidden="1"/>
    </xf>
    <xf numFmtId="195" fontId="54" fillId="0" borderId="0" xfId="0" applyNumberFormat="1" applyFont="1" applyAlignment="1" applyProtection="1">
      <alignment horizontal="center"/>
      <protection hidden="1"/>
    </xf>
    <xf numFmtId="0" fontId="53" fillId="0" borderId="0" xfId="0" applyFont="1" applyAlignment="1">
      <alignment horizontal="center"/>
    </xf>
    <xf numFmtId="0" fontId="54" fillId="0" borderId="0" xfId="0" applyFont="1"/>
    <xf numFmtId="0" fontId="53" fillId="0" borderId="0" xfId="0" applyFont="1" applyAlignment="1">
      <alignment horizontal="left"/>
    </xf>
    <xf numFmtId="0" fontId="53" fillId="0" borderId="0" xfId="0" applyFont="1"/>
    <xf numFmtId="0" fontId="53" fillId="0" borderId="5" xfId="0" applyFont="1" applyBorder="1" applyAlignment="1" applyProtection="1">
      <alignment horizontal="center"/>
      <protection hidden="1"/>
    </xf>
    <xf numFmtId="43" fontId="54" fillId="0" borderId="11" xfId="77" applyNumberFormat="1" applyFont="1" applyFill="1" applyBorder="1" applyAlignment="1" applyProtection="1">
      <alignment horizontal="center"/>
      <protection hidden="1"/>
    </xf>
    <xf numFmtId="198" fontId="54" fillId="0" borderId="11" xfId="0" applyNumberFormat="1" applyFont="1" applyBorder="1" applyAlignment="1" applyProtection="1">
      <alignment horizontal="center"/>
      <protection hidden="1"/>
    </xf>
    <xf numFmtId="43" fontId="54" fillId="0" borderId="5" xfId="0" applyNumberFormat="1" applyFont="1" applyBorder="1" applyAlignment="1" applyProtection="1">
      <alignment horizontal="right"/>
      <protection hidden="1"/>
    </xf>
    <xf numFmtId="0" fontId="53" fillId="0" borderId="9" xfId="0" applyFont="1" applyBorder="1" applyProtection="1">
      <protection hidden="1"/>
    </xf>
    <xf numFmtId="43" fontId="54" fillId="0" borderId="7" xfId="0" applyNumberFormat="1" applyFont="1" applyBorder="1" applyProtection="1">
      <protection hidden="1"/>
    </xf>
    <xf numFmtId="0" fontId="140" fillId="0" borderId="0" xfId="0" applyFont="1" applyProtection="1">
      <protection hidden="1"/>
    </xf>
    <xf numFmtId="43" fontId="54" fillId="0" borderId="11" xfId="77" applyNumberFormat="1" applyFont="1" applyFill="1" applyBorder="1" applyProtection="1">
      <protection hidden="1"/>
    </xf>
    <xf numFmtId="43" fontId="54" fillId="0" borderId="4" xfId="0" applyNumberFormat="1" applyFont="1" applyBorder="1" applyProtection="1">
      <protection hidden="1"/>
    </xf>
    <xf numFmtId="43" fontId="54" fillId="0" borderId="11" xfId="0" applyNumberFormat="1" applyFont="1" applyBorder="1" applyProtection="1">
      <protection hidden="1"/>
    </xf>
    <xf numFmtId="201" fontId="54" fillId="0" borderId="11" xfId="77" applyNumberFormat="1" applyFont="1" applyFill="1" applyBorder="1" applyProtection="1">
      <protection hidden="1"/>
    </xf>
    <xf numFmtId="0" fontId="53" fillId="0" borderId="11" xfId="0" applyFont="1" applyBorder="1" applyAlignment="1" applyProtection="1">
      <alignment horizontal="left"/>
      <protection hidden="1"/>
    </xf>
    <xf numFmtId="43" fontId="54" fillId="0" borderId="5" xfId="0" applyNumberFormat="1" applyFont="1" applyBorder="1" applyProtection="1">
      <protection hidden="1"/>
    </xf>
    <xf numFmtId="43" fontId="53" fillId="0" borderId="5" xfId="0" applyNumberFormat="1" applyFont="1" applyBorder="1" applyProtection="1">
      <protection hidden="1"/>
    </xf>
    <xf numFmtId="187" fontId="54" fillId="0" borderId="5" xfId="77" applyFont="1" applyBorder="1" applyAlignment="1" applyProtection="1">
      <alignment horizontal="right"/>
      <protection hidden="1"/>
    </xf>
    <xf numFmtId="43" fontId="53" fillId="0" borderId="11" xfId="0" applyNumberFormat="1" applyFont="1" applyBorder="1" applyProtection="1">
      <protection hidden="1"/>
    </xf>
    <xf numFmtId="187" fontId="53" fillId="0" borderId="0" xfId="77" applyFont="1" applyFill="1" applyProtection="1">
      <protection hidden="1"/>
    </xf>
    <xf numFmtId="0" fontId="53" fillId="0" borderId="26" xfId="0" applyFont="1" applyBorder="1" applyProtection="1">
      <protection hidden="1"/>
    </xf>
    <xf numFmtId="0" fontId="53" fillId="0" borderId="27" xfId="0" applyFont="1" applyBorder="1" applyProtection="1">
      <protection hidden="1"/>
    </xf>
    <xf numFmtId="188" fontId="54" fillId="0" borderId="0" xfId="0" applyNumberFormat="1" applyFont="1" applyAlignment="1" applyProtection="1">
      <alignment horizontal="center"/>
      <protection hidden="1"/>
    </xf>
    <xf numFmtId="3" fontId="54" fillId="0" borderId="32" xfId="0" applyNumberFormat="1" applyFont="1" applyBorder="1" applyAlignment="1" applyProtection="1">
      <alignment horizontal="center"/>
      <protection hidden="1"/>
    </xf>
    <xf numFmtId="0" fontId="82" fillId="0" borderId="0" xfId="0" applyFont="1" applyProtection="1">
      <protection hidden="1"/>
    </xf>
    <xf numFmtId="3" fontId="154" fillId="0" borderId="0" xfId="0" applyNumberFormat="1" applyFont="1" applyAlignment="1" applyProtection="1">
      <alignment horizontal="center"/>
      <protection hidden="1"/>
    </xf>
    <xf numFmtId="0" fontId="77" fillId="0" borderId="0" xfId="0" applyFont="1" applyProtection="1">
      <protection hidden="1"/>
    </xf>
    <xf numFmtId="0" fontId="53" fillId="0" borderId="0" xfId="0" applyFont="1" applyAlignment="1" applyProtection="1">
      <alignment horizontal="left" vertical="center"/>
      <protection hidden="1"/>
    </xf>
    <xf numFmtId="0" fontId="155" fillId="0" borderId="0" xfId="0" applyFont="1" applyProtection="1">
      <protection hidden="1"/>
    </xf>
    <xf numFmtId="0" fontId="53" fillId="0" borderId="0" xfId="0" applyFont="1" applyAlignment="1" applyProtection="1">
      <alignment vertical="center"/>
      <protection hidden="1"/>
    </xf>
    <xf numFmtId="0" fontId="53" fillId="0" borderId="42" xfId="0" applyFont="1" applyBorder="1"/>
    <xf numFmtId="0" fontId="157" fillId="12" borderId="54" xfId="0" applyFont="1" applyFill="1" applyBorder="1" applyAlignment="1" applyProtection="1">
      <alignment horizontal="left"/>
      <protection locked="0"/>
    </xf>
    <xf numFmtId="0" fontId="157" fillId="12" borderId="16" xfId="0" applyFont="1" applyFill="1" applyBorder="1" applyAlignment="1">
      <alignment horizontal="left"/>
    </xf>
    <xf numFmtId="0" fontId="157" fillId="12" borderId="15" xfId="0" applyFont="1" applyFill="1" applyBorder="1" applyAlignment="1">
      <alignment horizontal="left"/>
    </xf>
    <xf numFmtId="0" fontId="53" fillId="0" borderId="43" xfId="0" applyFont="1" applyBorder="1"/>
    <xf numFmtId="0" fontId="157" fillId="12" borderId="21" xfId="0" applyFont="1" applyFill="1" applyBorder="1" applyAlignment="1">
      <alignment horizontal="left"/>
    </xf>
    <xf numFmtId="0" fontId="157" fillId="12" borderId="20" xfId="0" applyFont="1" applyFill="1" applyBorder="1" applyAlignment="1">
      <alignment horizontal="left"/>
    </xf>
    <xf numFmtId="188" fontId="157" fillId="12" borderId="54" xfId="0" applyNumberFormat="1" applyFont="1" applyFill="1" applyBorder="1" applyAlignment="1" applyProtection="1">
      <alignment horizontal="left"/>
      <protection locked="0"/>
    </xf>
    <xf numFmtId="188" fontId="157" fillId="12" borderId="51" xfId="0" applyNumberFormat="1" applyFont="1" applyFill="1" applyBorder="1" applyAlignment="1">
      <alignment horizontal="left"/>
    </xf>
    <xf numFmtId="188" fontId="157" fillId="12" borderId="55" xfId="0" applyNumberFormat="1" applyFont="1" applyFill="1" applyBorder="1" applyAlignment="1">
      <alignment horizontal="left"/>
    </xf>
    <xf numFmtId="208" fontId="157" fillId="12" borderId="54" xfId="0" applyNumberFormat="1" applyFont="1" applyFill="1" applyBorder="1" applyAlignment="1" applyProtection="1">
      <alignment horizontal="left"/>
      <protection locked="0"/>
    </xf>
    <xf numFmtId="188" fontId="157" fillId="6" borderId="104" xfId="0" applyNumberFormat="1" applyFont="1" applyFill="1" applyBorder="1" applyAlignment="1">
      <alignment horizontal="centerContinuous" vertical="center"/>
    </xf>
    <xf numFmtId="204" fontId="157" fillId="6" borderId="106" xfId="0" applyNumberFormat="1" applyFont="1" applyFill="1" applyBorder="1" applyAlignment="1">
      <alignment horizontal="centerContinuous" vertical="center"/>
    </xf>
    <xf numFmtId="188" fontId="157" fillId="6" borderId="12" xfId="0" applyNumberFormat="1" applyFont="1" applyFill="1" applyBorder="1" applyAlignment="1">
      <alignment horizontal="left"/>
    </xf>
    <xf numFmtId="10" fontId="157" fillId="12" borderId="17" xfId="77" applyNumberFormat="1" applyFont="1" applyFill="1" applyBorder="1" applyAlignment="1" applyProtection="1">
      <alignment horizontal="right"/>
      <protection locked="0"/>
    </xf>
    <xf numFmtId="188" fontId="157" fillId="6" borderId="17" xfId="0" applyNumberFormat="1" applyFont="1" applyFill="1" applyBorder="1" applyAlignment="1">
      <alignment horizontal="left"/>
    </xf>
    <xf numFmtId="0" fontId="53" fillId="0" borderId="43" xfId="0" applyFont="1" applyBorder="1" applyAlignment="1">
      <alignment horizontal="left"/>
    </xf>
    <xf numFmtId="0" fontId="53" fillId="0" borderId="44" xfId="0" quotePrefix="1" applyFont="1" applyBorder="1" applyAlignment="1">
      <alignment horizontal="left"/>
    </xf>
    <xf numFmtId="0" fontId="157" fillId="12" borderId="56" xfId="0" applyFont="1" applyFill="1" applyBorder="1" applyAlignment="1" applyProtection="1">
      <alignment horizontal="left"/>
      <protection locked="0"/>
    </xf>
    <xf numFmtId="188" fontId="157" fillId="6" borderId="23" xfId="0" applyNumberFormat="1" applyFont="1" applyFill="1" applyBorder="1" applyAlignment="1">
      <alignment horizontal="left"/>
    </xf>
    <xf numFmtId="10" fontId="157" fillId="12" borderId="23" xfId="77" applyNumberFormat="1" applyFont="1" applyFill="1" applyBorder="1" applyAlignment="1" applyProtection="1">
      <alignment horizontal="right"/>
      <protection locked="0"/>
    </xf>
    <xf numFmtId="0" fontId="53" fillId="0" borderId="42" xfId="0" applyFont="1" applyBorder="1" applyAlignment="1">
      <alignment horizontal="left"/>
    </xf>
    <xf numFmtId="0" fontId="157" fillId="12" borderId="57" xfId="0" applyFont="1" applyFill="1" applyBorder="1" applyProtection="1">
      <protection locked="0"/>
    </xf>
    <xf numFmtId="0" fontId="53" fillId="0" borderId="12" xfId="0" applyFont="1" applyBorder="1" applyAlignment="1">
      <alignment horizontal="left"/>
    </xf>
    <xf numFmtId="187" fontId="157" fillId="12" borderId="15" xfId="77" applyFont="1" applyFill="1" applyBorder="1" applyAlignment="1" applyProtection="1">
      <alignment horizontal="center" vertical="center"/>
      <protection locked="0"/>
    </xf>
    <xf numFmtId="0" fontId="157" fillId="12" borderId="54" xfId="0" applyFont="1" applyFill="1" applyBorder="1" applyProtection="1">
      <protection locked="0"/>
    </xf>
    <xf numFmtId="0" fontId="53" fillId="0" borderId="17" xfId="0" applyFont="1" applyBorder="1" applyAlignment="1">
      <alignment horizontal="left"/>
    </xf>
    <xf numFmtId="187" fontId="157" fillId="12" borderId="20" xfId="77" applyFont="1" applyFill="1" applyBorder="1" applyAlignment="1" applyProtection="1">
      <alignment horizontal="center" vertical="center"/>
      <protection locked="0"/>
    </xf>
    <xf numFmtId="0" fontId="54" fillId="0" borderId="0" xfId="0" applyFont="1" applyAlignment="1">
      <alignment horizontal="center"/>
    </xf>
    <xf numFmtId="187" fontId="53" fillId="0" borderId="0" xfId="77" applyFont="1"/>
    <xf numFmtId="0" fontId="53" fillId="0" borderId="44" xfId="0" applyFont="1" applyBorder="1" applyAlignment="1">
      <alignment horizontal="left"/>
    </xf>
    <xf numFmtId="49" fontId="157" fillId="12" borderId="23" xfId="0" applyNumberFormat="1" applyFont="1" applyFill="1" applyBorder="1" applyAlignment="1" applyProtection="1">
      <alignment horizontal="left"/>
      <protection locked="0"/>
    </xf>
    <xf numFmtId="0" fontId="53" fillId="0" borderId="34" xfId="0" applyFont="1" applyBorder="1" applyAlignment="1">
      <alignment horizontal="left"/>
    </xf>
    <xf numFmtId="187" fontId="157" fillId="12" borderId="55" xfId="77" applyFont="1" applyFill="1" applyBorder="1" applyAlignment="1" applyProtection="1">
      <alignment horizontal="right"/>
      <protection locked="0"/>
    </xf>
    <xf numFmtId="190" fontId="157" fillId="12" borderId="94" xfId="77" applyNumberFormat="1" applyFont="1" applyFill="1" applyBorder="1" applyAlignment="1" applyProtection="1">
      <alignment horizontal="right"/>
      <protection locked="0"/>
    </xf>
    <xf numFmtId="187" fontId="157" fillId="12" borderId="94" xfId="77" applyFont="1" applyFill="1" applyBorder="1" applyAlignment="1" applyProtection="1">
      <alignment horizontal="right"/>
      <protection locked="0"/>
    </xf>
    <xf numFmtId="0" fontId="53" fillId="0" borderId="23" xfId="0" applyFont="1" applyBorder="1" applyAlignment="1" applyProtection="1">
      <alignment horizontal="left"/>
      <protection locked="0"/>
    </xf>
    <xf numFmtId="0" fontId="53" fillId="0" borderId="23" xfId="0" applyFont="1" applyBorder="1"/>
    <xf numFmtId="187" fontId="157" fillId="12" borderId="23" xfId="77" applyFont="1" applyFill="1" applyBorder="1" applyAlignment="1" applyProtection="1">
      <alignment horizontal="right"/>
      <protection locked="0"/>
    </xf>
    <xf numFmtId="0" fontId="53" fillId="0" borderId="45" xfId="0" quotePrefix="1" applyFont="1" applyBorder="1"/>
    <xf numFmtId="202" fontId="157" fillId="12" borderId="11" xfId="0" applyNumberFormat="1" applyFont="1" applyFill="1" applyBorder="1" applyAlignment="1" applyProtection="1">
      <alignment horizontal="left"/>
      <protection locked="0"/>
    </xf>
    <xf numFmtId="0" fontId="53" fillId="0" borderId="92" xfId="0" applyFont="1" applyBorder="1" applyAlignment="1">
      <alignment horizontal="left"/>
    </xf>
    <xf numFmtId="210" fontId="158" fillId="44" borderId="94" xfId="0" applyNumberFormat="1" applyFont="1" applyFill="1" applyBorder="1" applyAlignment="1" applyProtection="1">
      <alignment horizontal="center"/>
      <protection locked="0"/>
    </xf>
    <xf numFmtId="187" fontId="53" fillId="0" borderId="0" xfId="77" applyFont="1" applyFill="1" applyBorder="1"/>
    <xf numFmtId="49" fontId="157" fillId="12" borderId="92" xfId="0" applyNumberFormat="1" applyFont="1" applyFill="1" applyBorder="1" applyAlignment="1" applyProtection="1">
      <alignment horizontal="left"/>
      <protection locked="0"/>
    </xf>
    <xf numFmtId="0" fontId="53" fillId="0" borderId="93" xfId="0" applyFont="1" applyBorder="1" applyAlignment="1">
      <alignment horizontal="left"/>
    </xf>
    <xf numFmtId="210" fontId="158" fillId="44" borderId="92" xfId="0" applyNumberFormat="1" applyFont="1" applyFill="1" applyBorder="1" applyAlignment="1" applyProtection="1">
      <alignment horizontal="center"/>
      <protection locked="0"/>
    </xf>
    <xf numFmtId="187" fontId="157" fillId="12" borderId="12" xfId="77" applyFont="1" applyFill="1" applyBorder="1" applyAlignment="1" applyProtection="1">
      <alignment horizontal="left"/>
      <protection locked="0"/>
    </xf>
    <xf numFmtId="0" fontId="53" fillId="0" borderId="16" xfId="0" applyFont="1" applyBorder="1" applyAlignment="1">
      <alignment horizontal="left"/>
    </xf>
    <xf numFmtId="0" fontId="53" fillId="0" borderId="46" xfId="0" applyFont="1" applyBorder="1" applyAlignment="1">
      <alignment horizontal="center"/>
    </xf>
    <xf numFmtId="187" fontId="157" fillId="12" borderId="17" xfId="77" applyFont="1" applyFill="1" applyBorder="1" applyAlignment="1" applyProtection="1">
      <alignment horizontal="left"/>
      <protection locked="0"/>
    </xf>
    <xf numFmtId="0" fontId="53" fillId="0" borderId="21" xfId="0" applyFont="1" applyBorder="1" applyAlignment="1">
      <alignment horizontal="left"/>
    </xf>
    <xf numFmtId="0" fontId="53" fillId="0" borderId="43" xfId="0" applyFont="1" applyBorder="1" applyAlignment="1">
      <alignment horizontal="center"/>
    </xf>
    <xf numFmtId="0" fontId="53" fillId="0" borderId="47" xfId="0" applyFont="1" applyBorder="1" applyAlignment="1">
      <alignment horizontal="center"/>
    </xf>
    <xf numFmtId="187" fontId="157" fillId="12" borderId="58" xfId="77" applyFont="1" applyFill="1" applyBorder="1" applyAlignment="1" applyProtection="1">
      <alignment horizontal="left"/>
      <protection locked="0"/>
    </xf>
    <xf numFmtId="0" fontId="53" fillId="0" borderId="48" xfId="0" applyFont="1" applyBorder="1" applyAlignment="1">
      <alignment horizontal="left"/>
    </xf>
    <xf numFmtId="0" fontId="79" fillId="0" borderId="0" xfId="0" applyFont="1"/>
    <xf numFmtId="0" fontId="79" fillId="0" borderId="0" xfId="0" applyFont="1" applyAlignment="1">
      <alignment horizontal="left"/>
    </xf>
    <xf numFmtId="0" fontId="142" fillId="12" borderId="4" xfId="0" applyFont="1" applyFill="1" applyBorder="1" applyProtection="1">
      <protection hidden="1"/>
    </xf>
    <xf numFmtId="0" fontId="142" fillId="12" borderId="92" xfId="0" applyFont="1" applyFill="1" applyBorder="1" applyProtection="1">
      <protection locked="0" hidden="1"/>
    </xf>
    <xf numFmtId="0" fontId="142" fillId="12" borderId="92" xfId="0" applyFont="1" applyFill="1" applyBorder="1" applyProtection="1">
      <protection hidden="1"/>
    </xf>
    <xf numFmtId="0" fontId="142" fillId="12" borderId="4" xfId="0" applyFont="1" applyFill="1" applyBorder="1" applyProtection="1">
      <protection locked="0" hidden="1"/>
    </xf>
    <xf numFmtId="0" fontId="142" fillId="12" borderId="92" xfId="0" applyFont="1" applyFill="1" applyBorder="1" applyProtection="1">
      <protection locked="0"/>
    </xf>
    <xf numFmtId="0" fontId="134" fillId="0" borderId="0" xfId="0" applyFont="1" applyProtection="1">
      <protection hidden="1"/>
    </xf>
    <xf numFmtId="0" fontId="134" fillId="0" borderId="0" xfId="0" applyFont="1"/>
    <xf numFmtId="187" fontId="134" fillId="12" borderId="0" xfId="77" applyFont="1" applyFill="1" applyBorder="1" applyAlignment="1" applyProtection="1">
      <alignment horizontal="center"/>
    </xf>
    <xf numFmtId="187" fontId="80" fillId="0" borderId="0" xfId="0" applyNumberFormat="1" applyFont="1" applyProtection="1">
      <protection hidden="1"/>
    </xf>
    <xf numFmtId="0" fontId="54" fillId="0" borderId="0" xfId="0" applyFont="1" applyAlignment="1" applyProtection="1">
      <alignment horizontal="left"/>
      <protection hidden="1"/>
    </xf>
    <xf numFmtId="0" fontId="159" fillId="0" borderId="0" xfId="0" applyFont="1" applyAlignment="1" applyProtection="1">
      <alignment horizontal="center"/>
      <protection hidden="1"/>
    </xf>
    <xf numFmtId="41" fontId="80" fillId="12" borderId="17" xfId="77" applyNumberFormat="1" applyFont="1" applyFill="1" applyBorder="1" applyAlignment="1" applyProtection="1">
      <protection locked="0" hidden="1"/>
    </xf>
    <xf numFmtId="187" fontId="80" fillId="0" borderId="0" xfId="0" quotePrefix="1" applyNumberFormat="1" applyFont="1" applyProtection="1">
      <protection hidden="1"/>
    </xf>
    <xf numFmtId="43" fontId="80" fillId="0" borderId="0" xfId="0" applyNumberFormat="1" applyFont="1" applyProtection="1">
      <protection hidden="1"/>
    </xf>
    <xf numFmtId="2" fontId="80" fillId="0" borderId="0" xfId="0" applyNumberFormat="1" applyFont="1" applyProtection="1">
      <protection hidden="1"/>
    </xf>
    <xf numFmtId="194" fontId="80" fillId="0" borderId="0" xfId="0" applyNumberFormat="1" applyFont="1" applyProtection="1">
      <protection hidden="1"/>
    </xf>
    <xf numFmtId="41" fontId="80" fillId="0" borderId="0" xfId="0" applyNumberFormat="1" applyFont="1" applyProtection="1">
      <protection hidden="1"/>
    </xf>
    <xf numFmtId="41" fontId="80" fillId="12" borderId="49" xfId="77" applyNumberFormat="1" applyFont="1" applyFill="1" applyBorder="1" applyAlignment="1" applyProtection="1">
      <protection locked="0" hidden="1"/>
    </xf>
    <xf numFmtId="0" fontId="136" fillId="0" borderId="49" xfId="0" applyFont="1" applyBorder="1" applyProtection="1">
      <protection locked="0"/>
    </xf>
    <xf numFmtId="49" fontId="80" fillId="0" borderId="54" xfId="0" applyNumberFormat="1" applyFont="1" applyBorder="1" applyAlignment="1" applyProtection="1">
      <alignment horizontal="right"/>
      <protection hidden="1"/>
    </xf>
    <xf numFmtId="0" fontId="80" fillId="0" borderId="54" xfId="0" applyFont="1" applyBorder="1" applyAlignment="1" applyProtection="1">
      <alignment horizontal="left"/>
      <protection hidden="1"/>
    </xf>
    <xf numFmtId="0" fontId="80" fillId="0" borderId="21" xfId="0" applyFont="1" applyBorder="1" applyAlignment="1" applyProtection="1">
      <alignment horizontal="left"/>
      <protection hidden="1"/>
    </xf>
    <xf numFmtId="0" fontId="80" fillId="0" borderId="53" xfId="0" applyFont="1" applyBorder="1" applyAlignment="1" applyProtection="1">
      <alignment horizontal="left"/>
      <protection hidden="1"/>
    </xf>
    <xf numFmtId="0" fontId="80" fillId="0" borderId="33" xfId="0" applyFont="1" applyBorder="1" applyAlignment="1" applyProtection="1">
      <alignment horizontal="left"/>
      <protection hidden="1"/>
    </xf>
    <xf numFmtId="0" fontId="80" fillId="0" borderId="50" xfId="0" applyFont="1" applyBorder="1" applyAlignment="1" applyProtection="1">
      <alignment horizontal="left"/>
      <protection hidden="1"/>
    </xf>
    <xf numFmtId="41" fontId="80" fillId="12" borderId="34" xfId="77" applyNumberFormat="1" applyFont="1" applyFill="1" applyBorder="1" applyAlignment="1" applyProtection="1">
      <protection locked="0" hidden="1"/>
    </xf>
    <xf numFmtId="187" fontId="80" fillId="44" borderId="17" xfId="77" applyFont="1" applyFill="1" applyBorder="1" applyAlignment="1" applyProtection="1">
      <protection locked="0" hidden="1"/>
    </xf>
    <xf numFmtId="0" fontId="80" fillId="0" borderId="4" xfId="0" applyFont="1" applyBorder="1" applyAlignment="1" applyProtection="1">
      <alignment horizontal="center"/>
      <protection hidden="1"/>
    </xf>
    <xf numFmtId="0" fontId="134" fillId="0" borderId="3" xfId="0" applyFont="1" applyBorder="1" applyAlignment="1" applyProtection="1">
      <alignment horizontal="left"/>
      <protection hidden="1"/>
    </xf>
    <xf numFmtId="41" fontId="80" fillId="0" borderId="4" xfId="77" applyNumberFormat="1" applyFont="1" applyFill="1" applyBorder="1" applyAlignment="1" applyProtection="1">
      <protection locked="0" hidden="1"/>
    </xf>
    <xf numFmtId="187" fontId="80" fillId="0" borderId="4" xfId="77" applyFont="1" applyFill="1" applyBorder="1" applyAlignment="1" applyProtection="1">
      <protection locked="0" hidden="1"/>
    </xf>
    <xf numFmtId="0" fontId="80" fillId="0" borderId="10" xfId="0" applyFont="1" applyBorder="1" applyProtection="1">
      <protection hidden="1"/>
    </xf>
    <xf numFmtId="0" fontId="135" fillId="0" borderId="12" xfId="0" applyFont="1" applyBorder="1" applyProtection="1">
      <protection hidden="1"/>
    </xf>
    <xf numFmtId="0" fontId="134" fillId="0" borderId="57" xfId="0" applyFont="1" applyBorder="1" applyProtection="1">
      <protection hidden="1"/>
    </xf>
    <xf numFmtId="0" fontId="134" fillId="0" borderId="15" xfId="0" applyFont="1" applyBorder="1" applyProtection="1">
      <protection hidden="1"/>
    </xf>
    <xf numFmtId="0" fontId="80" fillId="0" borderId="12" xfId="0" applyFont="1" applyBorder="1" applyProtection="1">
      <protection hidden="1"/>
    </xf>
    <xf numFmtId="0" fontId="134" fillId="0" borderId="5" xfId="0" applyFont="1" applyBorder="1" applyAlignment="1" applyProtection="1">
      <alignment horizontal="center"/>
      <protection hidden="1"/>
    </xf>
    <xf numFmtId="41" fontId="80" fillId="0" borderId="5" xfId="77" applyNumberFormat="1" applyFont="1" applyFill="1" applyBorder="1" applyAlignment="1" applyProtection="1">
      <protection locked="0" hidden="1"/>
    </xf>
    <xf numFmtId="187" fontId="80" fillId="0" borderId="5" xfId="77" applyFont="1" applyFill="1" applyBorder="1" applyAlignment="1" applyProtection="1">
      <protection locked="0" hidden="1"/>
    </xf>
    <xf numFmtId="201" fontId="80" fillId="0" borderId="5" xfId="77" applyNumberFormat="1" applyFont="1" applyFill="1" applyBorder="1" applyAlignment="1" applyProtection="1">
      <protection locked="0" hidden="1"/>
    </xf>
    <xf numFmtId="0" fontId="80" fillId="0" borderId="5" xfId="0" applyFont="1" applyBorder="1" applyProtection="1">
      <protection hidden="1"/>
    </xf>
    <xf numFmtId="0" fontId="80" fillId="0" borderId="4" xfId="0" applyFont="1" applyBorder="1" applyProtection="1">
      <protection hidden="1"/>
    </xf>
    <xf numFmtId="0" fontId="56" fillId="0" borderId="17" xfId="0" applyFont="1" applyBorder="1" applyAlignment="1" applyProtection="1">
      <alignment horizontal="center"/>
      <protection hidden="1"/>
    </xf>
    <xf numFmtId="0" fontId="80" fillId="0" borderId="0" xfId="0" applyFont="1" applyAlignment="1" applyProtection="1">
      <alignment horizontal="right"/>
      <protection hidden="1"/>
    </xf>
    <xf numFmtId="0" fontId="53" fillId="0" borderId="1" xfId="0" applyFont="1" applyBorder="1" applyProtection="1">
      <protection hidden="1"/>
    </xf>
    <xf numFmtId="0" fontId="54" fillId="0" borderId="3" xfId="0" applyFont="1" applyBorder="1" applyProtection="1">
      <protection hidden="1"/>
    </xf>
    <xf numFmtId="0" fontId="53" fillId="0" borderId="3" xfId="0" applyFont="1" applyBorder="1" applyProtection="1">
      <protection hidden="1"/>
    </xf>
    <xf numFmtId="41" fontId="53" fillId="0" borderId="3" xfId="77" applyNumberFormat="1" applyFont="1" applyFill="1" applyBorder="1" applyAlignment="1" applyProtection="1">
      <protection hidden="1"/>
    </xf>
    <xf numFmtId="187" fontId="53" fillId="0" borderId="3" xfId="77" applyFont="1" applyFill="1" applyBorder="1" applyProtection="1">
      <protection hidden="1"/>
    </xf>
    <xf numFmtId="187" fontId="134" fillId="0" borderId="0" xfId="0" applyNumberFormat="1" applyFont="1" applyAlignment="1" applyProtection="1">
      <alignment horizontal="center"/>
      <protection hidden="1"/>
    </xf>
    <xf numFmtId="187" fontId="53" fillId="0" borderId="10" xfId="77" applyFont="1" applyFill="1" applyBorder="1" applyProtection="1">
      <protection hidden="1"/>
    </xf>
    <xf numFmtId="0" fontId="53" fillId="0" borderId="4" xfId="0" applyFont="1" applyBorder="1" applyProtection="1">
      <protection hidden="1"/>
    </xf>
    <xf numFmtId="188" fontId="80" fillId="0" borderId="0" xfId="0" applyNumberFormat="1" applyFont="1" applyProtection="1">
      <protection hidden="1"/>
    </xf>
    <xf numFmtId="187" fontId="54" fillId="0" borderId="0" xfId="0" applyNumberFormat="1" applyFont="1" applyAlignment="1" applyProtection="1">
      <alignment horizontal="center"/>
      <protection hidden="1"/>
    </xf>
    <xf numFmtId="187" fontId="54" fillId="0" borderId="0" xfId="77" applyFont="1" applyBorder="1" applyAlignment="1" applyProtection="1">
      <alignment horizontal="right"/>
      <protection hidden="1"/>
    </xf>
    <xf numFmtId="201" fontId="53" fillId="0" borderId="0" xfId="77" applyNumberFormat="1" applyFont="1"/>
    <xf numFmtId="0" fontId="134" fillId="0" borderId="0" xfId="0" applyFont="1" applyAlignment="1">
      <alignment vertical="top"/>
    </xf>
    <xf numFmtId="0" fontId="134" fillId="0" borderId="0" xfId="0" applyFont="1" applyAlignment="1" applyProtection="1">
      <alignment vertical="top"/>
      <protection locked="0"/>
    </xf>
    <xf numFmtId="9" fontId="134" fillId="0" borderId="0" xfId="0" applyNumberFormat="1" applyFont="1" applyAlignment="1">
      <alignment horizontal="left" vertical="top"/>
    </xf>
    <xf numFmtId="9" fontId="134" fillId="0" borderId="0" xfId="0" applyNumberFormat="1" applyFont="1" applyAlignment="1">
      <alignment horizontal="center" vertical="top"/>
    </xf>
    <xf numFmtId="0" fontId="80" fillId="0" borderId="0" xfId="0" applyFont="1" applyAlignment="1">
      <alignment vertical="top"/>
    </xf>
    <xf numFmtId="9" fontId="134" fillId="0" borderId="0" xfId="0" applyNumberFormat="1" applyFont="1" applyAlignment="1">
      <alignment vertical="top"/>
    </xf>
    <xf numFmtId="0" fontId="134" fillId="0" borderId="0" xfId="0" applyFont="1" applyAlignment="1">
      <alignment horizontal="left" vertical="top"/>
    </xf>
    <xf numFmtId="0" fontId="144" fillId="7" borderId="7" xfId="0" applyFont="1" applyFill="1" applyBorder="1" applyAlignment="1">
      <alignment horizontal="center" vertical="top"/>
    </xf>
    <xf numFmtId="0" fontId="144" fillId="7" borderId="5" xfId="0" applyFont="1" applyFill="1" applyBorder="1" applyAlignment="1">
      <alignment horizontal="center" vertical="top"/>
    </xf>
    <xf numFmtId="0" fontId="53" fillId="7" borderId="0" xfId="0" applyFont="1" applyFill="1" applyAlignment="1">
      <alignment vertical="top"/>
    </xf>
    <xf numFmtId="0" fontId="144" fillId="7" borderId="11" xfId="0" applyFont="1" applyFill="1" applyBorder="1"/>
    <xf numFmtId="0" fontId="144" fillId="7" borderId="9" xfId="0" applyFont="1" applyFill="1" applyBorder="1"/>
    <xf numFmtId="201" fontId="79" fillId="0" borderId="0" xfId="77" applyNumberFormat="1" applyFont="1"/>
    <xf numFmtId="0" fontId="144" fillId="7" borderId="8" xfId="0" applyFont="1" applyFill="1" applyBorder="1" applyAlignment="1">
      <alignment horizontal="center" vertical="top"/>
    </xf>
    <xf numFmtId="0" fontId="144" fillId="7" borderId="8" xfId="0" applyFont="1" applyFill="1" applyBorder="1" applyAlignment="1">
      <alignment vertical="top"/>
    </xf>
    <xf numFmtId="0" fontId="144" fillId="0" borderId="30" xfId="0" applyFont="1" applyBorder="1" applyAlignment="1">
      <alignment horizontal="center" vertical="top"/>
    </xf>
    <xf numFmtId="0" fontId="144" fillId="0" borderId="31" xfId="0" applyFont="1" applyBorder="1" applyAlignment="1">
      <alignment horizontal="center" vertical="top"/>
    </xf>
    <xf numFmtId="191" fontId="144" fillId="0" borderId="11" xfId="0" applyNumberFormat="1" applyFont="1" applyBorder="1" applyAlignment="1">
      <alignment horizontal="center" vertical="top"/>
    </xf>
    <xf numFmtId="191" fontId="144" fillId="0" borderId="30" xfId="0" applyNumberFormat="1" applyFont="1" applyBorder="1" applyAlignment="1">
      <alignment horizontal="center" vertical="top"/>
    </xf>
    <xf numFmtId="191" fontId="144" fillId="0" borderId="7" xfId="0" applyNumberFormat="1" applyFont="1" applyBorder="1" applyAlignment="1">
      <alignment horizontal="center" vertical="top"/>
    </xf>
    <xf numFmtId="0" fontId="144" fillId="0" borderId="11" xfId="0" applyFont="1" applyBorder="1" applyAlignment="1">
      <alignment horizontal="center" vertical="top"/>
    </xf>
    <xf numFmtId="0" fontId="144" fillId="0" borderId="9" xfId="0" applyFont="1" applyBorder="1" applyAlignment="1">
      <alignment horizontal="center" vertical="top"/>
    </xf>
    <xf numFmtId="191" fontId="144" fillId="0" borderId="5" xfId="0" applyNumberFormat="1" applyFont="1" applyBorder="1" applyAlignment="1">
      <alignment horizontal="center" vertical="top"/>
    </xf>
    <xf numFmtId="201" fontId="79" fillId="0" borderId="0" xfId="77" applyNumberFormat="1" applyFont="1" applyFill="1" applyProtection="1"/>
    <xf numFmtId="0" fontId="144" fillId="0" borderId="26" xfId="0" applyFont="1" applyBorder="1" applyAlignment="1">
      <alignment horizontal="center" vertical="top"/>
    </xf>
    <xf numFmtId="0" fontId="144" fillId="0" borderId="18" xfId="0" applyFont="1" applyBorder="1" applyAlignment="1">
      <alignment horizontal="center" vertical="top"/>
    </xf>
    <xf numFmtId="191" fontId="144" fillId="0" borderId="26" xfId="0" applyNumberFormat="1" applyFont="1" applyBorder="1" applyAlignment="1">
      <alignment horizontal="center" vertical="top"/>
    </xf>
    <xf numFmtId="191" fontId="144" fillId="0" borderId="8" xfId="0" applyNumberFormat="1" applyFont="1" applyBorder="1" applyAlignment="1">
      <alignment horizontal="center" vertical="top"/>
    </xf>
    <xf numFmtId="0" fontId="144" fillId="0" borderId="0" xfId="0" applyFont="1" applyAlignment="1">
      <alignment vertical="top"/>
    </xf>
    <xf numFmtId="0" fontId="144" fillId="0" borderId="0" xfId="0" applyFont="1" applyAlignment="1">
      <alignment horizontal="center" vertical="top"/>
    </xf>
    <xf numFmtId="191" fontId="144" fillId="0" borderId="0" xfId="0" applyNumberFormat="1" applyFont="1" applyAlignment="1">
      <alignment horizontal="center" vertical="top"/>
    </xf>
    <xf numFmtId="0" fontId="54" fillId="0" borderId="5" xfId="0" applyFont="1" applyBorder="1" applyAlignment="1" applyProtection="1">
      <alignment horizontal="center"/>
      <protection hidden="1"/>
    </xf>
    <xf numFmtId="0" fontId="79" fillId="0" borderId="17" xfId="0" applyFont="1" applyBorder="1" applyProtection="1">
      <protection hidden="1"/>
    </xf>
    <xf numFmtId="0" fontId="162" fillId="0" borderId="0" xfId="0" applyFont="1" applyAlignment="1">
      <alignment horizontal="left"/>
    </xf>
    <xf numFmtId="39" fontId="53" fillId="0" borderId="0" xfId="0" applyNumberFormat="1" applyFont="1" applyAlignment="1">
      <alignment horizontal="center"/>
    </xf>
    <xf numFmtId="39" fontId="53" fillId="0" borderId="0" xfId="0" applyNumberFormat="1" applyFont="1"/>
    <xf numFmtId="39" fontId="79" fillId="0" borderId="0" xfId="89" applyFont="1"/>
    <xf numFmtId="0" fontId="157" fillId="0" borderId="0" xfId="0" applyFont="1"/>
    <xf numFmtId="39" fontId="157" fillId="0" borderId="0" xfId="77" applyNumberFormat="1" applyFont="1" applyFill="1" applyAlignment="1" applyProtection="1">
      <alignment horizontal="center"/>
    </xf>
    <xf numFmtId="39" fontId="157" fillId="0" borderId="0" xfId="0" applyNumberFormat="1" applyFont="1" applyAlignment="1">
      <alignment horizontal="center"/>
    </xf>
    <xf numFmtId="2" fontId="77" fillId="0" borderId="4" xfId="0" applyNumberFormat="1" applyFont="1" applyBorder="1" applyAlignment="1">
      <alignment horizontal="center"/>
    </xf>
    <xf numFmtId="0" fontId="79" fillId="0" borderId="7" xfId="0" applyFont="1" applyBorder="1" applyAlignment="1">
      <alignment horizontal="center"/>
    </xf>
    <xf numFmtId="0" fontId="79" fillId="0" borderId="31" xfId="0" applyFont="1" applyBorder="1" applyAlignment="1">
      <alignment horizontal="center"/>
    </xf>
    <xf numFmtId="39" fontId="79" fillId="0" borderId="32" xfId="0" applyNumberFormat="1" applyFont="1" applyBorder="1" applyAlignment="1">
      <alignment horizontal="center"/>
    </xf>
    <xf numFmtId="39" fontId="79" fillId="0" borderId="10" xfId="0" applyNumberFormat="1" applyFont="1" applyBorder="1" applyAlignment="1">
      <alignment horizontal="centerContinuous" vertical="center"/>
    </xf>
    <xf numFmtId="39" fontId="79" fillId="0" borderId="27" xfId="89" applyFont="1" applyBorder="1" applyAlignment="1">
      <alignment horizontal="center" wrapText="1"/>
    </xf>
    <xf numFmtId="0" fontId="79" fillId="0" borderId="5" xfId="0" applyFont="1" applyBorder="1" applyAlignment="1">
      <alignment horizontal="center"/>
    </xf>
    <xf numFmtId="0" fontId="79" fillId="0" borderId="9" xfId="0" applyFont="1" applyBorder="1" applyAlignment="1">
      <alignment horizontal="center"/>
    </xf>
    <xf numFmtId="39" fontId="79" fillId="0" borderId="9" xfId="0" applyNumberFormat="1" applyFont="1" applyBorder="1" applyAlignment="1">
      <alignment horizontal="center"/>
    </xf>
    <xf numFmtId="39" fontId="79" fillId="0" borderId="7" xfId="89" applyFont="1" applyBorder="1"/>
    <xf numFmtId="205" fontId="79" fillId="0" borderId="8" xfId="0" applyNumberFormat="1" applyFont="1" applyBorder="1" applyAlignment="1">
      <alignment horizontal="center" vertical="center" wrapText="1"/>
    </xf>
    <xf numFmtId="205" fontId="79" fillId="0" borderId="4" xfId="0" applyNumberFormat="1" applyFont="1" applyBorder="1" applyAlignment="1">
      <alignment horizontal="center" vertical="center" wrapText="1"/>
    </xf>
    <xf numFmtId="205" fontId="79" fillId="0" borderId="27" xfId="0" applyNumberFormat="1" applyFont="1" applyBorder="1" applyAlignment="1">
      <alignment horizontal="center" vertical="center" wrapText="1"/>
    </xf>
    <xf numFmtId="205" fontId="79" fillId="0" borderId="26" xfId="89" applyNumberFormat="1" applyFont="1" applyBorder="1" applyAlignment="1">
      <alignment horizontal="center" vertical="center"/>
    </xf>
    <xf numFmtId="205" fontId="79" fillId="0" borderId="18" xfId="89" applyNumberFormat="1" applyFont="1" applyBorder="1" applyAlignment="1">
      <alignment horizontal="center" vertical="center"/>
    </xf>
    <xf numFmtId="205" fontId="79" fillId="0" borderId="8" xfId="89" applyNumberFormat="1" applyFont="1" applyBorder="1" applyAlignment="1">
      <alignment horizontal="center" vertical="center"/>
    </xf>
    <xf numFmtId="0" fontId="79" fillId="0" borderId="8" xfId="0" applyFont="1" applyBorder="1" applyAlignment="1">
      <alignment horizontal="center"/>
    </xf>
    <xf numFmtId="0" fontId="79" fillId="0" borderId="18" xfId="0" applyFont="1" applyBorder="1" applyAlignment="1">
      <alignment horizontal="center"/>
    </xf>
    <xf numFmtId="39" fontId="79" fillId="0" borderId="18" xfId="0" applyNumberFormat="1" applyFont="1" applyBorder="1" applyAlignment="1">
      <alignment horizontal="center"/>
    </xf>
    <xf numFmtId="39" fontId="79" fillId="0" borderId="8" xfId="89" applyFont="1" applyBorder="1"/>
    <xf numFmtId="0" fontId="79" fillId="0" borderId="4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79" fillId="0" borderId="50" xfId="0" applyFont="1" applyBorder="1"/>
    <xf numFmtId="0" fontId="79" fillId="0" borderId="50" xfId="0" applyFont="1" applyBorder="1" applyAlignment="1">
      <alignment horizontal="center"/>
    </xf>
    <xf numFmtId="39" fontId="79" fillId="0" borderId="50" xfId="0" applyNumberFormat="1" applyFont="1" applyBorder="1" applyAlignment="1">
      <alignment horizontal="center"/>
    </xf>
    <xf numFmtId="39" fontId="79" fillId="0" borderId="50" xfId="0" applyNumberFormat="1" applyFont="1" applyBorder="1"/>
    <xf numFmtId="39" fontId="79" fillId="43" borderId="49" xfId="89" applyFont="1" applyFill="1" applyBorder="1"/>
    <xf numFmtId="39" fontId="79" fillId="43" borderId="49" xfId="77" applyNumberFormat="1" applyFont="1" applyFill="1" applyBorder="1" applyProtection="1"/>
    <xf numFmtId="39" fontId="79" fillId="43" borderId="49" xfId="77" applyNumberFormat="1" applyFont="1" applyFill="1" applyBorder="1" applyAlignment="1" applyProtection="1">
      <alignment horizontal="center"/>
    </xf>
    <xf numFmtId="39" fontId="79" fillId="43" borderId="49" xfId="0" applyNumberFormat="1" applyFont="1" applyFill="1" applyBorder="1" applyAlignment="1">
      <alignment horizontal="center"/>
    </xf>
    <xf numFmtId="39" fontId="79" fillId="43" borderId="49" xfId="0" applyNumberFormat="1" applyFont="1" applyFill="1" applyBorder="1"/>
    <xf numFmtId="39" fontId="79" fillId="43" borderId="49" xfId="89" applyFont="1" applyFill="1" applyBorder="1" applyAlignment="1">
      <alignment horizontal="center"/>
    </xf>
    <xf numFmtId="0" fontId="79" fillId="0" borderId="17" xfId="0" applyFont="1" applyBorder="1" applyAlignment="1">
      <alignment horizontal="center"/>
    </xf>
    <xf numFmtId="0" fontId="79" fillId="0" borderId="20" xfId="0" applyFont="1" applyBorder="1"/>
    <xf numFmtId="0" fontId="79" fillId="0" borderId="20" xfId="0" applyFont="1" applyBorder="1" applyAlignment="1">
      <alignment horizontal="center"/>
    </xf>
    <xf numFmtId="2" fontId="79" fillId="0" borderId="17" xfId="77" applyNumberFormat="1" applyFont="1" applyFill="1" applyBorder="1" applyAlignment="1" applyProtection="1">
      <alignment horizontal="center" vertical="center" wrapText="1"/>
      <protection hidden="1"/>
    </xf>
    <xf numFmtId="39" fontId="79" fillId="0" borderId="20" xfId="0" applyNumberFormat="1" applyFont="1" applyBorder="1"/>
    <xf numFmtId="39" fontId="79" fillId="43" borderId="17" xfId="89" applyFont="1" applyFill="1" applyBorder="1"/>
    <xf numFmtId="39" fontId="79" fillId="43" borderId="17" xfId="77" applyNumberFormat="1" applyFont="1" applyFill="1" applyBorder="1" applyAlignment="1" applyProtection="1"/>
    <xf numFmtId="39" fontId="79" fillId="43" borderId="17" xfId="77" applyNumberFormat="1" applyFont="1" applyFill="1" applyBorder="1" applyAlignment="1" applyProtection="1">
      <alignment horizontal="center"/>
    </xf>
    <xf numFmtId="39" fontId="79" fillId="43" borderId="17" xfId="0" applyNumberFormat="1" applyFont="1" applyFill="1" applyBorder="1" applyAlignment="1">
      <alignment horizontal="center"/>
    </xf>
    <xf numFmtId="39" fontId="79" fillId="43" borderId="17" xfId="0" applyNumberFormat="1" applyFont="1" applyFill="1" applyBorder="1"/>
    <xf numFmtId="39" fontId="79" fillId="43" borderId="17" xfId="89" applyFont="1" applyFill="1" applyBorder="1" applyAlignment="1">
      <alignment horizontal="center"/>
    </xf>
    <xf numFmtId="193" fontId="79" fillId="0" borderId="20" xfId="0" applyNumberFormat="1" applyFont="1" applyBorder="1" applyAlignment="1">
      <alignment horizontal="center"/>
    </xf>
    <xf numFmtId="2" fontId="79" fillId="0" borderId="17" xfId="89" applyNumberFormat="1" applyFont="1" applyBorder="1" applyAlignment="1" applyProtection="1">
      <alignment horizontal="center" wrapText="1"/>
      <protection hidden="1"/>
    </xf>
    <xf numFmtId="39" fontId="79" fillId="45" borderId="17" xfId="89" applyFont="1" applyFill="1" applyBorder="1"/>
    <xf numFmtId="39" fontId="79" fillId="45" borderId="17" xfId="77" applyNumberFormat="1" applyFont="1" applyFill="1" applyBorder="1" applyAlignment="1" applyProtection="1"/>
    <xf numFmtId="39" fontId="79" fillId="45" borderId="17" xfId="77" applyNumberFormat="1" applyFont="1" applyFill="1" applyBorder="1" applyAlignment="1" applyProtection="1">
      <alignment horizontal="center"/>
    </xf>
    <xf numFmtId="39" fontId="79" fillId="45" borderId="17" xfId="0" applyNumberFormat="1" applyFont="1" applyFill="1" applyBorder="1" applyAlignment="1">
      <alignment horizontal="center"/>
    </xf>
    <xf numFmtId="39" fontId="79" fillId="45" borderId="17" xfId="0" applyNumberFormat="1" applyFont="1" applyFill="1" applyBorder="1"/>
    <xf numFmtId="39" fontId="79" fillId="45" borderId="17" xfId="77" applyNumberFormat="1" applyFont="1" applyFill="1" applyBorder="1" applyProtection="1"/>
    <xf numFmtId="4" fontId="79" fillId="0" borderId="17" xfId="77" applyNumberFormat="1" applyFont="1" applyFill="1" applyBorder="1" applyAlignment="1" applyProtection="1">
      <alignment horizontal="center" vertical="center" wrapText="1"/>
      <protection hidden="1"/>
    </xf>
    <xf numFmtId="39" fontId="79" fillId="46" borderId="17" xfId="89" applyFont="1" applyFill="1" applyBorder="1"/>
    <xf numFmtId="39" fontId="79" fillId="46" borderId="17" xfId="77" applyNumberFormat="1" applyFont="1" applyFill="1" applyBorder="1" applyProtection="1"/>
    <xf numFmtId="39" fontId="79" fillId="46" borderId="17" xfId="77" applyNumberFormat="1" applyFont="1" applyFill="1" applyBorder="1" applyAlignment="1" applyProtection="1">
      <alignment horizontal="center"/>
    </xf>
    <xf numFmtId="39" fontId="79" fillId="46" borderId="17" xfId="0" applyNumberFormat="1" applyFont="1" applyFill="1" applyBorder="1" applyAlignment="1">
      <alignment horizontal="center"/>
    </xf>
    <xf numFmtId="39" fontId="79" fillId="46" borderId="17" xfId="0" applyNumberFormat="1" applyFont="1" applyFill="1" applyBorder="1"/>
    <xf numFmtId="39" fontId="163" fillId="0" borderId="17" xfId="89" applyFont="1" applyBorder="1"/>
    <xf numFmtId="39" fontId="163" fillId="0" borderId="17" xfId="0" applyNumberFormat="1" applyFont="1" applyBorder="1" applyAlignment="1">
      <alignment horizontal="center"/>
    </xf>
    <xf numFmtId="39" fontId="163" fillId="0" borderId="17" xfId="0" applyNumberFormat="1" applyFont="1" applyBorder="1"/>
    <xf numFmtId="39" fontId="79" fillId="0" borderId="17" xfId="89" applyFont="1" applyBorder="1"/>
    <xf numFmtId="206" fontId="79" fillId="0" borderId="0" xfId="89" applyNumberFormat="1" applyFont="1"/>
    <xf numFmtId="39" fontId="79" fillId="0" borderId="17" xfId="0" applyNumberFormat="1" applyFont="1" applyBorder="1" applyAlignment="1">
      <alignment horizontal="center"/>
    </xf>
    <xf numFmtId="39" fontId="79" fillId="0" borderId="17" xfId="0" applyNumberFormat="1" applyFont="1" applyBorder="1"/>
    <xf numFmtId="0" fontId="79" fillId="0" borderId="23" xfId="0" applyFont="1" applyBorder="1" applyAlignment="1">
      <alignment horizontal="center"/>
    </xf>
    <xf numFmtId="0" fontId="79" fillId="0" borderId="25" xfId="0" applyFont="1" applyBorder="1"/>
    <xf numFmtId="193" fontId="79" fillId="0" borderId="25" xfId="0" applyNumberFormat="1" applyFont="1" applyBorder="1" applyAlignment="1">
      <alignment horizontal="center"/>
    </xf>
    <xf numFmtId="2" fontId="79" fillId="0" borderId="23" xfId="77" applyNumberFormat="1" applyFont="1" applyFill="1" applyBorder="1" applyAlignment="1" applyProtection="1">
      <alignment horizontal="center" vertical="center" wrapText="1"/>
      <protection hidden="1"/>
    </xf>
    <xf numFmtId="39" fontId="79" fillId="0" borderId="25" xfId="0" applyNumberFormat="1" applyFont="1" applyBorder="1"/>
    <xf numFmtId="39" fontId="79" fillId="0" borderId="0" xfId="89" applyFont="1" applyAlignment="1">
      <alignment horizontal="center"/>
    </xf>
    <xf numFmtId="39" fontId="79" fillId="0" borderId="0" xfId="89" applyFont="1" applyAlignment="1">
      <alignment shrinkToFit="1"/>
    </xf>
    <xf numFmtId="39" fontId="79" fillId="0" borderId="0" xfId="0" applyNumberFormat="1" applyFont="1" applyAlignment="1">
      <alignment horizontal="center" shrinkToFit="1"/>
    </xf>
    <xf numFmtId="39" fontId="79" fillId="0" borderId="0" xfId="0" applyNumberFormat="1" applyFont="1" applyAlignment="1">
      <alignment shrinkToFit="1"/>
    </xf>
    <xf numFmtId="0" fontId="80" fillId="0" borderId="56" xfId="0" applyFont="1" applyBorder="1" applyAlignment="1" applyProtection="1">
      <alignment horizontal="left"/>
      <protection hidden="1"/>
    </xf>
    <xf numFmtId="0" fontId="80" fillId="0" borderId="51" xfId="0" applyFont="1" applyBorder="1" applyAlignment="1" applyProtection="1">
      <alignment horizontal="left"/>
      <protection hidden="1"/>
    </xf>
    <xf numFmtId="0" fontId="53" fillId="0" borderId="0" xfId="0" applyFont="1" applyAlignment="1">
      <alignment horizontal="center" vertical="center"/>
    </xf>
    <xf numFmtId="0" fontId="54" fillId="0" borderId="30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54" fillId="0" borderId="32" xfId="0" applyFont="1" applyBorder="1" applyAlignment="1">
      <alignment horizontal="center" vertical="center"/>
    </xf>
    <xf numFmtId="0" fontId="54" fillId="0" borderId="31" xfId="0" applyFont="1" applyBorder="1" applyAlignment="1">
      <alignment horizontal="center" vertical="center"/>
    </xf>
    <xf numFmtId="187" fontId="54" fillId="0" borderId="7" xfId="77" applyFont="1" applyBorder="1" applyAlignment="1" applyProtection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3" fillId="0" borderId="57" xfId="0" applyFont="1" applyBorder="1" applyAlignment="1">
      <alignment horizontal="center" vertical="center"/>
    </xf>
    <xf numFmtId="0" fontId="53" fillId="0" borderId="33" xfId="0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187" fontId="53" fillId="44" borderId="12" xfId="77" applyFont="1" applyFill="1" applyBorder="1" applyAlignment="1">
      <alignment horizontal="center" vertical="center"/>
    </xf>
    <xf numFmtId="0" fontId="53" fillId="0" borderId="12" xfId="0" applyFont="1" applyBorder="1" applyAlignment="1">
      <alignment horizontal="center" vertical="center"/>
    </xf>
    <xf numFmtId="0" fontId="53" fillId="0" borderId="54" xfId="0" applyFont="1" applyBorder="1" applyAlignment="1">
      <alignment horizontal="center" vertical="center"/>
    </xf>
    <xf numFmtId="0" fontId="53" fillId="0" borderId="21" xfId="0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/>
    </xf>
    <xf numFmtId="187" fontId="53" fillId="44" borderId="17" xfId="77" applyFont="1" applyFill="1" applyBorder="1" applyAlignment="1">
      <alignment horizontal="center" vertical="center"/>
    </xf>
    <xf numFmtId="0" fontId="53" fillId="0" borderId="17" xfId="0" applyFont="1" applyBorder="1" applyAlignment="1">
      <alignment horizontal="center" vertical="center"/>
    </xf>
    <xf numFmtId="0" fontId="53" fillId="0" borderId="54" xfId="0" applyFont="1" applyBorder="1" applyAlignment="1" applyProtection="1">
      <alignment horizontal="center"/>
      <protection hidden="1"/>
    </xf>
    <xf numFmtId="0" fontId="53" fillId="0" borderId="51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53" fillId="0" borderId="52" xfId="0" applyFont="1" applyBorder="1" applyAlignment="1" applyProtection="1">
      <alignment horizontal="center"/>
      <protection hidden="1"/>
    </xf>
    <xf numFmtId="0" fontId="53" fillId="0" borderId="24" xfId="0" applyFont="1" applyBorder="1" applyAlignment="1">
      <alignment horizontal="center" vertical="center"/>
    </xf>
    <xf numFmtId="0" fontId="53" fillId="0" borderId="25" xfId="0" applyFont="1" applyBorder="1" applyAlignment="1">
      <alignment horizontal="center" vertical="center"/>
    </xf>
    <xf numFmtId="187" fontId="53" fillId="44" borderId="23" xfId="77" applyFont="1" applyFill="1" applyBorder="1" applyAlignment="1">
      <alignment horizontal="center" vertical="center"/>
    </xf>
    <xf numFmtId="0" fontId="53" fillId="0" borderId="23" xfId="0" applyFont="1" applyBorder="1" applyAlignment="1">
      <alignment horizontal="center" vertical="center"/>
    </xf>
    <xf numFmtId="0" fontId="55" fillId="0" borderId="0" xfId="0" applyFont="1" applyAlignment="1" applyProtection="1">
      <alignment horizontal="centerContinuous" vertical="center"/>
      <protection hidden="1"/>
    </xf>
    <xf numFmtId="41" fontId="54" fillId="0" borderId="0" xfId="0" applyNumberFormat="1" applyFont="1" applyAlignment="1" applyProtection="1">
      <alignment horizontal="centerContinuous" vertical="center"/>
      <protection hidden="1"/>
    </xf>
    <xf numFmtId="0" fontId="53" fillId="0" borderId="0" xfId="0" applyFont="1" applyAlignment="1" applyProtection="1">
      <alignment horizontal="centerContinuous" vertical="center"/>
      <protection hidden="1"/>
    </xf>
    <xf numFmtId="0" fontId="53" fillId="0" borderId="0" xfId="0" applyFont="1" applyAlignment="1">
      <alignment horizontal="centerContinuous" vertical="center"/>
    </xf>
    <xf numFmtId="187" fontId="55" fillId="0" borderId="0" xfId="77" applyFont="1" applyFill="1" applyBorder="1" applyAlignment="1" applyProtection="1">
      <alignment horizontal="centerContinuous" vertical="center"/>
      <protection hidden="1"/>
    </xf>
    <xf numFmtId="0" fontId="54" fillId="0" borderId="1" xfId="0" applyFont="1" applyBorder="1" applyAlignment="1" applyProtection="1">
      <alignment horizontal="center"/>
      <protection hidden="1"/>
    </xf>
    <xf numFmtId="41" fontId="54" fillId="0" borderId="3" xfId="0" applyNumberFormat="1" applyFont="1" applyBorder="1" applyAlignment="1" applyProtection="1">
      <alignment horizontal="center"/>
      <protection hidden="1"/>
    </xf>
    <xf numFmtId="0" fontId="54" fillId="0" borderId="10" xfId="0" applyFont="1" applyBorder="1"/>
    <xf numFmtId="187" fontId="54" fillId="0" borderId="4" xfId="77" applyFont="1" applyFill="1" applyBorder="1" applyAlignment="1" applyProtection="1">
      <alignment horizontal="center"/>
      <protection hidden="1"/>
    </xf>
    <xf numFmtId="0" fontId="54" fillId="0" borderId="4" xfId="0" applyFont="1" applyBorder="1" applyAlignment="1">
      <alignment horizontal="center"/>
    </xf>
    <xf numFmtId="0" fontId="53" fillId="0" borderId="53" xfId="0" applyFont="1" applyBorder="1" applyProtection="1">
      <protection hidden="1"/>
    </xf>
    <xf numFmtId="0" fontId="53" fillId="0" borderId="33" xfId="0" applyFont="1" applyBorder="1" applyProtection="1">
      <protection hidden="1"/>
    </xf>
    <xf numFmtId="41" fontId="157" fillId="0" borderId="33" xfId="0" applyNumberFormat="1" applyFont="1" applyBorder="1" applyAlignment="1" applyProtection="1">
      <alignment horizontal="center"/>
      <protection hidden="1"/>
    </xf>
    <xf numFmtId="0" fontId="53" fillId="0" borderId="50" xfId="0" applyFont="1" applyBorder="1" applyAlignment="1" applyProtection="1">
      <alignment horizontal="center"/>
      <protection hidden="1"/>
    </xf>
    <xf numFmtId="187" fontId="53" fillId="44" borderId="49" xfId="77" applyFont="1" applyFill="1" applyBorder="1" applyAlignment="1" applyProtection="1">
      <alignment horizontal="left"/>
      <protection hidden="1"/>
    </xf>
    <xf numFmtId="0" fontId="53" fillId="0" borderId="49" xfId="0" applyFont="1" applyBorder="1"/>
    <xf numFmtId="0" fontId="53" fillId="0" borderId="54" xfId="0" applyFont="1" applyBorder="1" applyProtection="1">
      <protection hidden="1"/>
    </xf>
    <xf numFmtId="0" fontId="53" fillId="0" borderId="21" xfId="0" applyFont="1" applyBorder="1" applyProtection="1">
      <protection hidden="1"/>
    </xf>
    <xf numFmtId="41" fontId="157" fillId="0" borderId="21" xfId="0" applyNumberFormat="1" applyFont="1" applyBorder="1" applyAlignment="1" applyProtection="1">
      <alignment horizontal="center"/>
      <protection hidden="1"/>
    </xf>
    <xf numFmtId="0" fontId="53" fillId="0" borderId="20" xfId="0" applyFont="1" applyBorder="1" applyAlignment="1" applyProtection="1">
      <alignment horizontal="center"/>
      <protection hidden="1"/>
    </xf>
    <xf numFmtId="187" fontId="53" fillId="44" borderId="17" xfId="77" applyFont="1" applyFill="1" applyBorder="1" applyProtection="1"/>
    <xf numFmtId="0" fontId="53" fillId="0" borderId="56" xfId="0" applyFont="1" applyBorder="1" applyProtection="1">
      <protection hidden="1"/>
    </xf>
    <xf numFmtId="0" fontId="53" fillId="0" borderId="51" xfId="0" applyFont="1" applyBorder="1" applyProtection="1">
      <protection hidden="1"/>
    </xf>
    <xf numFmtId="41" fontId="157" fillId="0" borderId="51" xfId="0" applyNumberFormat="1" applyFont="1" applyBorder="1" applyAlignment="1" applyProtection="1">
      <alignment horizontal="center"/>
      <protection hidden="1"/>
    </xf>
    <xf numFmtId="0" fontId="53" fillId="0" borderId="55" xfId="0" applyFont="1" applyBorder="1" applyAlignment="1" applyProtection="1">
      <alignment horizontal="center"/>
      <protection hidden="1"/>
    </xf>
    <xf numFmtId="187" fontId="53" fillId="44" borderId="34" xfId="77" applyFont="1" applyFill="1" applyBorder="1" applyProtection="1"/>
    <xf numFmtId="0" fontId="53" fillId="0" borderId="34" xfId="0" applyFont="1" applyBorder="1"/>
    <xf numFmtId="0" fontId="53" fillId="0" borderId="17" xfId="0" applyFont="1" applyBorder="1"/>
    <xf numFmtId="187" fontId="53" fillId="0" borderId="0" xfId="77" applyFont="1" applyFill="1" applyBorder="1" applyAlignment="1" applyProtection="1">
      <alignment horizontal="center"/>
      <protection hidden="1"/>
    </xf>
    <xf numFmtId="2" fontId="53" fillId="0" borderId="0" xfId="0" applyNumberFormat="1" applyFont="1" applyAlignment="1">
      <alignment horizontal="center" vertical="center"/>
    </xf>
    <xf numFmtId="41" fontId="157" fillId="0" borderId="27" xfId="0" applyNumberFormat="1" applyFont="1" applyBorder="1" applyAlignment="1" applyProtection="1">
      <alignment horizontal="center"/>
      <protection hidden="1"/>
    </xf>
    <xf numFmtId="0" fontId="53" fillId="0" borderId="18" xfId="0" applyFont="1" applyBorder="1" applyAlignment="1" applyProtection="1">
      <alignment horizontal="center"/>
      <protection hidden="1"/>
    </xf>
    <xf numFmtId="187" fontId="53" fillId="44" borderId="8" xfId="77" applyFont="1" applyFill="1" applyBorder="1" applyProtection="1"/>
    <xf numFmtId="0" fontId="53" fillId="0" borderId="8" xfId="0" applyFont="1" applyBorder="1"/>
    <xf numFmtId="0" fontId="55" fillId="0" borderId="0" xfId="0" applyFont="1" applyAlignment="1">
      <alignment horizontal="centerContinuous" vertical="center"/>
    </xf>
    <xf numFmtId="41" fontId="54" fillId="0" borderId="0" xfId="0" applyNumberFormat="1" applyFont="1" applyAlignment="1">
      <alignment horizontal="centerContinuous" vertical="center"/>
    </xf>
    <xf numFmtId="187" fontId="55" fillId="0" borderId="0" xfId="77" applyFont="1" applyFill="1" applyBorder="1" applyAlignment="1" applyProtection="1">
      <alignment horizontal="centerContinuous" vertical="center"/>
    </xf>
    <xf numFmtId="0" fontId="54" fillId="0" borderId="1" xfId="0" applyFont="1" applyBorder="1" applyAlignment="1">
      <alignment horizontal="center"/>
    </xf>
    <xf numFmtId="41" fontId="54" fillId="0" borderId="3" xfId="0" applyNumberFormat="1" applyFont="1" applyBorder="1" applyAlignment="1">
      <alignment horizontal="center"/>
    </xf>
    <xf numFmtId="0" fontId="54" fillId="0" borderId="3" xfId="0" applyFont="1" applyBorder="1"/>
    <xf numFmtId="187" fontId="54" fillId="0" borderId="4" xfId="77" applyFont="1" applyFill="1" applyBorder="1" applyAlignment="1" applyProtection="1">
      <alignment horizontal="center"/>
    </xf>
    <xf numFmtId="0" fontId="53" fillId="0" borderId="52" xfId="0" applyFont="1" applyBorder="1" applyProtection="1">
      <protection hidden="1"/>
    </xf>
    <xf numFmtId="0" fontId="53" fillId="0" borderId="24" xfId="0" applyFont="1" applyBorder="1" applyProtection="1">
      <protection hidden="1"/>
    </xf>
    <xf numFmtId="41" fontId="157" fillId="0" borderId="24" xfId="0" applyNumberFormat="1" applyFont="1" applyBorder="1" applyAlignment="1" applyProtection="1">
      <alignment horizontal="center"/>
      <protection hidden="1"/>
    </xf>
    <xf numFmtId="0" fontId="53" fillId="0" borderId="25" xfId="0" applyFont="1" applyBorder="1" applyAlignment="1" applyProtection="1">
      <alignment horizontal="center"/>
      <protection hidden="1"/>
    </xf>
    <xf numFmtId="187" fontId="53" fillId="44" borderId="23" xfId="77" applyFont="1" applyFill="1" applyBorder="1" applyProtection="1"/>
    <xf numFmtId="187" fontId="53" fillId="0" borderId="0" xfId="77" applyFont="1" applyAlignment="1">
      <alignment horizontal="center" vertical="center"/>
    </xf>
    <xf numFmtId="0" fontId="79" fillId="0" borderId="12" xfId="0" applyFont="1" applyBorder="1" applyAlignment="1" applyProtection="1">
      <alignment horizontal="center"/>
      <protection hidden="1"/>
    </xf>
    <xf numFmtId="0" fontId="79" fillId="0" borderId="49" xfId="0" applyFont="1" applyBorder="1" applyAlignment="1" applyProtection="1">
      <alignment horizontal="center"/>
      <protection hidden="1"/>
    </xf>
    <xf numFmtId="187" fontId="79" fillId="0" borderId="49" xfId="77" applyFont="1" applyFill="1" applyBorder="1" applyAlignment="1" applyProtection="1">
      <protection hidden="1"/>
    </xf>
    <xf numFmtId="187" fontId="79" fillId="0" borderId="17" xfId="77" applyFont="1" applyFill="1" applyBorder="1" applyAlignment="1" applyProtection="1">
      <alignment horizontal="center"/>
      <protection hidden="1"/>
    </xf>
    <xf numFmtId="0" fontId="79" fillId="0" borderId="34" xfId="0" applyFont="1" applyBorder="1" applyAlignment="1" applyProtection="1">
      <alignment horizontal="center"/>
      <protection hidden="1"/>
    </xf>
    <xf numFmtId="0" fontId="79" fillId="0" borderId="4" xfId="0" applyFont="1" applyBorder="1" applyAlignment="1" applyProtection="1">
      <alignment horizontal="center"/>
      <protection hidden="1"/>
    </xf>
    <xf numFmtId="0" fontId="79" fillId="0" borderId="5" xfId="0" applyFont="1" applyBorder="1" applyAlignment="1" applyProtection="1">
      <alignment horizontal="center"/>
      <protection hidden="1"/>
    </xf>
    <xf numFmtId="0" fontId="79" fillId="0" borderId="4" xfId="0" applyFont="1" applyBorder="1" applyProtection="1">
      <protection hidden="1"/>
    </xf>
    <xf numFmtId="39" fontId="79" fillId="0" borderId="0" xfId="89" applyFont="1" applyProtection="1">
      <protection hidden="1"/>
    </xf>
    <xf numFmtId="1" fontId="79" fillId="0" borderId="0" xfId="89" applyNumberFormat="1" applyFont="1" applyAlignment="1" applyProtection="1">
      <alignment horizontal="left"/>
      <protection hidden="1"/>
    </xf>
    <xf numFmtId="39" fontId="142" fillId="0" borderId="0" xfId="89" applyFont="1" applyAlignment="1" applyProtection="1">
      <alignment horizontal="right"/>
      <protection hidden="1"/>
    </xf>
    <xf numFmtId="39" fontId="79" fillId="0" borderId="0" xfId="89" applyFont="1" applyAlignment="1" applyProtection="1">
      <alignment horizontal="right"/>
      <protection hidden="1"/>
    </xf>
    <xf numFmtId="188" fontId="79" fillId="0" borderId="0" xfId="89" applyNumberFormat="1" applyFont="1" applyAlignment="1" applyProtection="1">
      <alignment horizontal="right"/>
      <protection hidden="1"/>
    </xf>
    <xf numFmtId="37" fontId="79" fillId="0" borderId="0" xfId="89" applyNumberFormat="1" applyFont="1" applyAlignment="1">
      <alignment horizontal="center"/>
    </xf>
    <xf numFmtId="1" fontId="79" fillId="0" borderId="0" xfId="89" quotePrefix="1" applyNumberFormat="1" applyFont="1" applyAlignment="1">
      <alignment horizontal="center"/>
    </xf>
    <xf numFmtId="1" fontId="79" fillId="0" borderId="27" xfId="89" quotePrefix="1" applyNumberFormat="1" applyFont="1" applyBorder="1"/>
    <xf numFmtId="1" fontId="79" fillId="0" borderId="27" xfId="89" quotePrefix="1" applyNumberFormat="1" applyFont="1" applyBorder="1" applyAlignment="1">
      <alignment horizontal="center"/>
    </xf>
    <xf numFmtId="1" fontId="79" fillId="0" borderId="0" xfId="89" applyNumberFormat="1" applyFont="1" applyAlignment="1" applyProtection="1">
      <alignment horizontal="center"/>
      <protection hidden="1"/>
    </xf>
    <xf numFmtId="39" fontId="162" fillId="0" borderId="93" xfId="89" applyFont="1" applyBorder="1" applyAlignment="1">
      <alignment vertical="center" wrapText="1"/>
    </xf>
    <xf numFmtId="39" fontId="162" fillId="0" borderId="96" xfId="89" applyFont="1" applyBorder="1" applyAlignment="1">
      <alignment vertical="center" wrapText="1"/>
    </xf>
    <xf numFmtId="39" fontId="144" fillId="0" borderId="31" xfId="89" applyFont="1" applyBorder="1" applyAlignment="1">
      <alignment horizontal="center" vertical="center" wrapText="1"/>
    </xf>
    <xf numFmtId="39" fontId="144" fillId="0" borderId="32" xfId="89" applyFont="1" applyBorder="1" applyAlignment="1">
      <alignment vertical="center" wrapText="1"/>
    </xf>
    <xf numFmtId="39" fontId="144" fillId="0" borderId="32" xfId="89" applyFont="1" applyBorder="1" applyAlignment="1">
      <alignment horizontal="center" vertical="center" wrapText="1"/>
    </xf>
    <xf numFmtId="1" fontId="79" fillId="0" borderId="7" xfId="89" applyNumberFormat="1" applyFont="1" applyBorder="1" applyAlignment="1" applyProtection="1">
      <alignment horizontal="center"/>
      <protection hidden="1"/>
    </xf>
    <xf numFmtId="39" fontId="79" fillId="0" borderId="31" xfId="89" applyFont="1" applyBorder="1" applyAlignment="1" applyProtection="1">
      <alignment horizontal="center"/>
      <protection hidden="1"/>
    </xf>
    <xf numFmtId="39" fontId="79" fillId="0" borderId="0" xfId="89" applyFont="1" applyAlignment="1" applyProtection="1">
      <alignment horizontal="center"/>
      <protection hidden="1"/>
    </xf>
    <xf numFmtId="188" fontId="79" fillId="0" borderId="7" xfId="89" applyNumberFormat="1" applyFont="1" applyBorder="1" applyAlignment="1" applyProtection="1">
      <alignment horizontal="center"/>
      <protection hidden="1"/>
    </xf>
    <xf numFmtId="39" fontId="162" fillId="0" borderId="0" xfId="89" applyFont="1" applyAlignment="1">
      <alignment vertical="center" wrapText="1"/>
    </xf>
    <xf numFmtId="39" fontId="162" fillId="0" borderId="9" xfId="89" applyFont="1" applyBorder="1" applyAlignment="1">
      <alignment vertical="center" wrapText="1"/>
    </xf>
    <xf numFmtId="39" fontId="144" fillId="0" borderId="18" xfId="89" applyFont="1" applyBorder="1" applyAlignment="1">
      <alignment horizontal="center" vertical="center" wrapText="1"/>
    </xf>
    <xf numFmtId="39" fontId="144" fillId="0" borderId="27" xfId="89" applyFont="1" applyBorder="1" applyAlignment="1">
      <alignment vertical="center" wrapText="1"/>
    </xf>
    <xf numFmtId="39" fontId="144" fillId="0" borderId="27" xfId="89" applyFont="1" applyBorder="1" applyAlignment="1">
      <alignment horizontal="center" vertical="center" wrapText="1"/>
    </xf>
    <xf numFmtId="1" fontId="79" fillId="0" borderId="8" xfId="89" applyNumberFormat="1" applyFont="1" applyBorder="1" applyAlignment="1" applyProtection="1">
      <alignment horizontal="center"/>
      <protection hidden="1"/>
    </xf>
    <xf numFmtId="39" fontId="79" fillId="0" borderId="18" xfId="89" applyFont="1" applyBorder="1" applyAlignment="1" applyProtection="1">
      <alignment horizontal="center"/>
      <protection hidden="1"/>
    </xf>
    <xf numFmtId="39" fontId="79" fillId="0" borderId="18" xfId="89" quotePrefix="1" applyFont="1" applyBorder="1" applyAlignment="1" applyProtection="1">
      <alignment horizontal="center"/>
      <protection hidden="1"/>
    </xf>
    <xf numFmtId="39" fontId="79" fillId="0" borderId="0" xfId="89" quotePrefix="1" applyFont="1" applyAlignment="1" applyProtection="1">
      <alignment horizontal="center"/>
      <protection hidden="1"/>
    </xf>
    <xf numFmtId="188" fontId="79" fillId="0" borderId="8" xfId="89" applyNumberFormat="1" applyFont="1" applyBorder="1" applyAlignment="1" applyProtection="1">
      <alignment horizontal="center"/>
      <protection hidden="1"/>
    </xf>
    <xf numFmtId="39" fontId="53" fillId="43" borderId="97" xfId="57" applyFont="1" applyFill="1" applyBorder="1" applyAlignment="1">
      <alignment horizontal="right"/>
    </xf>
    <xf numFmtId="39" fontId="53" fillId="43" borderId="71" xfId="57" applyFont="1" applyFill="1" applyBorder="1" applyAlignment="1">
      <alignment horizontal="right"/>
    </xf>
    <xf numFmtId="39" fontId="53" fillId="45" borderId="71" xfId="57" applyFont="1" applyFill="1" applyBorder="1" applyAlignment="1">
      <alignment horizontal="right"/>
    </xf>
    <xf numFmtId="39" fontId="53" fillId="45" borderId="71" xfId="57" applyFont="1" applyFill="1" applyBorder="1"/>
    <xf numFmtId="39" fontId="53" fillId="45" borderId="97" xfId="57" applyFont="1" applyFill="1" applyBorder="1"/>
    <xf numFmtId="39" fontId="53" fillId="45" borderId="69" xfId="57" applyFont="1" applyFill="1" applyBorder="1"/>
    <xf numFmtId="39" fontId="53" fillId="45" borderId="73" xfId="57" applyFont="1" applyFill="1" applyBorder="1"/>
    <xf numFmtId="39" fontId="53" fillId="43" borderId="97" xfId="57" applyFont="1" applyFill="1" applyBorder="1"/>
    <xf numFmtId="39" fontId="53" fillId="43" borderId="69" xfId="57" applyFont="1" applyFill="1" applyBorder="1"/>
    <xf numFmtId="39" fontId="79" fillId="0" borderId="8" xfId="57" applyFont="1" applyBorder="1"/>
    <xf numFmtId="39" fontId="53" fillId="43" borderId="89" xfId="57" applyFont="1" applyFill="1" applyBorder="1"/>
    <xf numFmtId="39" fontId="53" fillId="45" borderId="89" xfId="57" applyFont="1" applyFill="1" applyBorder="1"/>
    <xf numFmtId="39" fontId="53" fillId="45" borderId="90" xfId="57" applyFont="1" applyFill="1" applyBorder="1"/>
    <xf numFmtId="39" fontId="53" fillId="45" borderId="79" xfId="57" applyFont="1" applyFill="1" applyBorder="1"/>
    <xf numFmtId="39" fontId="53" fillId="45" borderId="91" xfId="57" applyFont="1" applyFill="1" applyBorder="1"/>
    <xf numFmtId="39" fontId="53" fillId="43" borderId="90" xfId="57" applyFont="1" applyFill="1" applyBorder="1"/>
    <xf numFmtId="1" fontId="79" fillId="0" borderId="7" xfId="89" applyNumberFormat="1" applyFont="1" applyBorder="1" applyProtection="1">
      <protection hidden="1"/>
    </xf>
    <xf numFmtId="2" fontId="53" fillId="0" borderId="5" xfId="77" applyNumberFormat="1" applyFont="1" applyFill="1" applyBorder="1" applyAlignment="1" applyProtection="1">
      <alignment horizontal="right" vertical="center" wrapText="1"/>
      <protection hidden="1"/>
    </xf>
    <xf numFmtId="2" fontId="79" fillId="0" borderId="31" xfId="77" applyNumberFormat="1" applyFont="1" applyFill="1" applyBorder="1" applyAlignment="1" applyProtection="1">
      <alignment horizontal="right" vertical="center"/>
      <protection hidden="1"/>
    </xf>
    <xf numFmtId="2" fontId="79" fillId="0" borderId="0" xfId="77" applyNumberFormat="1" applyFont="1" applyFill="1" applyBorder="1" applyAlignment="1" applyProtection="1">
      <alignment horizontal="right" vertical="center"/>
      <protection hidden="1"/>
    </xf>
    <xf numFmtId="188" fontId="53" fillId="0" borderId="5" xfId="77" applyNumberFormat="1" applyFont="1" applyFill="1" applyBorder="1" applyAlignment="1" applyProtection="1">
      <alignment horizontal="right" vertical="center" wrapText="1"/>
      <protection hidden="1"/>
    </xf>
    <xf numFmtId="2" fontId="79" fillId="0" borderId="9" xfId="77" applyNumberFormat="1" applyFont="1" applyFill="1" applyBorder="1" applyAlignment="1" applyProtection="1">
      <alignment horizontal="right" vertical="center"/>
      <protection hidden="1"/>
    </xf>
    <xf numFmtId="2" fontId="53" fillId="0" borderId="11" xfId="77" applyNumberFormat="1" applyFont="1" applyFill="1" applyBorder="1" applyAlignment="1" applyProtection="1">
      <alignment horizontal="right" vertical="center" wrapText="1"/>
      <protection hidden="1"/>
    </xf>
    <xf numFmtId="2" fontId="53" fillId="0" borderId="9" xfId="77" applyNumberFormat="1" applyFont="1" applyFill="1" applyBorder="1" applyAlignment="1" applyProtection="1">
      <alignment horizontal="right" vertical="center" wrapText="1"/>
      <protection hidden="1"/>
    </xf>
    <xf numFmtId="37" fontId="79" fillId="44" borderId="15" xfId="89" applyNumberFormat="1" applyFont="1" applyFill="1" applyBorder="1" applyAlignment="1">
      <alignment horizontal="center"/>
    </xf>
    <xf numFmtId="39" fontId="53" fillId="43" borderId="98" xfId="57" applyFont="1" applyFill="1" applyBorder="1"/>
    <xf numFmtId="39" fontId="53" fillId="45" borderId="98" xfId="57" applyFont="1" applyFill="1" applyBorder="1"/>
    <xf numFmtId="39" fontId="53" fillId="45" borderId="99" xfId="57" applyFont="1" applyFill="1" applyBorder="1" applyAlignment="1">
      <alignment horizontal="right"/>
    </xf>
    <xf numFmtId="39" fontId="53" fillId="45" borderId="99" xfId="57" applyFont="1" applyFill="1" applyBorder="1"/>
    <xf numFmtId="39" fontId="53" fillId="45" borderId="100" xfId="57" applyFont="1" applyFill="1" applyBorder="1" applyAlignment="1">
      <alignment horizontal="right"/>
    </xf>
    <xf numFmtId="39" fontId="53" fillId="45" borderId="101" xfId="57" applyFont="1" applyFill="1" applyBorder="1" applyAlignment="1">
      <alignment horizontal="right"/>
    </xf>
    <xf numFmtId="39" fontId="53" fillId="43" borderId="101" xfId="57" applyFont="1" applyFill="1" applyBorder="1" applyAlignment="1">
      <alignment horizontal="right"/>
    </xf>
    <xf numFmtId="2" fontId="79" fillId="0" borderId="49" xfId="57" applyNumberFormat="1" applyFont="1" applyBorder="1" applyProtection="1">
      <protection locked="0"/>
    </xf>
    <xf numFmtId="39" fontId="79" fillId="0" borderId="49" xfId="57" applyFont="1" applyBorder="1"/>
    <xf numFmtId="2" fontId="79" fillId="0" borderId="49" xfId="57" applyNumberFormat="1" applyFont="1" applyBorder="1"/>
    <xf numFmtId="37" fontId="148" fillId="44" borderId="49" xfId="89" applyNumberFormat="1" applyFont="1" applyFill="1" applyBorder="1" applyAlignment="1">
      <alignment horizontal="center"/>
    </xf>
    <xf numFmtId="2" fontId="53" fillId="45" borderId="103" xfId="0" applyNumberFormat="1" applyFont="1" applyFill="1" applyBorder="1"/>
    <xf numFmtId="4" fontId="79" fillId="0" borderId="49" xfId="57" applyNumberFormat="1" applyFont="1" applyBorder="1"/>
    <xf numFmtId="4" fontId="79" fillId="0" borderId="49" xfId="57" applyNumberFormat="1" applyFont="1" applyBorder="1" applyAlignment="1">
      <alignment horizontal="right"/>
    </xf>
    <xf numFmtId="39" fontId="79" fillId="0" borderId="49" xfId="57" applyFont="1" applyBorder="1" applyAlignment="1">
      <alignment horizontal="right"/>
    </xf>
    <xf numFmtId="1" fontId="79" fillId="0" borderId="5" xfId="89" applyNumberFormat="1" applyFont="1" applyBorder="1" applyProtection="1">
      <protection hidden="1"/>
    </xf>
    <xf numFmtId="37" fontId="79" fillId="44" borderId="20" xfId="89" applyNumberFormat="1" applyFont="1" applyFill="1" applyBorder="1" applyAlignment="1">
      <alignment horizontal="center"/>
    </xf>
    <xf numFmtId="39" fontId="53" fillId="43" borderId="46" xfId="57" applyFont="1" applyFill="1" applyBorder="1"/>
    <xf numFmtId="39" fontId="53" fillId="45" borderId="46" xfId="57" applyFont="1" applyFill="1" applyBorder="1"/>
    <xf numFmtId="39" fontId="53" fillId="45" borderId="17" xfId="57" applyFont="1" applyFill="1" applyBorder="1" applyAlignment="1">
      <alignment horizontal="right"/>
    </xf>
    <xf numFmtId="39" fontId="53" fillId="45" borderId="17" xfId="57" applyFont="1" applyFill="1" applyBorder="1"/>
    <xf numFmtId="39" fontId="53" fillId="45" borderId="59" xfId="57" applyFont="1" applyFill="1" applyBorder="1" applyAlignment="1">
      <alignment horizontal="right"/>
    </xf>
    <xf numFmtId="39" fontId="53" fillId="45" borderId="60" xfId="57" applyFont="1" applyFill="1" applyBorder="1" applyAlignment="1">
      <alignment horizontal="right"/>
    </xf>
    <xf numFmtId="39" fontId="53" fillId="43" borderId="60" xfId="57" applyFont="1" applyFill="1" applyBorder="1" applyAlignment="1">
      <alignment horizontal="right"/>
    </xf>
    <xf numFmtId="2" fontId="79" fillId="0" borderId="17" xfId="57" applyNumberFormat="1" applyFont="1" applyBorder="1" applyProtection="1">
      <protection locked="0"/>
    </xf>
    <xf numFmtId="39" fontId="79" fillId="0" borderId="17" xfId="57" applyFont="1" applyBorder="1"/>
    <xf numFmtId="2" fontId="79" fillId="0" borderId="17" xfId="57" applyNumberFormat="1" applyFont="1" applyBorder="1"/>
    <xf numFmtId="37" fontId="148" fillId="44" borderId="17" xfId="89" applyNumberFormat="1" applyFont="1" applyFill="1" applyBorder="1" applyAlignment="1">
      <alignment horizontal="center"/>
    </xf>
    <xf numFmtId="2" fontId="53" fillId="45" borderId="21" xfId="0" applyNumberFormat="1" applyFont="1" applyFill="1" applyBorder="1"/>
    <xf numFmtId="4" fontId="79" fillId="0" borderId="17" xfId="57" applyNumberFormat="1" applyFont="1" applyBorder="1"/>
    <xf numFmtId="4" fontId="79" fillId="0" borderId="17" xfId="57" applyNumberFormat="1" applyFont="1" applyBorder="1" applyAlignment="1">
      <alignment horizontal="right"/>
    </xf>
    <xf numFmtId="39" fontId="79" fillId="0" borderId="17" xfId="57" applyFont="1" applyBorder="1" applyAlignment="1">
      <alignment horizontal="right"/>
    </xf>
    <xf numFmtId="37" fontId="79" fillId="44" borderId="17" xfId="89" applyNumberFormat="1" applyFont="1" applyFill="1" applyBorder="1" applyAlignment="1">
      <alignment horizontal="center"/>
    </xf>
    <xf numFmtId="39" fontId="53" fillId="43" borderId="46" xfId="57" applyFont="1" applyFill="1" applyBorder="1" applyAlignment="1">
      <alignment horizontal="right"/>
    </xf>
    <xf numFmtId="39" fontId="53" fillId="45" borderId="46" xfId="57" applyFont="1" applyFill="1" applyBorder="1" applyAlignment="1">
      <alignment horizontal="right"/>
    </xf>
    <xf numFmtId="39" fontId="53" fillId="18" borderId="17" xfId="57" applyFont="1" applyFill="1" applyBorder="1"/>
    <xf numFmtId="0" fontId="79" fillId="0" borderId="17" xfId="0" applyFont="1" applyBorder="1"/>
    <xf numFmtId="37" fontId="79" fillId="44" borderId="23" xfId="89" applyNumberFormat="1" applyFont="1" applyFill="1" applyBorder="1" applyAlignment="1">
      <alignment horizontal="center"/>
    </xf>
    <xf numFmtId="39" fontId="53" fillId="43" borderId="47" xfId="57" applyFont="1" applyFill="1" applyBorder="1"/>
    <xf numFmtId="39" fontId="53" fillId="45" borderId="47" xfId="57" applyFont="1" applyFill="1" applyBorder="1"/>
    <xf numFmtId="39" fontId="53" fillId="45" borderId="58" xfId="57" applyFont="1" applyFill="1" applyBorder="1" applyAlignment="1">
      <alignment horizontal="right"/>
    </xf>
    <xf numFmtId="39" fontId="53" fillId="45" borderId="58" xfId="57" applyFont="1" applyFill="1" applyBorder="1"/>
    <xf numFmtId="39" fontId="53" fillId="45" borderId="74" xfId="57" applyFont="1" applyFill="1" applyBorder="1" applyAlignment="1">
      <alignment horizontal="right"/>
    </xf>
    <xf numFmtId="39" fontId="53" fillId="45" borderId="102" xfId="57" applyFont="1" applyFill="1" applyBorder="1" applyAlignment="1">
      <alignment horizontal="right"/>
    </xf>
    <xf numFmtId="39" fontId="53" fillId="43" borderId="102" xfId="57" applyFont="1" applyFill="1" applyBorder="1" applyAlignment="1">
      <alignment horizontal="right"/>
    </xf>
    <xf numFmtId="39" fontId="79" fillId="0" borderId="34" xfId="57" applyFont="1" applyBorder="1"/>
    <xf numFmtId="2" fontId="79" fillId="0" borderId="34" xfId="57" applyNumberFormat="1" applyFont="1" applyBorder="1"/>
    <xf numFmtId="2" fontId="79" fillId="0" borderId="34" xfId="57" applyNumberFormat="1" applyFont="1" applyBorder="1" applyProtection="1">
      <protection locked="0"/>
    </xf>
    <xf numFmtId="2" fontId="79" fillId="0" borderId="5" xfId="57" applyNumberFormat="1" applyFont="1" applyBorder="1" applyProtection="1">
      <protection locked="0"/>
    </xf>
    <xf numFmtId="39" fontId="79" fillId="0" borderId="8" xfId="57" applyFont="1" applyBorder="1" applyProtection="1">
      <protection locked="0"/>
    </xf>
    <xf numFmtId="37" fontId="148" fillId="44" borderId="34" xfId="89" applyNumberFormat="1" applyFont="1" applyFill="1" applyBorder="1" applyAlignment="1">
      <alignment horizontal="center"/>
    </xf>
    <xf numFmtId="2" fontId="53" fillId="45" borderId="58" xfId="0" applyNumberFormat="1" applyFont="1" applyFill="1" applyBorder="1"/>
    <xf numFmtId="4" fontId="79" fillId="0" borderId="34" xfId="57" applyNumberFormat="1" applyFont="1" applyBorder="1"/>
    <xf numFmtId="4" fontId="79" fillId="0" borderId="34" xfId="57" applyNumberFormat="1" applyFont="1" applyBorder="1" applyAlignment="1">
      <alignment horizontal="right"/>
    </xf>
    <xf numFmtId="0" fontId="79" fillId="0" borderId="34" xfId="0" applyFont="1" applyBorder="1"/>
    <xf numFmtId="2" fontId="79" fillId="0" borderId="5" xfId="77" applyNumberFormat="1" applyFont="1" applyFill="1" applyBorder="1" applyAlignment="1" applyProtection="1">
      <alignment horizontal="right" vertical="center" wrapText="1"/>
      <protection hidden="1"/>
    </xf>
    <xf numFmtId="188" fontId="79" fillId="0" borderId="5" xfId="77" applyNumberFormat="1" applyFont="1" applyFill="1" applyBorder="1" applyAlignment="1" applyProtection="1">
      <alignment horizontal="right" vertical="center" wrapText="1"/>
      <protection hidden="1"/>
    </xf>
    <xf numFmtId="37" fontId="79" fillId="44" borderId="92" xfId="89" applyNumberFormat="1" applyFont="1" applyFill="1" applyBorder="1" applyAlignment="1">
      <alignment horizontal="center"/>
    </xf>
    <xf numFmtId="39" fontId="53" fillId="45" borderId="79" xfId="57" applyFont="1" applyFill="1" applyBorder="1" applyAlignment="1">
      <alignment horizontal="right"/>
    </xf>
    <xf numFmtId="39" fontId="53" fillId="45" borderId="80" xfId="57" applyFont="1" applyFill="1" applyBorder="1" applyAlignment="1">
      <alignment horizontal="right"/>
    </xf>
    <xf numFmtId="39" fontId="53" fillId="43" borderId="79" xfId="57" applyFont="1" applyFill="1" applyBorder="1" applyAlignment="1">
      <alignment horizontal="right"/>
    </xf>
    <xf numFmtId="39" fontId="79" fillId="0" borderId="4" xfId="57" applyFont="1" applyBorder="1" applyProtection="1">
      <protection locked="0"/>
    </xf>
    <xf numFmtId="39" fontId="79" fillId="0" borderId="4" xfId="57" applyFont="1" applyBorder="1"/>
    <xf numFmtId="2" fontId="79" fillId="0" borderId="4" xfId="57" applyNumberFormat="1" applyFont="1" applyBorder="1" applyProtection="1">
      <protection locked="0"/>
    </xf>
    <xf numFmtId="37" fontId="148" fillId="44" borderId="92" xfId="89" applyNumberFormat="1" applyFont="1" applyFill="1" applyBorder="1" applyAlignment="1">
      <alignment horizontal="center"/>
    </xf>
    <xf numFmtId="2" fontId="53" fillId="45" borderId="79" xfId="0" applyNumberFormat="1" applyFont="1" applyFill="1" applyBorder="1"/>
    <xf numFmtId="0" fontId="53" fillId="43" borderId="79" xfId="0" applyFont="1" applyFill="1" applyBorder="1"/>
    <xf numFmtId="39" fontId="79" fillId="0" borderId="4" xfId="57" applyFont="1" applyBorder="1" applyAlignment="1">
      <alignment horizontal="right"/>
    </xf>
    <xf numFmtId="39" fontId="79" fillId="0" borderId="4" xfId="89" applyFont="1" applyBorder="1" applyAlignment="1">
      <alignment horizontal="center"/>
    </xf>
    <xf numFmtId="39" fontId="53" fillId="0" borderId="0" xfId="89" applyFont="1" applyProtection="1">
      <protection hidden="1"/>
    </xf>
    <xf numFmtId="1" fontId="53" fillId="0" borderId="8" xfId="89" applyNumberFormat="1" applyFont="1" applyBorder="1" applyProtection="1">
      <protection hidden="1"/>
    </xf>
    <xf numFmtId="2" fontId="53" fillId="0" borderId="8" xfId="77" applyNumberFormat="1" applyFont="1" applyFill="1" applyBorder="1" applyAlignment="1" applyProtection="1">
      <alignment horizontal="right" vertical="center" wrapText="1"/>
      <protection hidden="1"/>
    </xf>
    <xf numFmtId="2" fontId="53" fillId="0" borderId="18" xfId="77" applyNumberFormat="1" applyFont="1" applyFill="1" applyBorder="1" applyAlignment="1" applyProtection="1">
      <alignment horizontal="right" vertical="center"/>
      <protection hidden="1"/>
    </xf>
    <xf numFmtId="2" fontId="53" fillId="0" borderId="0" xfId="77" applyNumberFormat="1" applyFont="1" applyFill="1" applyBorder="1" applyAlignment="1" applyProtection="1">
      <alignment horizontal="right" vertical="center"/>
      <protection hidden="1"/>
    </xf>
    <xf numFmtId="188" fontId="53" fillId="0" borderId="8" xfId="77" applyNumberFormat="1" applyFont="1" applyFill="1" applyBorder="1" applyAlignment="1" applyProtection="1">
      <alignment horizontal="right" vertical="center" wrapText="1"/>
      <protection hidden="1"/>
    </xf>
    <xf numFmtId="1" fontId="53" fillId="0" borderId="4" xfId="89" applyNumberFormat="1" applyFont="1" applyBorder="1" applyProtection="1">
      <protection hidden="1"/>
    </xf>
    <xf numFmtId="2" fontId="53" fillId="0" borderId="10" xfId="77" applyNumberFormat="1" applyFont="1" applyFill="1" applyBorder="1" applyAlignment="1" applyProtection="1">
      <alignment horizontal="right" vertical="center"/>
      <protection hidden="1"/>
    </xf>
    <xf numFmtId="2" fontId="53" fillId="0" borderId="27" xfId="77" applyNumberFormat="1" applyFont="1" applyFill="1" applyBorder="1" applyAlignment="1" applyProtection="1">
      <alignment horizontal="right" vertical="center"/>
      <protection hidden="1"/>
    </xf>
    <xf numFmtId="1" fontId="53" fillId="0" borderId="0" xfId="89" applyNumberFormat="1" applyFont="1" applyProtection="1">
      <protection hidden="1"/>
    </xf>
    <xf numFmtId="39" fontId="53" fillId="0" borderId="0" xfId="89" applyFont="1" applyAlignment="1" applyProtection="1">
      <alignment horizontal="right"/>
      <protection hidden="1"/>
    </xf>
    <xf numFmtId="188" fontId="53" fillId="0" borderId="0" xfId="89" applyNumberFormat="1" applyFont="1" applyAlignment="1" applyProtection="1">
      <alignment horizontal="right"/>
      <protection hidden="1"/>
    </xf>
    <xf numFmtId="0" fontId="165" fillId="0" borderId="0" xfId="0" applyFont="1" applyProtection="1">
      <protection hidden="1"/>
    </xf>
    <xf numFmtId="41" fontId="165" fillId="0" borderId="0" xfId="77" applyNumberFormat="1" applyFont="1" applyFill="1" applyAlignment="1" applyProtection="1">
      <protection hidden="1"/>
    </xf>
    <xf numFmtId="187" fontId="165" fillId="0" borderId="0" xfId="77" applyFont="1" applyFill="1" applyProtection="1">
      <protection hidden="1"/>
    </xf>
    <xf numFmtId="187" fontId="54" fillId="0" borderId="0" xfId="77" applyFont="1" applyFill="1" applyAlignment="1" applyProtection="1">
      <alignment horizontal="center"/>
      <protection hidden="1"/>
    </xf>
    <xf numFmtId="0" fontId="134" fillId="0" borderId="49" xfId="0" applyFont="1" applyBorder="1" applyAlignment="1" applyProtection="1">
      <alignment horizontal="center"/>
      <protection locked="0"/>
    </xf>
    <xf numFmtId="0" fontId="54" fillId="0" borderId="5" xfId="0" applyFont="1" applyBorder="1" applyAlignment="1" applyProtection="1">
      <alignment horizontal="centerContinuous" vertical="center" wrapText="1"/>
      <protection hidden="1"/>
    </xf>
    <xf numFmtId="0" fontId="54" fillId="0" borderId="11" xfId="0" applyFont="1" applyBorder="1" applyAlignment="1" applyProtection="1">
      <alignment horizontal="centerContinuous" vertical="center"/>
      <protection hidden="1"/>
    </xf>
    <xf numFmtId="0" fontId="54" fillId="0" borderId="9" xfId="0" applyFont="1" applyBorder="1" applyAlignment="1" applyProtection="1">
      <alignment horizontal="centerContinuous" vertical="center"/>
      <protection hidden="1"/>
    </xf>
    <xf numFmtId="0" fontId="54" fillId="0" borderId="5" xfId="0" applyFont="1" applyBorder="1" applyAlignment="1" applyProtection="1">
      <alignment horizontal="centerContinuous" vertical="center"/>
      <protection hidden="1"/>
    </xf>
    <xf numFmtId="41" fontId="54" fillId="0" borderId="5" xfId="77" applyNumberFormat="1" applyFont="1" applyFill="1" applyBorder="1" applyAlignment="1" applyProtection="1">
      <alignment horizontal="center" vertical="center"/>
      <protection hidden="1"/>
    </xf>
    <xf numFmtId="187" fontId="54" fillId="0" borderId="5" xfId="77" applyFont="1" applyFill="1" applyBorder="1" applyAlignment="1" applyProtection="1">
      <alignment horizontal="center" vertical="center" wrapText="1"/>
      <protection hidden="1"/>
    </xf>
    <xf numFmtId="187" fontId="54" fillId="0" borderId="5" xfId="77" applyFont="1" applyFill="1" applyBorder="1" applyAlignment="1" applyProtection="1">
      <alignment horizontal="centerContinuous" vertical="center" wrapText="1"/>
      <protection hidden="1"/>
    </xf>
    <xf numFmtId="0" fontId="56" fillId="0" borderId="17" xfId="0" applyFont="1" applyBorder="1" applyAlignment="1" applyProtection="1">
      <alignment horizontal="center"/>
      <protection locked="0"/>
    </xf>
    <xf numFmtId="41" fontId="80" fillId="12" borderId="0" xfId="77" applyNumberFormat="1" applyFont="1" applyFill="1" applyBorder="1" applyAlignment="1" applyProtection="1">
      <protection locked="0" hidden="1"/>
    </xf>
    <xf numFmtId="187" fontId="54" fillId="0" borderId="0" xfId="77" applyFont="1" applyFill="1" applyBorder="1" applyProtection="1">
      <protection hidden="1"/>
    </xf>
    <xf numFmtId="0" fontId="80" fillId="0" borderId="11" xfId="0" applyFont="1" applyBorder="1" applyProtection="1">
      <protection hidden="1"/>
    </xf>
    <xf numFmtId="0" fontId="80" fillId="0" borderId="9" xfId="0" applyFont="1" applyBorder="1" applyProtection="1">
      <protection hidden="1"/>
    </xf>
    <xf numFmtId="0" fontId="80" fillId="0" borderId="5" xfId="0" applyFont="1" applyBorder="1" applyAlignment="1" applyProtection="1">
      <alignment horizontal="center"/>
      <protection hidden="1"/>
    </xf>
    <xf numFmtId="0" fontId="80" fillId="0" borderId="94" xfId="0" applyFont="1" applyBorder="1" applyAlignment="1" applyProtection="1">
      <alignment horizontal="center"/>
      <protection hidden="1"/>
    </xf>
    <xf numFmtId="0" fontId="134" fillId="0" borderId="93" xfId="0" applyFont="1" applyBorder="1" applyAlignment="1" applyProtection="1">
      <alignment horizontal="left"/>
      <protection hidden="1"/>
    </xf>
    <xf numFmtId="0" fontId="79" fillId="0" borderId="94" xfId="0" applyFont="1" applyBorder="1" applyAlignment="1" applyProtection="1">
      <alignment horizontal="center"/>
      <protection hidden="1"/>
    </xf>
    <xf numFmtId="41" fontId="80" fillId="0" borderId="94" xfId="77" applyNumberFormat="1" applyFont="1" applyFill="1" applyBorder="1" applyAlignment="1" applyProtection="1">
      <protection locked="0" hidden="1"/>
    </xf>
    <xf numFmtId="187" fontId="80" fillId="0" borderId="94" xfId="77" applyFont="1" applyFill="1" applyBorder="1" applyAlignment="1" applyProtection="1">
      <protection locked="0" hidden="1"/>
    </xf>
    <xf numFmtId="0" fontId="80" fillId="0" borderId="96" xfId="0" applyFont="1" applyBorder="1" applyProtection="1">
      <protection hidden="1"/>
    </xf>
    <xf numFmtId="0" fontId="80" fillId="0" borderId="92" xfId="0" applyFont="1" applyBorder="1" applyProtection="1">
      <protection hidden="1"/>
    </xf>
    <xf numFmtId="0" fontId="134" fillId="0" borderId="105" xfId="0" applyFont="1" applyBorder="1" applyAlignment="1" applyProtection="1">
      <alignment horizontal="left"/>
      <protection hidden="1"/>
    </xf>
    <xf numFmtId="0" fontId="79" fillId="0" borderId="92" xfId="0" applyFont="1" applyBorder="1" applyProtection="1">
      <protection hidden="1"/>
    </xf>
    <xf numFmtId="41" fontId="80" fillId="0" borderId="92" xfId="77" applyNumberFormat="1" applyFont="1" applyFill="1" applyBorder="1" applyAlignment="1" applyProtection="1">
      <protection locked="0" hidden="1"/>
    </xf>
    <xf numFmtId="187" fontId="80" fillId="0" borderId="92" xfId="77" applyFont="1" applyFill="1" applyBorder="1" applyAlignment="1" applyProtection="1">
      <protection locked="0" hidden="1"/>
    </xf>
    <xf numFmtId="187" fontId="153" fillId="47" borderId="116" xfId="77" applyFont="1" applyFill="1" applyBorder="1" applyAlignment="1">
      <alignment horizontal="left" vertical="center" wrapText="1"/>
    </xf>
    <xf numFmtId="187" fontId="166" fillId="47" borderId="116" xfId="77" applyFont="1" applyFill="1" applyBorder="1" applyAlignment="1">
      <alignment horizontal="left" vertical="center" wrapText="1"/>
    </xf>
    <xf numFmtId="0" fontId="167" fillId="47" borderId="116" xfId="0" applyFont="1" applyFill="1" applyBorder="1" applyAlignment="1">
      <alignment horizontal="center" vertical="center" wrapText="1"/>
    </xf>
    <xf numFmtId="0" fontId="167" fillId="47" borderId="116" xfId="0" applyFont="1" applyFill="1" applyBorder="1" applyAlignment="1">
      <alignment vertical="center" wrapText="1"/>
    </xf>
    <xf numFmtId="187" fontId="134" fillId="0" borderId="0" xfId="77" applyFont="1" applyFill="1" applyBorder="1" applyAlignment="1" applyProtection="1">
      <alignment horizontal="center"/>
    </xf>
    <xf numFmtId="187" fontId="143" fillId="12" borderId="4" xfId="77" applyFont="1" applyFill="1" applyBorder="1" applyAlignment="1" applyProtection="1">
      <alignment horizontal="center"/>
      <protection locked="0" hidden="1"/>
    </xf>
    <xf numFmtId="187" fontId="143" fillId="12" borderId="92" xfId="77" applyFont="1" applyFill="1" applyBorder="1" applyAlignment="1" applyProtection="1">
      <alignment horizontal="center"/>
      <protection locked="0" hidden="1"/>
    </xf>
    <xf numFmtId="187" fontId="143" fillId="12" borderId="92" xfId="77" applyFont="1" applyFill="1" applyBorder="1" applyAlignment="1" applyProtection="1">
      <alignment horizontal="center"/>
      <protection locked="0"/>
    </xf>
    <xf numFmtId="187" fontId="143" fillId="0" borderId="3" xfId="77" applyFont="1" applyFill="1" applyBorder="1" applyAlignment="1" applyProtection="1">
      <alignment horizontal="center"/>
    </xf>
    <xf numFmtId="187" fontId="149" fillId="0" borderId="92" xfId="77" applyFont="1" applyFill="1" applyBorder="1" applyAlignment="1" applyProtection="1">
      <alignment horizontal="center"/>
      <protection locked="0"/>
    </xf>
    <xf numFmtId="187" fontId="143" fillId="16" borderId="4" xfId="77" applyFont="1" applyFill="1" applyBorder="1" applyAlignment="1" applyProtection="1">
      <alignment horizontal="center"/>
      <protection locked="0"/>
    </xf>
    <xf numFmtId="187" fontId="168" fillId="16" borderId="4" xfId="77" applyFont="1" applyFill="1" applyBorder="1" applyAlignment="1" applyProtection="1">
      <alignment horizontal="center"/>
      <protection locked="0"/>
    </xf>
    <xf numFmtId="187" fontId="168" fillId="16" borderId="92" xfId="77" applyFont="1" applyFill="1" applyBorder="1" applyAlignment="1" applyProtection="1">
      <alignment horizontal="center"/>
      <protection locked="0"/>
    </xf>
    <xf numFmtId="187" fontId="169" fillId="0" borderId="4" xfId="77" applyFont="1" applyFill="1" applyBorder="1" applyAlignment="1" applyProtection="1">
      <alignment horizontal="center"/>
      <protection locked="0"/>
    </xf>
    <xf numFmtId="187" fontId="143" fillId="0" borderId="4" xfId="77" applyFont="1" applyFill="1" applyBorder="1" applyAlignment="1" applyProtection="1">
      <alignment horizontal="center"/>
      <protection locked="0"/>
    </xf>
    <xf numFmtId="4" fontId="143" fillId="12" borderId="92" xfId="0" applyNumberFormat="1" applyFont="1" applyFill="1" applyBorder="1" applyProtection="1">
      <protection locked="0" hidden="1"/>
    </xf>
    <xf numFmtId="4" fontId="143" fillId="44" borderId="92" xfId="0" applyNumberFormat="1" applyFont="1" applyFill="1" applyBorder="1" applyProtection="1">
      <protection locked="0" hidden="1"/>
    </xf>
    <xf numFmtId="4" fontId="143" fillId="12" borderId="92" xfId="0" applyNumberFormat="1" applyFont="1" applyFill="1" applyBorder="1" applyProtection="1">
      <protection locked="0"/>
    </xf>
    <xf numFmtId="187" fontId="143" fillId="12" borderId="92" xfId="77" applyFont="1" applyFill="1" applyBorder="1" applyProtection="1">
      <protection locked="0"/>
    </xf>
    <xf numFmtId="187" fontId="143" fillId="12" borderId="92" xfId="77" applyFont="1" applyFill="1" applyBorder="1" applyProtection="1">
      <protection hidden="1"/>
    </xf>
    <xf numFmtId="187" fontId="143" fillId="44" borderId="92" xfId="77" applyFont="1" applyFill="1" applyBorder="1" applyProtection="1">
      <protection hidden="1"/>
    </xf>
    <xf numFmtId="187" fontId="143" fillId="12" borderId="92" xfId="77" applyFont="1" applyFill="1" applyBorder="1" applyAlignment="1" applyProtection="1">
      <alignment horizontal="right"/>
      <protection hidden="1"/>
    </xf>
    <xf numFmtId="187" fontId="143" fillId="12" borderId="92" xfId="77" applyFont="1" applyFill="1" applyBorder="1" applyAlignment="1" applyProtection="1">
      <protection hidden="1"/>
    </xf>
    <xf numFmtId="3" fontId="149" fillId="12" borderId="4" xfId="0" applyNumberFormat="1" applyFont="1" applyFill="1" applyBorder="1" applyAlignment="1" applyProtection="1">
      <alignment horizontal="center"/>
      <protection locked="0" hidden="1"/>
    </xf>
    <xf numFmtId="3" fontId="149" fillId="44" borderId="4" xfId="0" applyNumberFormat="1" applyFont="1" applyFill="1" applyBorder="1" applyAlignment="1" applyProtection="1">
      <alignment horizontal="center"/>
      <protection locked="0" hidden="1"/>
    </xf>
    <xf numFmtId="3" fontId="168" fillId="44" borderId="92" xfId="0" applyNumberFormat="1" applyFont="1" applyFill="1" applyBorder="1" applyAlignment="1" applyProtection="1">
      <alignment horizontal="center"/>
      <protection hidden="1"/>
    </xf>
    <xf numFmtId="0" fontId="149" fillId="44" borderId="92" xfId="0" applyFont="1" applyFill="1" applyBorder="1" applyAlignment="1" applyProtection="1">
      <alignment horizontal="center"/>
      <protection hidden="1"/>
    </xf>
    <xf numFmtId="3" fontId="80" fillId="0" borderId="0" xfId="0" applyNumberFormat="1" applyFont="1" applyAlignment="1" applyProtection="1">
      <alignment horizontal="center"/>
      <protection hidden="1"/>
    </xf>
    <xf numFmtId="3" fontId="143" fillId="44" borderId="4" xfId="0" applyNumberFormat="1" applyFont="1" applyFill="1" applyBorder="1" applyAlignment="1" applyProtection="1">
      <alignment horizontal="center"/>
      <protection locked="0" hidden="1"/>
    </xf>
    <xf numFmtId="189" fontId="80" fillId="0" borderId="0" xfId="0" applyNumberFormat="1" applyFont="1" applyAlignment="1" applyProtection="1">
      <alignment horizontal="center"/>
      <protection hidden="1"/>
    </xf>
    <xf numFmtId="3" fontId="149" fillId="44" borderId="4" xfId="0" applyNumberFormat="1" applyFont="1" applyFill="1" applyBorder="1" applyAlignment="1" applyProtection="1">
      <alignment horizontal="center"/>
      <protection hidden="1"/>
    </xf>
    <xf numFmtId="0" fontId="80" fillId="0" borderId="0" xfId="0" applyFont="1" applyAlignment="1" applyProtection="1">
      <alignment horizontal="center"/>
      <protection hidden="1"/>
    </xf>
    <xf numFmtId="0" fontId="170" fillId="0" borderId="0" xfId="0" applyFont="1" applyAlignment="1" applyProtection="1">
      <alignment horizontal="center"/>
      <protection hidden="1"/>
    </xf>
    <xf numFmtId="0" fontId="144" fillId="0" borderId="0" xfId="0" quotePrefix="1" applyFont="1" applyAlignment="1" applyProtection="1">
      <alignment horizontal="left"/>
      <protection hidden="1"/>
    </xf>
    <xf numFmtId="187" fontId="134" fillId="0" borderId="4" xfId="77" applyFont="1" applyFill="1" applyBorder="1" applyAlignment="1" applyProtection="1">
      <protection locked="0" hidden="1"/>
    </xf>
    <xf numFmtId="201" fontId="169" fillId="0" borderId="17" xfId="77" applyNumberFormat="1" applyFont="1" applyFill="1" applyBorder="1" applyAlignment="1" applyProtection="1">
      <protection locked="0" hidden="1"/>
    </xf>
    <xf numFmtId="187" fontId="169" fillId="0" borderId="17" xfId="77" applyFont="1" applyFill="1" applyBorder="1" applyAlignment="1" applyProtection="1">
      <protection locked="0" hidden="1"/>
    </xf>
    <xf numFmtId="201" fontId="169" fillId="0" borderId="49" xfId="77" applyNumberFormat="1" applyFont="1" applyFill="1" applyBorder="1" applyAlignment="1" applyProtection="1">
      <protection locked="0" hidden="1"/>
    </xf>
    <xf numFmtId="187" fontId="169" fillId="0" borderId="49" xfId="77" applyFont="1" applyFill="1" applyBorder="1" applyAlignment="1" applyProtection="1">
      <protection locked="0" hidden="1"/>
    </xf>
    <xf numFmtId="201" fontId="169" fillId="0" borderId="34" xfId="77" applyNumberFormat="1" applyFont="1" applyFill="1" applyBorder="1" applyAlignment="1" applyProtection="1">
      <protection locked="0" hidden="1"/>
    </xf>
    <xf numFmtId="187" fontId="169" fillId="0" borderId="34" xfId="77" applyFont="1" applyFill="1" applyBorder="1" applyAlignment="1" applyProtection="1">
      <protection locked="0" hidden="1"/>
    </xf>
    <xf numFmtId="187" fontId="169" fillId="0" borderId="4" xfId="77" applyFont="1" applyFill="1" applyBorder="1" applyAlignment="1" applyProtection="1">
      <protection locked="0" hidden="1"/>
    </xf>
    <xf numFmtId="187" fontId="171" fillId="0" borderId="4" xfId="77" applyFont="1" applyFill="1" applyBorder="1" applyAlignment="1" applyProtection="1">
      <protection locked="0" hidden="1"/>
    </xf>
    <xf numFmtId="187" fontId="169" fillId="0" borderId="94" xfId="77" applyFont="1" applyFill="1" applyBorder="1" applyAlignment="1" applyProtection="1">
      <protection locked="0" hidden="1"/>
    </xf>
    <xf numFmtId="187" fontId="169" fillId="0" borderId="12" xfId="77" applyFont="1" applyFill="1" applyBorder="1" applyAlignment="1" applyProtection="1">
      <protection locked="0" hidden="1"/>
    </xf>
    <xf numFmtId="201" fontId="169" fillId="0" borderId="5" xfId="77" applyNumberFormat="1" applyFont="1" applyFill="1" applyBorder="1" applyAlignment="1" applyProtection="1">
      <protection locked="0" hidden="1"/>
    </xf>
    <xf numFmtId="187" fontId="169" fillId="0" borderId="5" xfId="77" applyFont="1" applyFill="1" applyBorder="1" applyAlignment="1" applyProtection="1">
      <protection locked="0" hidden="1"/>
    </xf>
    <xf numFmtId="187" fontId="169" fillId="0" borderId="92" xfId="77" applyFont="1" applyFill="1" applyBorder="1" applyAlignment="1" applyProtection="1">
      <protection locked="0" hidden="1"/>
    </xf>
    <xf numFmtId="187" fontId="171" fillId="0" borderId="3" xfId="77" applyFont="1" applyFill="1" applyBorder="1" applyProtection="1">
      <protection hidden="1"/>
    </xf>
    <xf numFmtId="187" fontId="171" fillId="0" borderId="39" xfId="77" applyFont="1" applyBorder="1" applyAlignment="1" applyProtection="1">
      <alignment horizontal="right"/>
      <protection hidden="1"/>
    </xf>
    <xf numFmtId="0" fontId="155" fillId="0" borderId="26" xfId="0" applyFont="1" applyBorder="1" applyProtection="1">
      <protection hidden="1"/>
    </xf>
    <xf numFmtId="0" fontId="159" fillId="0" borderId="27" xfId="0" applyFont="1" applyBorder="1" applyProtection="1">
      <protection hidden="1"/>
    </xf>
    <xf numFmtId="0" fontId="155" fillId="0" borderId="27" xfId="0" applyFont="1" applyBorder="1" applyProtection="1">
      <protection hidden="1"/>
    </xf>
    <xf numFmtId="0" fontId="155" fillId="0" borderId="8" xfId="0" applyFont="1" applyBorder="1" applyProtection="1">
      <protection hidden="1"/>
    </xf>
    <xf numFmtId="0" fontId="155" fillId="0" borderId="0" xfId="0" applyFont="1" applyAlignment="1" applyProtection="1">
      <alignment horizontal="center"/>
      <protection hidden="1"/>
    </xf>
    <xf numFmtId="0" fontId="144" fillId="0" borderId="0" xfId="0" applyFont="1" applyAlignment="1">
      <alignment horizontal="center"/>
    </xf>
    <xf numFmtId="0" fontId="80" fillId="0" borderId="54" xfId="77" applyNumberFormat="1" applyFont="1" applyFill="1" applyBorder="1" applyAlignment="1" applyProtection="1">
      <protection hidden="1"/>
    </xf>
    <xf numFmtId="0" fontId="134" fillId="0" borderId="17" xfId="0" applyFont="1" applyBorder="1" applyProtection="1">
      <protection hidden="1"/>
    </xf>
    <xf numFmtId="0" fontId="134" fillId="0" borderId="54" xfId="0" applyFont="1" applyBorder="1" applyAlignment="1" applyProtection="1">
      <alignment horizontal="left"/>
      <protection hidden="1"/>
    </xf>
    <xf numFmtId="188" fontId="53" fillId="0" borderId="0" xfId="0" applyNumberFormat="1" applyFont="1" applyAlignment="1" applyProtection="1">
      <alignment horizontal="center"/>
      <protection hidden="1"/>
    </xf>
    <xf numFmtId="187" fontId="53" fillId="0" borderId="0" xfId="77" applyFont="1" applyFill="1" applyAlignment="1" applyProtection="1">
      <alignment horizontal="center"/>
      <protection hidden="1"/>
    </xf>
    <xf numFmtId="187" fontId="53" fillId="0" borderId="0" xfId="0" applyNumberFormat="1" applyFont="1" applyAlignment="1" applyProtection="1">
      <alignment horizontal="center"/>
      <protection hidden="1"/>
    </xf>
    <xf numFmtId="2" fontId="53" fillId="0" borderId="0" xfId="0" applyNumberFormat="1" applyFont="1" applyAlignment="1" applyProtection="1">
      <alignment horizontal="center"/>
      <protection hidden="1"/>
    </xf>
    <xf numFmtId="0" fontId="53" fillId="0" borderId="43" xfId="0" applyFont="1" applyBorder="1" applyAlignment="1">
      <alignment vertical="top"/>
    </xf>
    <xf numFmtId="0" fontId="157" fillId="12" borderId="54" xfId="0" applyFont="1" applyFill="1" applyBorder="1" applyAlignment="1" applyProtection="1">
      <alignment horizontal="left" vertical="top" wrapText="1"/>
      <protection locked="0"/>
    </xf>
    <xf numFmtId="0" fontId="144" fillId="0" borderId="0" xfId="0" applyFont="1" applyAlignment="1" applyProtection="1">
      <alignment vertical="top"/>
      <protection hidden="1"/>
    </xf>
    <xf numFmtId="0" fontId="54" fillId="0" borderId="0" xfId="0" applyFont="1" applyAlignment="1">
      <alignment horizontal="left" vertical="center"/>
    </xf>
    <xf numFmtId="0" fontId="79" fillId="0" borderId="0" xfId="0" applyFont="1" applyAlignment="1" applyProtection="1">
      <alignment horizontal="right"/>
      <protection hidden="1"/>
    </xf>
    <xf numFmtId="187" fontId="79" fillId="0" borderId="0" xfId="77" applyFont="1" applyAlignment="1" applyProtection="1">
      <alignment horizontal="center"/>
      <protection hidden="1"/>
    </xf>
    <xf numFmtId="187" fontId="79" fillId="0" borderId="0" xfId="77" applyFont="1" applyAlignment="1" applyProtection="1">
      <alignment horizontal="left"/>
      <protection hidden="1"/>
    </xf>
    <xf numFmtId="0" fontId="174" fillId="0" borderId="0" xfId="0" applyFont="1" applyProtection="1">
      <protection hidden="1"/>
    </xf>
    <xf numFmtId="0" fontId="54" fillId="0" borderId="0" xfId="0" quotePrefix="1" applyFont="1" applyProtection="1">
      <protection hidden="1"/>
    </xf>
    <xf numFmtId="0" fontId="144" fillId="0" borderId="0" xfId="0" quotePrefix="1" applyFont="1" applyProtection="1">
      <protection hidden="1"/>
    </xf>
    <xf numFmtId="0" fontId="144" fillId="0" borderId="0" xfId="0" applyFont="1"/>
    <xf numFmtId="37" fontId="79" fillId="0" borderId="0" xfId="0" applyNumberFormat="1" applyFont="1" applyAlignment="1">
      <alignment horizontal="center"/>
    </xf>
    <xf numFmtId="187" fontId="79" fillId="0" borderId="0" xfId="77" applyFont="1" applyAlignment="1" applyProtection="1">
      <alignment horizontal="right"/>
      <protection hidden="1"/>
    </xf>
    <xf numFmtId="0" fontId="175" fillId="15" borderId="0" xfId="0" applyFont="1" applyFill="1"/>
    <xf numFmtId="0" fontId="176" fillId="0" borderId="0" xfId="0" applyFont="1"/>
    <xf numFmtId="37" fontId="176" fillId="0" borderId="0" xfId="0" applyNumberFormat="1" applyFont="1" applyAlignment="1">
      <alignment horizontal="center"/>
    </xf>
    <xf numFmtId="0" fontId="176" fillId="0" borderId="0" xfId="0" applyFont="1" applyAlignment="1">
      <alignment horizontal="center"/>
    </xf>
    <xf numFmtId="0" fontId="177" fillId="0" borderId="0" xfId="0" applyFont="1"/>
    <xf numFmtId="0" fontId="178" fillId="0" borderId="0" xfId="0" applyFont="1"/>
    <xf numFmtId="37" fontId="178" fillId="0" borderId="0" xfId="0" applyNumberFormat="1" applyFont="1" applyAlignment="1">
      <alignment horizontal="center"/>
    </xf>
    <xf numFmtId="1" fontId="79" fillId="15" borderId="0" xfId="0" applyNumberFormat="1" applyFont="1" applyFill="1"/>
    <xf numFmtId="4" fontId="178" fillId="15" borderId="0" xfId="0" applyNumberFormat="1" applyFont="1" applyFill="1"/>
    <xf numFmtId="0" fontId="178" fillId="0" borderId="0" xfId="0" applyFont="1" applyAlignment="1">
      <alignment horizontal="left"/>
    </xf>
    <xf numFmtId="1" fontId="178" fillId="0" borderId="0" xfId="0" applyNumberFormat="1" applyFont="1"/>
    <xf numFmtId="4" fontId="179" fillId="0" borderId="0" xfId="0" applyNumberFormat="1" applyFont="1"/>
    <xf numFmtId="0" fontId="178" fillId="0" borderId="0" xfId="0" applyFont="1" applyAlignment="1">
      <alignment horizontal="center"/>
    </xf>
    <xf numFmtId="4" fontId="176" fillId="16" borderId="0" xfId="0" applyNumberFormat="1" applyFont="1" applyFill="1"/>
    <xf numFmtId="0" fontId="176" fillId="0" borderId="0" xfId="0" applyFont="1" applyAlignment="1">
      <alignment horizontal="left"/>
    </xf>
    <xf numFmtId="4" fontId="177" fillId="0" borderId="0" xfId="0" applyNumberFormat="1" applyFont="1"/>
    <xf numFmtId="0" fontId="180" fillId="0" borderId="0" xfId="0" applyFont="1"/>
    <xf numFmtId="0" fontId="163" fillId="0" borderId="0" xfId="0" applyFont="1"/>
    <xf numFmtId="0" fontId="147" fillId="0" borderId="0" xfId="0" applyFont="1"/>
    <xf numFmtId="0" fontId="79" fillId="0" borderId="0" xfId="0" applyFont="1" applyAlignment="1">
      <alignment horizontal="right"/>
    </xf>
    <xf numFmtId="4" fontId="181" fillId="0" borderId="0" xfId="0" applyNumberFormat="1" applyFont="1"/>
    <xf numFmtId="0" fontId="136" fillId="0" borderId="0" xfId="0" applyFont="1" applyProtection="1">
      <protection hidden="1"/>
    </xf>
    <xf numFmtId="0" fontId="182" fillId="0" borderId="0" xfId="0" applyFont="1" applyAlignment="1" applyProtection="1">
      <alignment horizontal="left"/>
      <protection hidden="1"/>
    </xf>
    <xf numFmtId="0" fontId="183" fillId="0" borderId="0" xfId="0" applyFont="1" applyProtection="1">
      <protection hidden="1"/>
    </xf>
    <xf numFmtId="187" fontId="163" fillId="0" borderId="0" xfId="77" applyFont="1" applyProtection="1">
      <protection hidden="1"/>
    </xf>
    <xf numFmtId="0" fontId="185" fillId="0" borderId="0" xfId="0" applyFont="1" applyProtection="1">
      <protection hidden="1"/>
    </xf>
    <xf numFmtId="0" fontId="186" fillId="0" borderId="0" xfId="0" applyFont="1" applyProtection="1">
      <protection hidden="1"/>
    </xf>
    <xf numFmtId="187" fontId="79" fillId="0" borderId="0" xfId="77" applyFont="1" applyAlignment="1" applyProtection="1">
      <protection hidden="1"/>
    </xf>
    <xf numFmtId="187" fontId="79" fillId="0" borderId="4" xfId="77" applyFont="1" applyBorder="1" applyAlignment="1" applyProtection="1">
      <alignment wrapText="1"/>
      <protection hidden="1"/>
    </xf>
    <xf numFmtId="187" fontId="79" fillId="0" borderId="4" xfId="77" applyFont="1" applyBorder="1" applyAlignment="1" applyProtection="1">
      <protection hidden="1"/>
    </xf>
    <xf numFmtId="189" fontId="79" fillId="0" borderId="0" xfId="77" applyNumberFormat="1" applyFont="1" applyAlignment="1" applyProtection="1">
      <alignment horizontal="center"/>
      <protection hidden="1"/>
    </xf>
    <xf numFmtId="187" fontId="79" fillId="0" borderId="4" xfId="77" applyFont="1" applyBorder="1" applyAlignment="1"/>
    <xf numFmtId="0" fontId="152" fillId="0" borderId="0" xfId="0" applyFont="1" applyProtection="1">
      <protection hidden="1"/>
    </xf>
    <xf numFmtId="0" fontId="144" fillId="0" borderId="0" xfId="0" quotePrefix="1" applyFont="1" applyAlignment="1" applyProtection="1">
      <alignment horizontal="center"/>
      <protection hidden="1"/>
    </xf>
    <xf numFmtId="0" fontId="79" fillId="0" borderId="0" xfId="0" quotePrefix="1" applyFont="1" applyAlignment="1" applyProtection="1">
      <alignment horizontal="left"/>
      <protection hidden="1"/>
    </xf>
    <xf numFmtId="0" fontId="142" fillId="0" borderId="0" xfId="0" applyFont="1" applyAlignment="1" applyProtection="1">
      <alignment horizontal="center"/>
      <protection hidden="1"/>
    </xf>
    <xf numFmtId="187" fontId="79" fillId="0" borderId="0" xfId="77" applyFont="1" applyAlignment="1"/>
    <xf numFmtId="187" fontId="79" fillId="0" borderId="0" xfId="77" applyFont="1" applyFill="1" applyBorder="1" applyAlignment="1" applyProtection="1">
      <protection hidden="1"/>
    </xf>
    <xf numFmtId="0" fontId="152" fillId="0" borderId="0" xfId="0" applyFont="1" applyAlignment="1" applyProtection="1">
      <alignment horizontal="right"/>
      <protection hidden="1"/>
    </xf>
    <xf numFmtId="0" fontId="186" fillId="0" borderId="0" xfId="0" applyFont="1" applyAlignment="1" applyProtection="1">
      <alignment horizontal="right"/>
      <protection hidden="1"/>
    </xf>
    <xf numFmtId="187" fontId="79" fillId="0" borderId="4" xfId="77" applyFont="1" applyBorder="1" applyAlignment="1" applyProtection="1">
      <alignment horizontal="right"/>
      <protection hidden="1"/>
    </xf>
    <xf numFmtId="187" fontId="144" fillId="12" borderId="4" xfId="77" applyFont="1" applyFill="1" applyBorder="1" applyAlignment="1" applyProtection="1">
      <alignment horizontal="right"/>
      <protection hidden="1"/>
    </xf>
    <xf numFmtId="187" fontId="79" fillId="0" borderId="0" xfId="77" applyFont="1" applyFill="1" applyBorder="1" applyAlignment="1" applyProtection="1">
      <alignment horizontal="right"/>
      <protection hidden="1"/>
    </xf>
    <xf numFmtId="199" fontId="79" fillId="0" borderId="0" xfId="77" applyNumberFormat="1" applyFont="1" applyAlignment="1" applyProtection="1">
      <alignment horizontal="right"/>
      <protection hidden="1"/>
    </xf>
    <xf numFmtId="2" fontId="144" fillId="12" borderId="4" xfId="0" applyNumberFormat="1" applyFont="1" applyFill="1" applyBorder="1" applyAlignment="1" applyProtection="1">
      <alignment horizontal="center"/>
      <protection hidden="1"/>
    </xf>
    <xf numFmtId="187" fontId="79" fillId="17" borderId="4" xfId="77" applyFont="1" applyFill="1" applyBorder="1" applyAlignment="1" applyProtection="1">
      <alignment horizontal="right"/>
      <protection hidden="1"/>
    </xf>
    <xf numFmtId="3" fontId="79" fillId="17" borderId="4" xfId="0" applyNumberFormat="1" applyFont="1" applyFill="1" applyBorder="1" applyAlignment="1" applyProtection="1">
      <alignment horizontal="left"/>
      <protection hidden="1"/>
    </xf>
    <xf numFmtId="2" fontId="79" fillId="0" borderId="4" xfId="77" applyNumberFormat="1" applyFont="1" applyBorder="1" applyAlignment="1" applyProtection="1">
      <alignment horizontal="right"/>
      <protection hidden="1"/>
    </xf>
    <xf numFmtId="0" fontId="147" fillId="0" borderId="0" xfId="0" applyFont="1" applyAlignment="1" applyProtection="1">
      <alignment horizontal="center"/>
      <protection hidden="1"/>
    </xf>
    <xf numFmtId="0" fontId="147" fillId="2" borderId="1" xfId="0" applyFont="1" applyFill="1" applyBorder="1" applyProtection="1">
      <protection hidden="1"/>
    </xf>
    <xf numFmtId="0" fontId="79" fillId="2" borderId="10" xfId="0" applyFont="1" applyFill="1" applyBorder="1" applyProtection="1">
      <protection hidden="1"/>
    </xf>
    <xf numFmtId="190" fontId="79" fillId="0" borderId="0" xfId="77" applyNumberFormat="1" applyFont="1" applyAlignment="1" applyProtection="1">
      <alignment horizontal="right"/>
      <protection hidden="1"/>
    </xf>
    <xf numFmtId="0" fontId="80" fillId="0" borderId="0" xfId="0" applyFont="1" applyAlignment="1">
      <alignment horizontal="center"/>
    </xf>
    <xf numFmtId="187" fontId="80" fillId="0" borderId="0" xfId="77" applyFont="1" applyFill="1" applyAlignment="1" applyProtection="1">
      <alignment horizontal="center"/>
    </xf>
    <xf numFmtId="187" fontId="80" fillId="0" borderId="0" xfId="77" applyFont="1" applyFill="1" applyAlignment="1" applyProtection="1"/>
    <xf numFmtId="0" fontId="152" fillId="0" borderId="4" xfId="0" applyFont="1" applyBorder="1" applyAlignment="1" applyProtection="1">
      <alignment horizontal="center"/>
      <protection hidden="1"/>
    </xf>
    <xf numFmtId="2" fontId="152" fillId="0" borderId="4" xfId="0" applyNumberFormat="1" applyFont="1" applyBorder="1" applyAlignment="1" applyProtection="1">
      <alignment horizontal="center"/>
      <protection hidden="1"/>
    </xf>
    <xf numFmtId="39" fontId="79" fillId="0" borderId="0" xfId="89" quotePrefix="1" applyFont="1" applyAlignment="1" applyProtection="1">
      <alignment horizontal="right"/>
      <protection hidden="1"/>
    </xf>
    <xf numFmtId="39" fontId="79" fillId="0" borderId="0" xfId="89" quotePrefix="1" applyFont="1" applyAlignment="1" applyProtection="1">
      <alignment horizontal="left"/>
      <protection hidden="1"/>
    </xf>
    <xf numFmtId="187" fontId="152" fillId="0" borderId="0" xfId="77" applyFont="1" applyAlignment="1" applyProtection="1">
      <alignment horizontal="right"/>
      <protection hidden="1"/>
    </xf>
    <xf numFmtId="0" fontId="152" fillId="0" borderId="0" xfId="0" applyFont="1" applyAlignment="1" applyProtection="1">
      <alignment horizontal="left"/>
      <protection hidden="1"/>
    </xf>
    <xf numFmtId="187" fontId="79" fillId="0" borderId="4" xfId="77" applyFont="1" applyFill="1" applyBorder="1" applyAlignment="1" applyProtection="1">
      <alignment horizontal="center"/>
    </xf>
    <xf numFmtId="9" fontId="79" fillId="0" borderId="0" xfId="90" applyFont="1" applyAlignment="1" applyProtection="1">
      <alignment horizontal="left"/>
      <protection hidden="1"/>
    </xf>
    <xf numFmtId="203" fontId="173" fillId="0" borderId="0" xfId="0" applyNumberFormat="1" applyFont="1" applyAlignment="1">
      <alignment horizontal="center"/>
    </xf>
    <xf numFmtId="37" fontId="79" fillId="0" borderId="0" xfId="0" applyNumberFormat="1" applyFont="1" applyAlignment="1">
      <alignment horizontal="right"/>
    </xf>
    <xf numFmtId="4" fontId="144" fillId="12" borderId="4" xfId="0" applyNumberFormat="1" applyFont="1" applyFill="1" applyBorder="1" applyAlignment="1">
      <alignment horizontal="right"/>
    </xf>
    <xf numFmtId="0" fontId="79" fillId="0" borderId="0" xfId="0" applyFont="1" applyAlignment="1">
      <alignment horizontal="center"/>
    </xf>
    <xf numFmtId="39" fontId="79" fillId="0" borderId="0" xfId="0" applyNumberFormat="1" applyFont="1" applyAlignment="1">
      <alignment horizontal="right"/>
    </xf>
    <xf numFmtId="37" fontId="79" fillId="0" borderId="0" xfId="0" applyNumberFormat="1" applyFont="1"/>
    <xf numFmtId="39" fontId="79" fillId="0" borderId="0" xfId="0" applyNumberFormat="1" applyFont="1" applyAlignment="1">
      <alignment horizontal="center"/>
    </xf>
    <xf numFmtId="0" fontId="56" fillId="0" borderId="0" xfId="0" applyFont="1"/>
    <xf numFmtId="37" fontId="142" fillId="0" borderId="0" xfId="0" applyNumberFormat="1" applyFont="1" applyAlignment="1">
      <alignment horizontal="center"/>
    </xf>
    <xf numFmtId="187" fontId="79" fillId="0" borderId="0" xfId="77" applyFont="1" applyAlignment="1" applyProtection="1">
      <alignment horizontal="right"/>
    </xf>
    <xf numFmtId="39" fontId="56" fillId="0" borderId="0" xfId="0" applyNumberFormat="1" applyFont="1" applyAlignment="1">
      <alignment horizontal="right"/>
    </xf>
    <xf numFmtId="0" fontId="79" fillId="0" borderId="4" xfId="0" applyFont="1" applyBorder="1" applyAlignment="1" applyProtection="1">
      <alignment horizontal="left"/>
      <protection hidden="1"/>
    </xf>
    <xf numFmtId="0" fontId="79" fillId="0" borderId="0" xfId="77" applyNumberFormat="1" applyFont="1" applyAlignment="1" applyProtection="1">
      <alignment horizontal="right"/>
    </xf>
    <xf numFmtId="0" fontId="79" fillId="0" borderId="4" xfId="0" applyFont="1" applyBorder="1" applyAlignment="1" applyProtection="1">
      <alignment horizontal="right"/>
      <protection hidden="1"/>
    </xf>
    <xf numFmtId="0" fontId="144" fillId="12" borderId="4" xfId="0" applyFont="1" applyFill="1" applyBorder="1" applyAlignment="1" applyProtection="1">
      <alignment horizontal="center"/>
      <protection locked="0"/>
    </xf>
    <xf numFmtId="0" fontId="151" fillId="12" borderId="4" xfId="0" applyFont="1" applyFill="1" applyBorder="1" applyAlignment="1" applyProtection="1">
      <alignment horizontal="center"/>
      <protection locked="0"/>
    </xf>
    <xf numFmtId="0" fontId="79" fillId="0" borderId="32" xfId="0" applyFont="1" applyBorder="1"/>
    <xf numFmtId="187" fontId="79" fillId="0" borderId="0" xfId="77" applyFont="1" applyAlignment="1">
      <alignment horizontal="right"/>
    </xf>
    <xf numFmtId="43" fontId="79" fillId="0" borderId="0" xfId="0" applyNumberFormat="1" applyFont="1" applyProtection="1">
      <protection hidden="1"/>
    </xf>
    <xf numFmtId="187" fontId="79" fillId="0" borderId="0" xfId="77" applyFont="1" applyFill="1" applyAlignment="1" applyProtection="1"/>
    <xf numFmtId="187" fontId="79" fillId="0" borderId="0" xfId="77" applyFont="1" applyFill="1" applyAlignment="1" applyProtection="1">
      <alignment horizontal="center"/>
    </xf>
    <xf numFmtId="187" fontId="79" fillId="0" borderId="0" xfId="77" applyFont="1" applyBorder="1" applyAlignment="1" applyProtection="1">
      <alignment horizontal="right" wrapText="1"/>
    </xf>
    <xf numFmtId="187" fontId="79" fillId="0" borderId="0" xfId="77" applyFont="1" applyFill="1" applyAlignment="1"/>
    <xf numFmtId="39" fontId="145" fillId="0" borderId="0" xfId="0" applyNumberFormat="1" applyFont="1" applyAlignment="1">
      <alignment horizontal="center"/>
    </xf>
    <xf numFmtId="2" fontId="79" fillId="0" borderId="0" xfId="0" applyNumberFormat="1" applyFont="1" applyAlignment="1">
      <alignment horizontal="left"/>
    </xf>
    <xf numFmtId="0" fontId="136" fillId="0" borderId="0" xfId="0" applyFont="1" applyAlignment="1" applyProtection="1">
      <alignment horizontal="right"/>
      <protection hidden="1"/>
    </xf>
    <xf numFmtId="187" fontId="79" fillId="0" borderId="0" xfId="77" applyFont="1" applyFill="1" applyAlignment="1" applyProtection="1">
      <alignment horizontal="right"/>
    </xf>
    <xf numFmtId="43" fontId="79" fillId="0" borderId="0" xfId="0" applyNumberFormat="1" applyFont="1" applyAlignment="1" applyProtection="1">
      <alignment horizontal="center"/>
      <protection hidden="1"/>
    </xf>
    <xf numFmtId="0" fontId="79" fillId="0" borderId="0" xfId="77" applyNumberFormat="1" applyFont="1" applyBorder="1" applyAlignment="1" applyProtection="1">
      <alignment horizontal="right" wrapText="1"/>
    </xf>
    <xf numFmtId="39" fontId="144" fillId="0" borderId="0" xfId="0" applyNumberFormat="1" applyFont="1" applyAlignment="1">
      <alignment horizontal="center"/>
    </xf>
    <xf numFmtId="187" fontId="79" fillId="2" borderId="4" xfId="77" applyFont="1" applyFill="1" applyBorder="1" applyAlignment="1" applyProtection="1">
      <alignment horizontal="right"/>
    </xf>
    <xf numFmtId="187" fontId="79" fillId="0" borderId="0" xfId="77" applyFont="1" applyFill="1" applyAlignment="1">
      <alignment horizontal="right"/>
    </xf>
    <xf numFmtId="0" fontId="188" fillId="0" borderId="0" xfId="0" applyFont="1"/>
    <xf numFmtId="187" fontId="79" fillId="0" borderId="0" xfId="77" applyFont="1" applyFill="1"/>
    <xf numFmtId="187" fontId="142" fillId="12" borderId="4" xfId="77" applyFont="1" applyFill="1" applyBorder="1" applyAlignment="1">
      <alignment horizontal="right"/>
    </xf>
    <xf numFmtId="190" fontId="142" fillId="12" borderId="4" xfId="77" applyNumberFormat="1" applyFont="1" applyFill="1" applyBorder="1" applyAlignment="1">
      <alignment horizontal="right"/>
    </xf>
    <xf numFmtId="190" fontId="79" fillId="0" borderId="0" xfId="77" applyNumberFormat="1" applyFont="1" applyFill="1" applyAlignment="1">
      <alignment horizontal="right"/>
    </xf>
    <xf numFmtId="0" fontId="79" fillId="0" borderId="92" xfId="0" applyFont="1" applyBorder="1"/>
    <xf numFmtId="187" fontId="79" fillId="0" borderId="92" xfId="77" applyFont="1" applyFill="1" applyBorder="1" applyAlignment="1" applyProtection="1">
      <alignment horizontal="right"/>
    </xf>
    <xf numFmtId="187" fontId="79" fillId="0" borderId="0" xfId="0" applyNumberFormat="1" applyFont="1" applyAlignment="1" applyProtection="1">
      <alignment horizontal="left"/>
      <protection hidden="1"/>
    </xf>
    <xf numFmtId="205" fontId="144" fillId="0" borderId="0" xfId="0" applyNumberFormat="1" applyFont="1"/>
    <xf numFmtId="49" fontId="79" fillId="0" borderId="0" xfId="0" applyNumberFormat="1" applyFont="1" applyAlignment="1">
      <alignment horizontal="center"/>
    </xf>
    <xf numFmtId="2" fontId="142" fillId="12" borderId="4" xfId="0" applyNumberFormat="1" applyFont="1" applyFill="1" applyBorder="1" applyAlignment="1">
      <alignment horizontal="right"/>
    </xf>
    <xf numFmtId="2" fontId="79" fillId="0" borderId="0" xfId="0" applyNumberFormat="1" applyFont="1" applyAlignment="1">
      <alignment horizontal="right"/>
    </xf>
    <xf numFmtId="187" fontId="79" fillId="0" borderId="4" xfId="77" applyFont="1" applyFill="1" applyBorder="1" applyAlignment="1" applyProtection="1">
      <alignment horizontal="right"/>
    </xf>
    <xf numFmtId="1" fontId="79" fillId="0" borderId="0" xfId="0" applyNumberFormat="1" applyFont="1"/>
    <xf numFmtId="188" fontId="79" fillId="0" borderId="0" xfId="0" applyNumberFormat="1" applyFont="1" applyAlignment="1">
      <alignment horizontal="right"/>
    </xf>
    <xf numFmtId="0" fontId="79" fillId="0" borderId="0" xfId="77" applyNumberFormat="1" applyFont="1" applyFill="1" applyAlignment="1" applyProtection="1">
      <alignment horizontal="right"/>
    </xf>
    <xf numFmtId="2" fontId="145" fillId="0" borderId="0" xfId="0" applyNumberFormat="1" applyFont="1" applyAlignment="1" applyProtection="1">
      <alignment horizontal="center"/>
      <protection hidden="1"/>
    </xf>
    <xf numFmtId="191" fontId="145" fillId="0" borderId="0" xfId="0" applyNumberFormat="1" applyFont="1" applyProtection="1">
      <protection hidden="1"/>
    </xf>
    <xf numFmtId="188" fontId="79" fillId="0" borderId="0" xfId="0" applyNumberFormat="1" applyFont="1" applyProtection="1">
      <protection hidden="1"/>
    </xf>
    <xf numFmtId="43" fontId="79" fillId="0" borderId="0" xfId="0" applyNumberFormat="1" applyFont="1" applyAlignment="1" applyProtection="1">
      <alignment horizontal="right"/>
      <protection hidden="1"/>
    </xf>
    <xf numFmtId="187" fontId="79" fillId="0" borderId="7" xfId="77" applyFont="1" applyBorder="1" applyAlignment="1" applyProtection="1">
      <alignment horizontal="right"/>
      <protection hidden="1"/>
    </xf>
    <xf numFmtId="187" fontId="79" fillId="0" borderId="5" xfId="77" applyFont="1" applyBorder="1" applyAlignment="1" applyProtection="1">
      <alignment horizontal="right"/>
      <protection hidden="1"/>
    </xf>
    <xf numFmtId="187" fontId="79" fillId="0" borderId="8" xfId="77" applyFont="1" applyBorder="1" applyAlignment="1" applyProtection="1">
      <alignment horizontal="right"/>
      <protection hidden="1"/>
    </xf>
    <xf numFmtId="203" fontId="148" fillId="0" borderId="0" xfId="0" applyNumberFormat="1" applyFont="1" applyAlignment="1" applyProtection="1">
      <alignment horizontal="center"/>
      <protection hidden="1"/>
    </xf>
    <xf numFmtId="0" fontId="148" fillId="0" borderId="0" xfId="0" applyFont="1" applyProtection="1">
      <protection hidden="1"/>
    </xf>
    <xf numFmtId="187" fontId="79" fillId="0" borderId="0" xfId="0" applyNumberFormat="1" applyFont="1" applyProtection="1">
      <protection hidden="1"/>
    </xf>
    <xf numFmtId="187" fontId="79" fillId="0" borderId="0" xfId="0" applyNumberFormat="1" applyFont="1" applyAlignment="1" applyProtection="1">
      <alignment horizontal="right"/>
      <protection hidden="1"/>
    </xf>
    <xf numFmtId="2" fontId="79" fillId="0" borderId="0" xfId="0" applyNumberFormat="1" applyFont="1" applyAlignment="1" applyProtection="1">
      <alignment horizontal="right"/>
      <protection hidden="1"/>
    </xf>
    <xf numFmtId="187" fontId="79" fillId="0" borderId="0" xfId="0" applyNumberFormat="1" applyFont="1"/>
    <xf numFmtId="187" fontId="144" fillId="0" borderId="0" xfId="0" applyNumberFormat="1" applyFont="1" applyAlignment="1">
      <alignment horizontal="left"/>
    </xf>
    <xf numFmtId="41" fontId="79" fillId="44" borderId="92" xfId="0" applyNumberFormat="1" applyFont="1" applyFill="1" applyBorder="1" applyAlignment="1">
      <alignment horizontal="center"/>
    </xf>
    <xf numFmtId="0" fontId="144" fillId="0" borderId="0" xfId="0" applyFont="1" applyAlignment="1">
      <alignment horizontal="left"/>
    </xf>
    <xf numFmtId="187" fontId="79" fillId="0" borderId="0" xfId="0" applyNumberFormat="1" applyFont="1" applyAlignment="1">
      <alignment horizontal="left"/>
    </xf>
    <xf numFmtId="43" fontId="79" fillId="0" borderId="0" xfId="80" applyFont="1" applyFill="1" applyBorder="1" applyAlignment="1" applyProtection="1"/>
    <xf numFmtId="37" fontId="79" fillId="0" borderId="0" xfId="0" applyNumberFormat="1" applyFont="1" applyAlignment="1">
      <alignment horizontal="center" vertical="center"/>
    </xf>
    <xf numFmtId="187" fontId="80" fillId="0" borderId="0" xfId="0" applyNumberFormat="1" applyFont="1"/>
    <xf numFmtId="39" fontId="80" fillId="0" borderId="0" xfId="0" applyNumberFormat="1" applyFont="1" applyAlignment="1">
      <alignment horizontal="left"/>
    </xf>
    <xf numFmtId="0" fontId="79" fillId="44" borderId="92" xfId="0" applyFont="1" applyFill="1" applyBorder="1" applyAlignment="1">
      <alignment horizontal="center"/>
    </xf>
    <xf numFmtId="43" fontId="144" fillId="0" borderId="0" xfId="80" applyFont="1" applyFill="1" applyBorder="1" applyAlignment="1" applyProtection="1">
      <alignment horizontal="right"/>
    </xf>
    <xf numFmtId="43" fontId="79" fillId="0" borderId="0" xfId="80" applyFont="1" applyAlignment="1" applyProtection="1">
      <alignment horizontal="left"/>
    </xf>
    <xf numFmtId="187" fontId="79" fillId="0" borderId="4" xfId="0" applyNumberFormat="1" applyFont="1" applyBorder="1"/>
    <xf numFmtId="1" fontId="79" fillId="0" borderId="0" xfId="0" applyNumberFormat="1" applyFont="1" applyAlignment="1" applyProtection="1">
      <alignment horizontal="center"/>
      <protection locked="0"/>
    </xf>
    <xf numFmtId="0" fontId="166" fillId="0" borderId="0" xfId="0" applyFont="1" applyProtection="1">
      <protection hidden="1"/>
    </xf>
    <xf numFmtId="0" fontId="79" fillId="16" borderId="0" xfId="0" applyFont="1" applyFill="1" applyAlignment="1" applyProtection="1">
      <alignment horizontal="center"/>
      <protection hidden="1"/>
    </xf>
    <xf numFmtId="0" fontId="79" fillId="16" borderId="0" xfId="0" applyFont="1" applyFill="1" applyProtection="1">
      <protection hidden="1"/>
    </xf>
    <xf numFmtId="39" fontId="79" fillId="0" borderId="0" xfId="89" applyFont="1" applyAlignment="1">
      <alignment horizontal="right" wrapText="1"/>
    </xf>
    <xf numFmtId="39" fontId="79" fillId="0" borderId="0" xfId="0" applyNumberFormat="1" applyFont="1" applyAlignment="1" applyProtection="1">
      <alignment horizontal="right"/>
      <protection hidden="1"/>
    </xf>
    <xf numFmtId="187" fontId="144" fillId="0" borderId="0" xfId="77" applyFont="1" applyBorder="1" applyAlignment="1" applyProtection="1">
      <alignment horizontal="right"/>
      <protection hidden="1"/>
    </xf>
    <xf numFmtId="0" fontId="144" fillId="44" borderId="0" xfId="0" applyFont="1" applyFill="1" applyAlignment="1" applyProtection="1">
      <alignment horizontal="center"/>
      <protection hidden="1"/>
    </xf>
    <xf numFmtId="0" fontId="144" fillId="44" borderId="0" xfId="0" applyFont="1" applyFill="1" applyProtection="1">
      <protection hidden="1"/>
    </xf>
    <xf numFmtId="0" fontId="79" fillId="44" borderId="0" xfId="0" applyFont="1" applyFill="1" applyProtection="1">
      <protection hidden="1"/>
    </xf>
    <xf numFmtId="0" fontId="79" fillId="44" borderId="0" xfId="0" applyFont="1" applyFill="1" applyAlignment="1" applyProtection="1">
      <alignment horizontal="right"/>
      <protection hidden="1"/>
    </xf>
    <xf numFmtId="187" fontId="79" fillId="44" borderId="0" xfId="77" applyFont="1" applyFill="1" applyAlignment="1" applyProtection="1">
      <alignment horizontal="center"/>
      <protection hidden="1"/>
    </xf>
    <xf numFmtId="187" fontId="79" fillId="44" borderId="0" xfId="77" applyFont="1" applyFill="1" applyAlignment="1" applyProtection="1">
      <alignment horizontal="left"/>
      <protection hidden="1"/>
    </xf>
    <xf numFmtId="0" fontId="79" fillId="44" borderId="0" xfId="0" applyFont="1" applyFill="1" applyAlignment="1" applyProtection="1">
      <alignment horizontal="center"/>
      <protection hidden="1"/>
    </xf>
    <xf numFmtId="0" fontId="79" fillId="0" borderId="0" xfId="278" applyFont="1"/>
    <xf numFmtId="0" fontId="79" fillId="0" borderId="0" xfId="278" applyFont="1" applyAlignment="1">
      <alignment horizontal="right"/>
    </xf>
    <xf numFmtId="43" fontId="79" fillId="0" borderId="0" xfId="279" applyFont="1"/>
    <xf numFmtId="43" fontId="144" fillId="0" borderId="0" xfId="279" applyFont="1"/>
    <xf numFmtId="0" fontId="79" fillId="0" borderId="0" xfId="278" applyFont="1" applyAlignment="1">
      <alignment horizontal="left"/>
    </xf>
    <xf numFmtId="225" fontId="79" fillId="0" borderId="0" xfId="279" applyNumberFormat="1" applyFont="1"/>
    <xf numFmtId="43" fontId="79" fillId="0" borderId="0" xfId="278" applyNumberFormat="1" applyFont="1"/>
    <xf numFmtId="203" fontId="136" fillId="0" borderId="0" xfId="0" applyNumberFormat="1" applyFont="1" applyAlignment="1" applyProtection="1">
      <alignment horizontal="center"/>
      <protection hidden="1"/>
    </xf>
    <xf numFmtId="187" fontId="79" fillId="0" borderId="0" xfId="77" applyFont="1"/>
    <xf numFmtId="43" fontId="79" fillId="0" borderId="0" xfId="0" applyNumberFormat="1" applyFont="1"/>
    <xf numFmtId="2" fontId="79" fillId="0" borderId="0" xfId="0" applyNumberFormat="1" applyFont="1"/>
    <xf numFmtId="187" fontId="144" fillId="0" borderId="0" xfId="77" applyFont="1" applyFill="1" applyBorder="1" applyAlignment="1" applyProtection="1">
      <alignment horizontal="right" vertical="top"/>
      <protection hidden="1"/>
    </xf>
    <xf numFmtId="0" fontId="79" fillId="16" borderId="0" xfId="0" applyFont="1" applyFill="1"/>
    <xf numFmtId="187" fontId="79" fillId="16" borderId="0" xfId="77" applyFont="1" applyFill="1" applyAlignment="1" applyProtection="1">
      <alignment vertical="top"/>
      <protection hidden="1"/>
    </xf>
    <xf numFmtId="0" fontId="79" fillId="16" borderId="0" xfId="0" applyFont="1" applyFill="1" applyAlignment="1">
      <alignment horizontal="right"/>
    </xf>
    <xf numFmtId="43" fontId="79" fillId="16" borderId="0" xfId="0" applyNumberFormat="1" applyFont="1" applyFill="1"/>
    <xf numFmtId="0" fontId="79" fillId="16" borderId="0" xfId="0" applyFont="1" applyFill="1" applyAlignment="1">
      <alignment horizontal="center"/>
    </xf>
    <xf numFmtId="194" fontId="79" fillId="0" borderId="92" xfId="0" applyNumberFormat="1" applyFont="1" applyBorder="1"/>
    <xf numFmtId="0" fontId="144" fillId="0" borderId="108" xfId="0" applyFont="1" applyBorder="1" applyAlignment="1">
      <alignment horizontal="center" vertical="top"/>
    </xf>
    <xf numFmtId="0" fontId="144" fillId="0" borderId="111" xfId="0" applyFont="1" applyBorder="1" applyAlignment="1">
      <alignment horizontal="center" vertical="top"/>
    </xf>
    <xf numFmtId="0" fontId="144" fillId="0" borderId="38" xfId="0" applyFont="1" applyBorder="1" applyAlignment="1">
      <alignment horizontal="center" vertical="top"/>
    </xf>
    <xf numFmtId="0" fontId="144" fillId="0" borderId="112" xfId="0" applyFont="1" applyBorder="1" applyAlignment="1">
      <alignment horizontal="center" vertical="top"/>
    </xf>
    <xf numFmtId="0" fontId="79" fillId="0" borderId="108" xfId="0" applyFont="1" applyBorder="1" applyAlignment="1">
      <alignment horizontal="left" vertical="top"/>
    </xf>
    <xf numFmtId="0" fontId="79" fillId="0" borderId="107" xfId="0" applyFont="1" applyBorder="1" applyAlignment="1">
      <alignment horizontal="center" vertical="top"/>
    </xf>
    <xf numFmtId="0" fontId="79" fillId="0" borderId="113" xfId="0" applyFont="1" applyBorder="1" applyAlignment="1">
      <alignment horizontal="left" vertical="top"/>
    </xf>
    <xf numFmtId="0" fontId="79" fillId="0" borderId="114" xfId="0" applyFont="1" applyBorder="1" applyAlignment="1">
      <alignment horizontal="center" vertical="top"/>
    </xf>
    <xf numFmtId="0" fontId="79" fillId="0" borderId="111" xfId="0" applyFont="1" applyBorder="1" applyAlignment="1">
      <alignment horizontal="left" vertical="top"/>
    </xf>
    <xf numFmtId="0" fontId="79" fillId="0" borderId="112" xfId="0" applyFont="1" applyBorder="1" applyAlignment="1">
      <alignment horizontal="center" vertical="top"/>
    </xf>
    <xf numFmtId="187" fontId="79" fillId="0" borderId="0" xfId="77" applyFont="1" applyAlignment="1" applyProtection="1">
      <alignment vertical="top"/>
      <protection hidden="1"/>
    </xf>
    <xf numFmtId="0" fontId="54" fillId="0" borderId="0" xfId="0" applyFont="1" applyAlignment="1" applyProtection="1">
      <alignment vertical="top"/>
      <protection hidden="1"/>
    </xf>
    <xf numFmtId="0" fontId="182" fillId="0" borderId="0" xfId="0" applyFont="1" applyProtection="1">
      <protection hidden="1"/>
    </xf>
    <xf numFmtId="187" fontId="182" fillId="0" borderId="0" xfId="77" applyFont="1" applyAlignment="1" applyProtection="1">
      <alignment horizontal="left"/>
      <protection hidden="1"/>
    </xf>
    <xf numFmtId="189" fontId="182" fillId="0" borderId="0" xfId="77" applyNumberFormat="1" applyFont="1" applyAlignment="1" applyProtection="1">
      <alignment horizontal="left"/>
      <protection hidden="1"/>
    </xf>
    <xf numFmtId="189" fontId="182" fillId="0" borderId="0" xfId="77" applyNumberFormat="1" applyFont="1" applyAlignment="1" applyProtection="1">
      <protection hidden="1"/>
    </xf>
    <xf numFmtId="199" fontId="182" fillId="0" borderId="0" xfId="77" applyNumberFormat="1" applyFont="1" applyAlignment="1" applyProtection="1">
      <alignment horizontal="left"/>
      <protection hidden="1"/>
    </xf>
    <xf numFmtId="189" fontId="182" fillId="0" borderId="0" xfId="0" applyNumberFormat="1" applyFont="1" applyProtection="1">
      <protection hidden="1"/>
    </xf>
    <xf numFmtId="187" fontId="190" fillId="0" borderId="0" xfId="77" applyFont="1" applyAlignment="1" applyProtection="1">
      <alignment horizontal="left"/>
      <protection hidden="1"/>
    </xf>
    <xf numFmtId="189" fontId="182" fillId="0" borderId="0" xfId="77" applyNumberFormat="1" applyFont="1" applyProtection="1">
      <protection hidden="1"/>
    </xf>
    <xf numFmtId="0" fontId="191" fillId="0" borderId="0" xfId="0" applyFont="1" applyProtection="1">
      <protection hidden="1"/>
    </xf>
    <xf numFmtId="189" fontId="182" fillId="0" borderId="0" xfId="77" quotePrefix="1" applyNumberFormat="1" applyFont="1" applyAlignment="1" applyProtection="1">
      <alignment horizontal="left"/>
      <protection hidden="1"/>
    </xf>
    <xf numFmtId="0" fontId="191" fillId="0" borderId="0" xfId="0" applyFont="1"/>
    <xf numFmtId="189" fontId="182" fillId="0" borderId="0" xfId="0" applyNumberFormat="1" applyFont="1" applyAlignment="1">
      <alignment horizontal="left"/>
    </xf>
    <xf numFmtId="189" fontId="182" fillId="0" borderId="0" xfId="77" applyNumberFormat="1" applyFont="1" applyFill="1" applyAlignment="1"/>
    <xf numFmtId="205" fontId="191" fillId="0" borderId="0" xfId="0" applyNumberFormat="1" applyFont="1"/>
    <xf numFmtId="189" fontId="182" fillId="0" borderId="0" xfId="77" applyNumberFormat="1" applyFont="1" applyFill="1" applyAlignment="1" applyProtection="1"/>
    <xf numFmtId="189" fontId="182" fillId="0" borderId="0" xfId="77" applyNumberFormat="1" applyFont="1" applyFill="1" applyAlignment="1" applyProtection="1">
      <alignment horizontal="left"/>
      <protection hidden="1"/>
    </xf>
    <xf numFmtId="0" fontId="182" fillId="0" borderId="0" xfId="0" applyFont="1" applyAlignment="1">
      <alignment horizontal="center"/>
    </xf>
    <xf numFmtId="0" fontId="191" fillId="0" borderId="0" xfId="0" applyFont="1" applyAlignment="1">
      <alignment horizontal="left"/>
    </xf>
    <xf numFmtId="0" fontId="182" fillId="0" borderId="0" xfId="0" applyFont="1"/>
    <xf numFmtId="39" fontId="182" fillId="0" borderId="0" xfId="0" applyNumberFormat="1" applyFont="1" applyAlignment="1">
      <alignment horizontal="left"/>
    </xf>
    <xf numFmtId="0" fontId="182" fillId="44" borderId="0" xfId="0" applyFont="1" applyFill="1" applyProtection="1">
      <protection hidden="1"/>
    </xf>
    <xf numFmtId="0" fontId="182" fillId="16" borderId="0" xfId="0" applyFont="1" applyFill="1"/>
    <xf numFmtId="0" fontId="191" fillId="0" borderId="38" xfId="0" applyFont="1" applyBorder="1" applyAlignment="1">
      <alignment horizontal="center" vertical="top"/>
    </xf>
    <xf numFmtId="0" fontId="182" fillId="0" borderId="107" xfId="0" applyFont="1" applyBorder="1" applyAlignment="1">
      <alignment horizontal="center" vertical="top"/>
    </xf>
    <xf numFmtId="0" fontId="182" fillId="0" borderId="114" xfId="0" applyFont="1" applyBorder="1" applyAlignment="1">
      <alignment horizontal="center" vertical="top"/>
    </xf>
    <xf numFmtId="0" fontId="182" fillId="0" borderId="112" xfId="0" applyFont="1" applyBorder="1" applyAlignment="1">
      <alignment horizontal="center" vertical="top"/>
    </xf>
    <xf numFmtId="0" fontId="192" fillId="0" borderId="0" xfId="0" applyFont="1"/>
    <xf numFmtId="0" fontId="79" fillId="44" borderId="0" xfId="0" applyFont="1" applyFill="1"/>
    <xf numFmtId="187" fontId="79" fillId="44" borderId="0" xfId="77" applyFont="1" applyFill="1" applyAlignment="1" applyProtection="1">
      <alignment vertical="top"/>
      <protection hidden="1"/>
    </xf>
    <xf numFmtId="2" fontId="79" fillId="44" borderId="0" xfId="0" applyNumberFormat="1" applyFont="1" applyFill="1"/>
    <xf numFmtId="0" fontId="79" fillId="44" borderId="0" xfId="0" applyFont="1" applyFill="1" applyAlignment="1">
      <alignment horizontal="right"/>
    </xf>
    <xf numFmtId="43" fontId="79" fillId="44" borderId="0" xfId="0" applyNumberFormat="1" applyFont="1" applyFill="1"/>
    <xf numFmtId="0" fontId="79" fillId="44" borderId="0" xfId="0" applyFont="1" applyFill="1" applyAlignment="1">
      <alignment horizontal="center"/>
    </xf>
    <xf numFmtId="0" fontId="182" fillId="44" borderId="0" xfId="0" applyFont="1" applyFill="1"/>
    <xf numFmtId="43" fontId="79" fillId="44" borderId="0" xfId="279" applyFont="1" applyFill="1"/>
    <xf numFmtId="187" fontId="144" fillId="44" borderId="92" xfId="77" applyFont="1" applyFill="1" applyBorder="1" applyProtection="1">
      <protection hidden="1"/>
    </xf>
    <xf numFmtId="2" fontId="144" fillId="44" borderId="92" xfId="0" applyNumberFormat="1" applyFont="1" applyFill="1" applyBorder="1" applyProtection="1">
      <protection hidden="1"/>
    </xf>
    <xf numFmtId="2" fontId="144" fillId="44" borderId="92" xfId="0" applyNumberFormat="1" applyFont="1" applyFill="1" applyBorder="1" applyAlignment="1" applyProtection="1">
      <alignment horizontal="center"/>
      <protection hidden="1"/>
    </xf>
    <xf numFmtId="0" fontId="144" fillId="44" borderId="92" xfId="0" applyFont="1" applyFill="1" applyBorder="1" applyAlignment="1" applyProtection="1">
      <alignment horizontal="center"/>
      <protection hidden="1"/>
    </xf>
    <xf numFmtId="2" fontId="144" fillId="44" borderId="92" xfId="0" applyNumberFormat="1" applyFont="1" applyFill="1" applyBorder="1"/>
    <xf numFmtId="0" fontId="56" fillId="0" borderId="0" xfId="0" applyFont="1" applyProtection="1">
      <protection hidden="1"/>
    </xf>
    <xf numFmtId="43" fontId="193" fillId="0" borderId="0" xfId="80" applyFont="1" applyFill="1" applyBorder="1" applyAlignment="1" applyProtection="1"/>
    <xf numFmtId="187" fontId="163" fillId="0" borderId="92" xfId="0" applyNumberFormat="1" applyFont="1" applyBorder="1"/>
    <xf numFmtId="187" fontId="80" fillId="0" borderId="0" xfId="77" applyFont="1" applyProtection="1">
      <protection hidden="1"/>
    </xf>
    <xf numFmtId="187" fontId="80" fillId="12" borderId="0" xfId="77" applyFont="1" applyFill="1" applyBorder="1" applyAlignment="1" applyProtection="1">
      <protection locked="0" hidden="1"/>
    </xf>
    <xf numFmtId="0" fontId="53" fillId="0" borderId="0" xfId="0" applyFont="1" applyAlignment="1" applyProtection="1">
      <alignment vertical="top"/>
      <protection hidden="1"/>
    </xf>
    <xf numFmtId="0" fontId="53" fillId="0" borderId="0" xfId="0" applyFont="1" applyAlignment="1" applyProtection="1">
      <alignment horizontal="right" vertical="top"/>
      <protection hidden="1"/>
    </xf>
    <xf numFmtId="0" fontId="54" fillId="0" borderId="0" xfId="0" applyFont="1" applyAlignment="1" applyProtection="1">
      <alignment horizontal="left" vertical="center"/>
      <protection hidden="1"/>
    </xf>
    <xf numFmtId="37" fontId="54" fillId="0" borderId="0" xfId="0" applyNumberFormat="1" applyFont="1" applyAlignment="1" applyProtection="1">
      <alignment horizontal="left" vertical="center"/>
      <protection hidden="1"/>
    </xf>
    <xf numFmtId="211" fontId="157" fillId="0" borderId="0" xfId="0" applyNumberFormat="1" applyFont="1" applyAlignment="1">
      <alignment horizontal="left" vertical="center"/>
    </xf>
    <xf numFmtId="209" fontId="161" fillId="0" borderId="0" xfId="0" applyNumberFormat="1" applyFont="1" applyAlignment="1">
      <alignment horizontal="left" vertical="center"/>
    </xf>
    <xf numFmtId="196" fontId="80" fillId="0" borderId="9" xfId="0" applyNumberFormat="1" applyFont="1" applyBorder="1" applyProtection="1">
      <protection hidden="1"/>
    </xf>
    <xf numFmtId="0" fontId="134" fillId="0" borderId="0" xfId="0" applyFont="1" applyAlignment="1" applyProtection="1">
      <alignment horizontal="center"/>
      <protection hidden="1"/>
    </xf>
    <xf numFmtId="0" fontId="80" fillId="0" borderId="4" xfId="0" applyFont="1" applyBorder="1" applyAlignment="1">
      <alignment horizontal="center" vertical="center" wrapText="1"/>
    </xf>
    <xf numFmtId="227" fontId="80" fillId="12" borderId="49" xfId="77" applyNumberFormat="1" applyFont="1" applyFill="1" applyBorder="1" applyAlignment="1" applyProtection="1">
      <protection locked="0" hidden="1"/>
    </xf>
    <xf numFmtId="227" fontId="80" fillId="0" borderId="17" xfId="77" applyNumberFormat="1" applyFont="1" applyFill="1" applyBorder="1" applyAlignment="1" applyProtection="1">
      <protection locked="0" hidden="1"/>
    </xf>
    <xf numFmtId="187" fontId="54" fillId="0" borderId="0" xfId="77" applyFont="1" applyFill="1" applyAlignment="1" applyProtection="1">
      <protection hidden="1"/>
    </xf>
    <xf numFmtId="0" fontId="80" fillId="0" borderId="0" xfId="82" applyFont="1"/>
    <xf numFmtId="0" fontId="172" fillId="0" borderId="0" xfId="0" applyFont="1" applyAlignment="1" applyProtection="1">
      <alignment horizontal="left"/>
      <protection hidden="1"/>
    </xf>
    <xf numFmtId="202" fontId="53" fillId="0" borderId="0" xfId="0" applyNumberFormat="1" applyFont="1" applyAlignment="1" applyProtection="1">
      <alignment horizontal="left"/>
      <protection locked="0" hidden="1"/>
    </xf>
    <xf numFmtId="187" fontId="144" fillId="44" borderId="92" xfId="77" applyFont="1" applyFill="1" applyBorder="1" applyAlignment="1" applyProtection="1">
      <alignment horizontal="left"/>
      <protection hidden="1"/>
    </xf>
    <xf numFmtId="0" fontId="195" fillId="0" borderId="0" xfId="0" applyFont="1" applyProtection="1">
      <protection hidden="1"/>
    </xf>
    <xf numFmtId="0" fontId="155" fillId="0" borderId="0" xfId="0" applyFont="1" applyAlignment="1" applyProtection="1">
      <alignment horizontal="left" vertical="center"/>
      <protection hidden="1"/>
    </xf>
    <xf numFmtId="0" fontId="82" fillId="0" borderId="7" xfId="0" applyFont="1" applyBorder="1" applyProtection="1">
      <protection hidden="1"/>
    </xf>
    <xf numFmtId="0" fontId="82" fillId="0" borderId="32" xfId="0" applyFont="1" applyBorder="1" applyProtection="1">
      <protection hidden="1"/>
    </xf>
    <xf numFmtId="0" fontId="82" fillId="0" borderId="32" xfId="0" applyFont="1" applyBorder="1" applyAlignment="1" applyProtection="1">
      <alignment horizontal="left" vertical="center"/>
      <protection hidden="1"/>
    </xf>
    <xf numFmtId="43" fontId="154" fillId="0" borderId="92" xfId="0" applyNumberFormat="1" applyFont="1" applyBorder="1" applyAlignment="1" applyProtection="1">
      <alignment vertical="center"/>
      <protection hidden="1"/>
    </xf>
    <xf numFmtId="43" fontId="82" fillId="0" borderId="32" xfId="0" applyNumberFormat="1" applyFont="1" applyBorder="1" applyProtection="1">
      <protection hidden="1"/>
    </xf>
    <xf numFmtId="43" fontId="154" fillId="0" borderId="4" xfId="77" applyNumberFormat="1" applyFont="1" applyFill="1" applyBorder="1" applyAlignment="1" applyProtection="1">
      <alignment horizontal="right" vertical="center"/>
      <protection hidden="1"/>
    </xf>
    <xf numFmtId="187" fontId="82" fillId="0" borderId="0" xfId="77" applyFont="1" applyFill="1" applyProtection="1">
      <protection hidden="1"/>
    </xf>
    <xf numFmtId="43" fontId="154" fillId="0" borderId="4" xfId="0" applyNumberFormat="1" applyFont="1" applyBorder="1" applyProtection="1">
      <protection hidden="1"/>
    </xf>
    <xf numFmtId="0" fontId="154" fillId="0" borderId="35" xfId="0" applyFont="1" applyBorder="1" applyAlignment="1" applyProtection="1">
      <alignment horizontal="center" vertical="center"/>
      <protection hidden="1"/>
    </xf>
    <xf numFmtId="0" fontId="82" fillId="0" borderId="36" xfId="0" applyFont="1" applyBorder="1" applyProtection="1">
      <protection hidden="1"/>
    </xf>
    <xf numFmtId="0" fontId="82" fillId="0" borderId="36" xfId="0" applyFont="1" applyBorder="1" applyAlignment="1" applyProtection="1">
      <alignment horizontal="left" vertical="center"/>
      <protection hidden="1"/>
    </xf>
    <xf numFmtId="187" fontId="154" fillId="0" borderId="35" xfId="77" applyFont="1" applyBorder="1" applyAlignment="1" applyProtection="1">
      <alignment horizontal="right" vertical="center"/>
      <protection hidden="1"/>
    </xf>
    <xf numFmtId="192" fontId="82" fillId="0" borderId="0" xfId="77" applyNumberFormat="1" applyFont="1" applyFill="1" applyProtection="1">
      <protection hidden="1"/>
    </xf>
    <xf numFmtId="43" fontId="82" fillId="0" borderId="0" xfId="0" applyNumberFormat="1" applyFont="1" applyProtection="1">
      <protection hidden="1"/>
    </xf>
    <xf numFmtId="0" fontId="82" fillId="0" borderId="8" xfId="0" applyFont="1" applyBorder="1" applyProtection="1">
      <protection hidden="1"/>
    </xf>
    <xf numFmtId="0" fontId="154" fillId="0" borderId="26" xfId="0" applyFont="1" applyBorder="1" applyAlignment="1" applyProtection="1">
      <alignment vertical="center"/>
      <protection hidden="1"/>
    </xf>
    <xf numFmtId="0" fontId="154" fillId="0" borderId="27" xfId="0" applyFont="1" applyBorder="1" applyAlignment="1" applyProtection="1">
      <alignment vertical="center"/>
      <protection hidden="1"/>
    </xf>
    <xf numFmtId="0" fontId="82" fillId="0" borderId="27" xfId="0" applyFont="1" applyBorder="1" applyProtection="1">
      <protection hidden="1"/>
    </xf>
    <xf numFmtId="0" fontId="82" fillId="0" borderId="18" xfId="0" applyFont="1" applyBorder="1" applyProtection="1">
      <protection hidden="1"/>
    </xf>
    <xf numFmtId="192" fontId="82" fillId="0" borderId="0" xfId="0" applyNumberFormat="1" applyFont="1" applyProtection="1">
      <protection hidden="1"/>
    </xf>
    <xf numFmtId="188" fontId="82" fillId="0" borderId="0" xfId="0" applyNumberFormat="1" applyFont="1" applyProtection="1">
      <protection hidden="1"/>
    </xf>
    <xf numFmtId="0" fontId="154" fillId="19" borderId="4" xfId="0" applyFont="1" applyFill="1" applyBorder="1" applyAlignment="1" applyProtection="1">
      <alignment horizontal="center" vertical="center"/>
      <protection hidden="1"/>
    </xf>
    <xf numFmtId="0" fontId="154" fillId="19" borderId="1" xfId="0" applyFont="1" applyFill="1" applyBorder="1" applyAlignment="1" applyProtection="1">
      <alignment horizontal="center" vertical="center"/>
      <protection hidden="1"/>
    </xf>
    <xf numFmtId="0" fontId="134" fillId="19" borderId="4" xfId="0" applyFont="1" applyFill="1" applyBorder="1" applyAlignment="1" applyProtection="1">
      <alignment horizontal="centerContinuous" vertical="center" wrapText="1"/>
      <protection hidden="1"/>
    </xf>
    <xf numFmtId="0" fontId="54" fillId="19" borderId="1" xfId="0" applyFont="1" applyFill="1" applyBorder="1" applyAlignment="1" applyProtection="1">
      <alignment horizontal="centerContinuous" vertical="center"/>
      <protection hidden="1"/>
    </xf>
    <xf numFmtId="0" fontId="54" fillId="19" borderId="3" xfId="0" applyFont="1" applyFill="1" applyBorder="1" applyAlignment="1" applyProtection="1">
      <alignment horizontal="centerContinuous" vertical="center"/>
      <protection hidden="1"/>
    </xf>
    <xf numFmtId="0" fontId="54" fillId="19" borderId="10" xfId="0" applyFont="1" applyFill="1" applyBorder="1" applyAlignment="1" applyProtection="1">
      <alignment horizontal="centerContinuous" vertical="center"/>
      <protection hidden="1"/>
    </xf>
    <xf numFmtId="0" fontId="54" fillId="19" borderId="4" xfId="0" applyFont="1" applyFill="1" applyBorder="1" applyAlignment="1" applyProtection="1">
      <alignment horizontal="centerContinuous" vertical="center"/>
      <protection hidden="1"/>
    </xf>
    <xf numFmtId="41" fontId="54" fillId="19" borderId="4" xfId="77" applyNumberFormat="1" applyFont="1" applyFill="1" applyBorder="1" applyAlignment="1" applyProtection="1">
      <alignment horizontal="center" vertical="center"/>
      <protection hidden="1"/>
    </xf>
    <xf numFmtId="187" fontId="54" fillId="19" borderId="4" xfId="77" applyFont="1" applyFill="1" applyBorder="1" applyAlignment="1" applyProtection="1">
      <alignment horizontal="center" vertical="center" wrapText="1"/>
      <protection hidden="1"/>
    </xf>
    <xf numFmtId="187" fontId="54" fillId="19" borderId="4" xfId="77" applyFont="1" applyFill="1" applyBorder="1" applyAlignment="1" applyProtection="1">
      <alignment horizontal="centerContinuous" vertical="center" wrapText="1"/>
      <protection hidden="1"/>
    </xf>
    <xf numFmtId="0" fontId="159" fillId="0" borderId="0" xfId="0" applyFont="1" applyProtection="1">
      <protection hidden="1"/>
    </xf>
    <xf numFmtId="41" fontId="53" fillId="0" borderId="0" xfId="82" applyNumberFormat="1" applyFont="1"/>
    <xf numFmtId="0" fontId="154" fillId="19" borderId="4" xfId="0" applyFont="1" applyFill="1" applyBorder="1" applyAlignment="1" applyProtection="1">
      <alignment horizontal="center" vertical="center" wrapText="1"/>
      <protection hidden="1"/>
    </xf>
    <xf numFmtId="0" fontId="154" fillId="19" borderId="4" xfId="0" applyFont="1" applyFill="1" applyBorder="1" applyAlignment="1" applyProtection="1">
      <alignment horizontal="centerContinuous" vertical="center"/>
      <protection hidden="1"/>
    </xf>
    <xf numFmtId="41" fontId="154" fillId="19" borderId="4" xfId="77" applyNumberFormat="1" applyFont="1" applyFill="1" applyBorder="1" applyAlignment="1" applyProtection="1">
      <alignment horizontal="center" vertical="center"/>
      <protection hidden="1"/>
    </xf>
    <xf numFmtId="187" fontId="154" fillId="19" borderId="4" xfId="77" applyFont="1" applyFill="1" applyBorder="1" applyAlignment="1" applyProtection="1">
      <alignment horizontal="center" vertical="center" wrapText="1"/>
      <protection hidden="1"/>
    </xf>
    <xf numFmtId="187" fontId="154" fillId="19" borderId="4" xfId="77" applyFont="1" applyFill="1" applyBorder="1" applyAlignment="1" applyProtection="1">
      <alignment horizontal="centerContinuous" vertical="center" wrapText="1"/>
      <protection hidden="1"/>
    </xf>
    <xf numFmtId="187" fontId="134" fillId="19" borderId="4" xfId="77" applyFont="1" applyFill="1" applyBorder="1" applyAlignment="1" applyProtection="1">
      <alignment horizontal="center" vertical="center" wrapText="1"/>
      <protection hidden="1"/>
    </xf>
    <xf numFmtId="201" fontId="134" fillId="0" borderId="0" xfId="77" applyNumberFormat="1" applyFont="1" applyFill="1" applyAlignment="1" applyProtection="1">
      <alignment horizontal="right"/>
    </xf>
    <xf numFmtId="201" fontId="134" fillId="0" borderId="0" xfId="77" applyNumberFormat="1" applyFont="1"/>
    <xf numFmtId="191" fontId="171" fillId="0" borderId="0" xfId="0" applyNumberFormat="1" applyFont="1"/>
    <xf numFmtId="0" fontId="56" fillId="0" borderId="54" xfId="0" applyFont="1" applyBorder="1" applyProtection="1">
      <protection hidden="1"/>
    </xf>
    <xf numFmtId="0" fontId="134" fillId="0" borderId="0" xfId="82" applyFont="1"/>
    <xf numFmtId="0" fontId="196" fillId="0" borderId="0" xfId="0" applyFont="1" applyProtection="1">
      <protection hidden="1"/>
    </xf>
    <xf numFmtId="0" fontId="174" fillId="0" borderId="12" xfId="0" applyFont="1" applyBorder="1" applyAlignment="1" applyProtection="1">
      <alignment horizontal="center"/>
      <protection hidden="1"/>
    </xf>
    <xf numFmtId="0" fontId="174" fillId="0" borderId="17" xfId="0" applyFont="1" applyBorder="1" applyProtection="1">
      <protection hidden="1"/>
    </xf>
    <xf numFmtId="0" fontId="174" fillId="0" borderId="17" xfId="0" applyFont="1" applyBorder="1" applyAlignment="1" applyProtection="1">
      <alignment horizontal="center"/>
      <protection hidden="1"/>
    </xf>
    <xf numFmtId="0" fontId="174" fillId="0" borderId="17" xfId="0" applyFont="1" applyBorder="1" applyAlignment="1" applyProtection="1">
      <alignment horizontal="center"/>
      <protection locked="0"/>
    </xf>
    <xf numFmtId="0" fontId="174" fillId="0" borderId="17" xfId="0" applyFont="1" applyBorder="1" applyProtection="1">
      <protection locked="0"/>
    </xf>
    <xf numFmtId="0" fontId="174" fillId="0" borderId="49" xfId="0" applyFont="1" applyBorder="1" applyProtection="1">
      <protection locked="0"/>
    </xf>
    <xf numFmtId="0" fontId="196" fillId="0" borderId="49" xfId="0" applyFont="1" applyBorder="1" applyAlignment="1" applyProtection="1">
      <alignment horizontal="center"/>
      <protection locked="0"/>
    </xf>
    <xf numFmtId="0" fontId="174" fillId="0" borderId="49" xfId="0" applyFont="1" applyBorder="1" applyProtection="1">
      <protection hidden="1"/>
    </xf>
    <xf numFmtId="0" fontId="174" fillId="0" borderId="34" xfId="0" applyFont="1" applyBorder="1" applyProtection="1">
      <protection hidden="1"/>
    </xf>
    <xf numFmtId="0" fontId="174" fillId="0" borderId="49" xfId="0" applyFont="1" applyBorder="1" applyAlignment="1" applyProtection="1">
      <alignment horizontal="center"/>
      <protection hidden="1"/>
    </xf>
    <xf numFmtId="0" fontId="174" fillId="0" borderId="34" xfId="0" applyFont="1" applyBorder="1" applyAlignment="1" applyProtection="1">
      <alignment horizontal="center"/>
      <protection hidden="1"/>
    </xf>
    <xf numFmtId="0" fontId="174" fillId="0" borderId="23" xfId="0" applyFont="1" applyBorder="1" applyAlignment="1" applyProtection="1">
      <alignment horizontal="center"/>
      <protection hidden="1"/>
    </xf>
    <xf numFmtId="0" fontId="196" fillId="0" borderId="5" xfId="0" applyFont="1" applyBorder="1" applyAlignment="1" applyProtection="1">
      <alignment horizontal="centerContinuous" vertical="center"/>
      <protection hidden="1"/>
    </xf>
    <xf numFmtId="0" fontId="174" fillId="0" borderId="23" xfId="0" applyFont="1" applyBorder="1" applyProtection="1">
      <protection hidden="1"/>
    </xf>
    <xf numFmtId="0" fontId="174" fillId="0" borderId="5" xfId="0" applyFont="1" applyBorder="1" applyProtection="1">
      <protection hidden="1"/>
    </xf>
    <xf numFmtId="0" fontId="174" fillId="0" borderId="20" xfId="0" applyFont="1" applyBorder="1" applyAlignment="1" applyProtection="1">
      <alignment horizontal="center"/>
      <protection hidden="1"/>
    </xf>
    <xf numFmtId="0" fontId="174" fillId="0" borderId="25" xfId="0" applyFont="1" applyBorder="1" applyAlignment="1" applyProtection="1">
      <alignment horizontal="center"/>
      <protection hidden="1"/>
    </xf>
    <xf numFmtId="0" fontId="197" fillId="0" borderId="0" xfId="0" applyFont="1" applyProtection="1">
      <protection hidden="1"/>
    </xf>
    <xf numFmtId="0" fontId="154" fillId="0" borderId="0" xfId="0" applyFont="1" applyProtection="1">
      <protection hidden="1"/>
    </xf>
    <xf numFmtId="43" fontId="54" fillId="19" borderId="35" xfId="80" applyFont="1" applyFill="1" applyBorder="1" applyAlignment="1" applyProtection="1">
      <alignment horizontal="center"/>
    </xf>
    <xf numFmtId="43" fontId="53" fillId="19" borderId="4" xfId="82" applyNumberFormat="1" applyFont="1" applyFill="1" applyBorder="1"/>
    <xf numFmtId="198" fontId="53" fillId="19" borderId="4" xfId="82" applyNumberFormat="1" applyFont="1" applyFill="1" applyBorder="1"/>
    <xf numFmtId="191" fontId="53" fillId="19" borderId="4" xfId="82" applyNumberFormat="1" applyFont="1" applyFill="1" applyBorder="1"/>
    <xf numFmtId="201" fontId="53" fillId="19" borderId="4" xfId="82" applyNumberFormat="1" applyFont="1" applyFill="1" applyBorder="1"/>
    <xf numFmtId="189" fontId="155" fillId="0" borderId="0" xfId="77" applyNumberFormat="1" applyFont="1" applyAlignment="1" applyProtection="1">
      <alignment horizontal="right"/>
      <protection locked="0"/>
    </xf>
    <xf numFmtId="187" fontId="155" fillId="0" borderId="0" xfId="77" applyFont="1" applyBorder="1"/>
    <xf numFmtId="187" fontId="169" fillId="0" borderId="0" xfId="77" applyFont="1" applyFill="1" applyProtection="1">
      <protection hidden="1"/>
    </xf>
    <xf numFmtId="187" fontId="155" fillId="0" borderId="0" xfId="77" applyFont="1"/>
    <xf numFmtId="189" fontId="143" fillId="12" borderId="94" xfId="77" applyNumberFormat="1" applyFont="1" applyFill="1" applyBorder="1" applyAlignment="1" applyProtection="1">
      <alignment horizontal="center"/>
      <protection locked="0"/>
    </xf>
    <xf numFmtId="0" fontId="156" fillId="6" borderId="115" xfId="0" quotePrefix="1" applyFont="1" applyFill="1" applyBorder="1" applyAlignment="1">
      <alignment horizontal="center"/>
    </xf>
    <xf numFmtId="0" fontId="156" fillId="6" borderId="92" xfId="0" quotePrefix="1" applyFont="1" applyFill="1" applyBorder="1" applyAlignment="1">
      <alignment horizontal="center"/>
    </xf>
    <xf numFmtId="0" fontId="157" fillId="12" borderId="104" xfId="0" applyFont="1" applyFill="1" applyBorder="1" applyAlignment="1" applyProtection="1">
      <alignment horizontal="center"/>
      <protection locked="0"/>
    </xf>
    <xf numFmtId="0" fontId="157" fillId="12" borderId="105" xfId="0" applyFont="1" applyFill="1" applyBorder="1" applyAlignment="1" applyProtection="1">
      <alignment horizontal="center"/>
      <protection locked="0"/>
    </xf>
    <xf numFmtId="0" fontId="157" fillId="12" borderId="106" xfId="0" applyFont="1" applyFill="1" applyBorder="1" applyAlignment="1" applyProtection="1">
      <alignment horizontal="center"/>
      <protection locked="0"/>
    </xf>
    <xf numFmtId="0" fontId="134" fillId="8" borderId="4" xfId="0" applyFont="1" applyFill="1" applyBorder="1" applyAlignment="1">
      <alignment horizontal="center" vertical="center"/>
    </xf>
    <xf numFmtId="0" fontId="80" fillId="8" borderId="11" xfId="0" applyFont="1" applyFill="1" applyBorder="1" applyAlignment="1">
      <alignment horizontal="center" vertical="center"/>
    </xf>
    <xf numFmtId="0" fontId="80" fillId="8" borderId="0" xfId="0" applyFont="1" applyFill="1" applyAlignment="1">
      <alignment horizontal="center" vertical="center"/>
    </xf>
    <xf numFmtId="0" fontId="134" fillId="8" borderId="104" xfId="0" applyFont="1" applyFill="1" applyBorder="1" applyAlignment="1">
      <alignment horizontal="center" vertical="center"/>
    </xf>
    <xf numFmtId="0" fontId="134" fillId="8" borderId="105" xfId="0" applyFont="1" applyFill="1" applyBorder="1" applyAlignment="1">
      <alignment horizontal="center" vertical="center"/>
    </xf>
    <xf numFmtId="0" fontId="134" fillId="8" borderId="106" xfId="0" applyFont="1" applyFill="1" applyBorder="1" applyAlignment="1">
      <alignment horizontal="center" vertical="center"/>
    </xf>
    <xf numFmtId="0" fontId="194" fillId="0" borderId="0" xfId="0" applyFont="1" applyAlignment="1" applyProtection="1">
      <alignment horizontal="left" vertical="top" wrapText="1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79" fillId="15" borderId="0" xfId="0" applyFont="1" applyFill="1" applyAlignment="1">
      <alignment horizontal="left"/>
    </xf>
    <xf numFmtId="0" fontId="176" fillId="15" borderId="0" xfId="0" applyFont="1" applyFill="1" applyAlignment="1">
      <alignment horizontal="left"/>
    </xf>
    <xf numFmtId="0" fontId="79" fillId="12" borderId="92" xfId="0" applyFont="1" applyFill="1" applyBorder="1" applyAlignment="1">
      <alignment horizontal="center"/>
    </xf>
    <xf numFmtId="0" fontId="56" fillId="0" borderId="1" xfId="0" applyFont="1" applyBorder="1" applyAlignment="1" applyProtection="1">
      <alignment horizontal="center"/>
      <protection hidden="1"/>
    </xf>
    <xf numFmtId="0" fontId="56" fillId="0" borderId="3" xfId="0" applyFont="1" applyBorder="1" applyAlignment="1" applyProtection="1">
      <alignment horizontal="center"/>
      <protection hidden="1"/>
    </xf>
    <xf numFmtId="0" fontId="56" fillId="0" borderId="10" xfId="0" applyFont="1" applyBorder="1" applyAlignment="1" applyProtection="1">
      <alignment horizontal="center"/>
      <protection hidden="1"/>
    </xf>
    <xf numFmtId="2" fontId="144" fillId="0" borderId="0" xfId="77" quotePrefix="1" applyNumberFormat="1" applyFont="1" applyAlignment="1" applyProtection="1">
      <alignment horizontal="center" vertical="center"/>
      <protection hidden="1"/>
    </xf>
    <xf numFmtId="0" fontId="144" fillId="0" borderId="0" xfId="0" applyFont="1" applyAlignment="1" applyProtection="1">
      <alignment horizontal="left"/>
      <protection hidden="1"/>
    </xf>
    <xf numFmtId="0" fontId="79" fillId="0" borderId="111" xfId="0" applyFont="1" applyBorder="1" applyAlignment="1">
      <alignment horizontal="center" vertical="top"/>
    </xf>
    <xf numFmtId="0" fontId="79" fillId="0" borderId="41" xfId="0" applyFont="1" applyBorder="1" applyAlignment="1">
      <alignment horizontal="center" vertical="top"/>
    </xf>
    <xf numFmtId="0" fontId="144" fillId="0" borderId="109" xfId="0" applyFont="1" applyBorder="1" applyAlignment="1">
      <alignment horizontal="center" vertical="top"/>
    </xf>
    <xf numFmtId="0" fontId="144" fillId="0" borderId="110" xfId="0" applyFont="1" applyBorder="1" applyAlignment="1">
      <alignment horizontal="center" vertical="top"/>
    </xf>
    <xf numFmtId="0" fontId="54" fillId="0" borderId="0" xfId="0" applyFont="1" applyAlignment="1">
      <alignment horizontal="left" vertical="center"/>
    </xf>
    <xf numFmtId="0" fontId="187" fillId="0" borderId="11" xfId="0" applyFont="1" applyBorder="1" applyAlignment="1">
      <alignment horizontal="right"/>
    </xf>
    <xf numFmtId="0" fontId="187" fillId="0" borderId="0" xfId="0" applyFont="1" applyAlignment="1">
      <alignment horizontal="right"/>
    </xf>
    <xf numFmtId="0" fontId="136" fillId="0" borderId="0" xfId="0" applyFont="1" applyAlignment="1" applyProtection="1">
      <alignment horizontal="center"/>
      <protection locked="0"/>
    </xf>
    <xf numFmtId="0" fontId="79" fillId="0" borderId="0" xfId="0" applyFont="1" applyAlignment="1">
      <alignment horizontal="center"/>
    </xf>
    <xf numFmtId="0" fontId="79" fillId="0" borderId="11" xfId="0" applyFont="1" applyBorder="1" applyAlignment="1" applyProtection="1">
      <alignment horizontal="center"/>
      <protection hidden="1"/>
    </xf>
    <xf numFmtId="0" fontId="79" fillId="0" borderId="0" xfId="0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/>
      <protection hidden="1"/>
    </xf>
    <xf numFmtId="0" fontId="144" fillId="0" borderId="2" xfId="0" applyFont="1" applyBorder="1" applyAlignment="1">
      <alignment horizontal="center" vertical="top"/>
    </xf>
    <xf numFmtId="0" fontId="79" fillId="0" borderId="0" xfId="278" applyFont="1" applyAlignment="1">
      <alignment horizontal="center"/>
    </xf>
    <xf numFmtId="0" fontId="79" fillId="0" borderId="113" xfId="0" applyFont="1" applyBorder="1" applyAlignment="1">
      <alignment horizontal="center" vertical="top"/>
    </xf>
    <xf numFmtId="0" fontId="79" fillId="0" borderId="68" xfId="0" applyFont="1" applyBorder="1" applyAlignment="1">
      <alignment horizontal="center" vertical="top"/>
    </xf>
    <xf numFmtId="0" fontId="144" fillId="0" borderId="0" xfId="0" quotePrefix="1" applyFont="1" applyAlignment="1" applyProtection="1">
      <alignment horizontal="left"/>
      <protection hidden="1"/>
    </xf>
    <xf numFmtId="0" fontId="184" fillId="0" borderId="0" xfId="0" applyFont="1" applyAlignment="1" applyProtection="1">
      <alignment horizontal="left"/>
      <protection hidden="1"/>
    </xf>
    <xf numFmtId="0" fontId="147" fillId="0" borderId="0" xfId="0" applyFont="1" applyAlignment="1" applyProtection="1">
      <alignment horizontal="left"/>
      <protection hidden="1"/>
    </xf>
    <xf numFmtId="0" fontId="52" fillId="0" borderId="0" xfId="0" applyFont="1" applyAlignment="1">
      <alignment horizontal="center" vertical="center"/>
    </xf>
    <xf numFmtId="41" fontId="79" fillId="0" borderId="0" xfId="77" applyNumberFormat="1" applyFont="1" applyFill="1" applyAlignment="1" applyProtection="1">
      <alignment horizontal="left" vertical="top" wrapText="1"/>
      <protection hidden="1"/>
    </xf>
    <xf numFmtId="0" fontId="154" fillId="19" borderId="1" xfId="0" applyFont="1" applyFill="1" applyBorder="1" applyAlignment="1" applyProtection="1">
      <alignment horizontal="center" vertical="center"/>
      <protection hidden="1"/>
    </xf>
    <xf numFmtId="0" fontId="154" fillId="19" borderId="3" xfId="0" applyFont="1" applyFill="1" applyBorder="1" applyAlignment="1" applyProtection="1">
      <alignment horizontal="center" vertical="center"/>
      <protection hidden="1"/>
    </xf>
    <xf numFmtId="0" fontId="154" fillId="19" borderId="10" xfId="0" applyFont="1" applyFill="1" applyBorder="1" applyAlignment="1" applyProtection="1">
      <alignment horizontal="center" vertical="center"/>
      <protection hidden="1"/>
    </xf>
    <xf numFmtId="187" fontId="82" fillId="0" borderId="1" xfId="77" applyFont="1" applyFill="1" applyBorder="1" applyAlignment="1" applyProtection="1">
      <alignment horizontal="center"/>
      <protection hidden="1"/>
    </xf>
    <xf numFmtId="187" fontId="82" fillId="0" borderId="3" xfId="77" applyFont="1" applyFill="1" applyBorder="1" applyAlignment="1" applyProtection="1">
      <alignment horizontal="center"/>
      <protection hidden="1"/>
    </xf>
    <xf numFmtId="187" fontId="82" fillId="0" borderId="10" xfId="77" applyFont="1" applyFill="1" applyBorder="1" applyAlignment="1" applyProtection="1">
      <alignment horizontal="center"/>
      <protection hidden="1"/>
    </xf>
    <xf numFmtId="0" fontId="155" fillId="0" borderId="0" xfId="0" applyFont="1" applyAlignment="1" applyProtection="1">
      <alignment horizontal="center" vertical="center"/>
      <protection locked="0" hidden="1"/>
    </xf>
    <xf numFmtId="0" fontId="53" fillId="0" borderId="32" xfId="0" applyFont="1" applyBorder="1" applyAlignment="1" applyProtection="1">
      <alignment horizontal="center"/>
      <protection hidden="1"/>
    </xf>
    <xf numFmtId="0" fontId="54" fillId="0" borderId="11" xfId="0" applyFont="1" applyBorder="1" applyAlignment="1" applyProtection="1">
      <alignment horizontal="left"/>
      <protection hidden="1"/>
    </xf>
    <xf numFmtId="0" fontId="54" fillId="0" borderId="0" xfId="0" applyFont="1" applyAlignment="1" applyProtection="1">
      <alignment horizontal="left"/>
      <protection hidden="1"/>
    </xf>
    <xf numFmtId="0" fontId="54" fillId="0" borderId="9" xfId="0" applyFont="1" applyBorder="1" applyAlignment="1" applyProtection="1">
      <alignment horizontal="left"/>
      <protection hidden="1"/>
    </xf>
    <xf numFmtId="0" fontId="53" fillId="0" borderId="0" xfId="0" applyFont="1" applyAlignment="1" applyProtection="1">
      <alignment horizontal="center" vertical="center"/>
      <protection locked="0" hidden="1"/>
    </xf>
    <xf numFmtId="0" fontId="53" fillId="0" borderId="0" xfId="0" applyFont="1" applyAlignment="1" applyProtection="1">
      <alignment horizontal="center" vertical="center"/>
      <protection hidden="1"/>
    </xf>
    <xf numFmtId="0" fontId="53" fillId="0" borderId="32" xfId="0" applyFont="1" applyBorder="1" applyAlignment="1" applyProtection="1">
      <alignment horizontal="right"/>
      <protection hidden="1"/>
    </xf>
    <xf numFmtId="0" fontId="53" fillId="0" borderId="0" xfId="0" applyFont="1" applyAlignment="1" applyProtection="1">
      <alignment horizontal="left"/>
      <protection hidden="1"/>
    </xf>
    <xf numFmtId="187" fontId="82" fillId="0" borderId="76" xfId="0" applyNumberFormat="1" applyFont="1" applyBorder="1" applyAlignment="1" applyProtection="1">
      <alignment horizontal="center"/>
      <protection hidden="1"/>
    </xf>
    <xf numFmtId="0" fontId="82" fillId="0" borderId="36" xfId="0" applyFont="1" applyBorder="1" applyAlignment="1" applyProtection="1">
      <alignment horizontal="center"/>
      <protection hidden="1"/>
    </xf>
    <xf numFmtId="0" fontId="82" fillId="0" borderId="37" xfId="0" applyFont="1" applyBorder="1" applyAlignment="1" applyProtection="1">
      <alignment horizontal="center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left" vertical="top" wrapText="1"/>
      <protection hidden="1"/>
    </xf>
    <xf numFmtId="0" fontId="157" fillId="0" borderId="0" xfId="0" applyFont="1" applyAlignment="1" applyProtection="1">
      <alignment horizontal="center"/>
      <protection hidden="1"/>
    </xf>
    <xf numFmtId="49" fontId="53" fillId="0" borderId="0" xfId="77" applyNumberFormat="1" applyFont="1" applyFill="1" applyAlignment="1" applyProtection="1">
      <alignment horizontal="left" vertical="top" wrapText="1"/>
      <protection hidden="1"/>
    </xf>
    <xf numFmtId="202" fontId="53" fillId="0" borderId="0" xfId="0" applyNumberFormat="1" applyFont="1" applyAlignment="1" applyProtection="1">
      <alignment horizontal="left"/>
      <protection locked="0" hidden="1"/>
    </xf>
    <xf numFmtId="187" fontId="155" fillId="0" borderId="0" xfId="77" applyFont="1" applyAlignment="1" applyProtection="1">
      <alignment horizontal="center"/>
      <protection locked="0"/>
    </xf>
    <xf numFmtId="189" fontId="155" fillId="0" borderId="0" xfId="77" applyNumberFormat="1" applyFont="1" applyAlignment="1" applyProtection="1">
      <alignment horizontal="right"/>
      <protection locked="0"/>
    </xf>
    <xf numFmtId="0" fontId="78" fillId="0" borderId="0" xfId="0" applyFont="1" applyAlignment="1" applyProtection="1">
      <alignment horizontal="center"/>
      <protection hidden="1"/>
    </xf>
    <xf numFmtId="0" fontId="54" fillId="0" borderId="0" xfId="0" applyFont="1" applyAlignment="1" applyProtection="1">
      <alignment horizontal="left" vertical="top"/>
      <protection hidden="1"/>
    </xf>
    <xf numFmtId="0" fontId="159" fillId="0" borderId="3" xfId="0" applyFont="1" applyBorder="1" applyAlignment="1" applyProtection="1">
      <alignment horizontal="center"/>
      <protection hidden="1"/>
    </xf>
    <xf numFmtId="0" fontId="159" fillId="0" borderId="10" xfId="0" applyFont="1" applyBorder="1" applyAlignment="1" applyProtection="1">
      <alignment horizontal="center"/>
      <protection hidden="1"/>
    </xf>
    <xf numFmtId="49" fontId="54" fillId="0" borderId="0" xfId="77" applyNumberFormat="1" applyFont="1" applyFill="1" applyAlignment="1" applyProtection="1">
      <alignment horizontal="left" vertical="top" wrapText="1"/>
      <protection hidden="1"/>
    </xf>
    <xf numFmtId="0" fontId="77" fillId="0" borderId="54" xfId="277" applyFont="1" applyBorder="1" applyAlignment="1" applyProtection="1">
      <alignment horizontal="left" wrapText="1"/>
      <protection hidden="1"/>
    </xf>
    <xf numFmtId="0" fontId="77" fillId="0" borderId="20" xfId="277" applyFont="1" applyBorder="1" applyAlignment="1" applyProtection="1">
      <alignment horizontal="left" wrapText="1"/>
      <protection hidden="1"/>
    </xf>
    <xf numFmtId="0" fontId="77" fillId="0" borderId="52" xfId="277" applyFont="1" applyBorder="1" applyAlignment="1" applyProtection="1">
      <alignment horizontal="left" wrapText="1"/>
      <protection hidden="1"/>
    </xf>
    <xf numFmtId="0" fontId="77" fillId="0" borderId="25" xfId="277" applyFont="1" applyBorder="1" applyAlignment="1" applyProtection="1">
      <alignment horizontal="left" wrapText="1"/>
      <protection hidden="1"/>
    </xf>
    <xf numFmtId="0" fontId="78" fillId="0" borderId="0" xfId="277" applyFont="1" applyAlignment="1" applyProtection="1">
      <alignment horizontal="center"/>
      <protection hidden="1"/>
    </xf>
    <xf numFmtId="0" fontId="52" fillId="0" borderId="27" xfId="277" applyFont="1" applyBorder="1" applyAlignment="1" applyProtection="1">
      <alignment horizontal="center"/>
      <protection hidden="1"/>
    </xf>
    <xf numFmtId="0" fontId="52" fillId="0" borderId="94" xfId="277" applyFont="1" applyBorder="1" applyAlignment="1" applyProtection="1">
      <alignment horizontal="center" vertical="center" wrapText="1"/>
      <protection hidden="1"/>
    </xf>
    <xf numFmtId="0" fontId="138" fillId="0" borderId="8" xfId="277" applyFont="1" applyBorder="1" applyAlignment="1">
      <alignment horizontal="center" vertical="center" wrapText="1"/>
    </xf>
    <xf numFmtId="0" fontId="52" fillId="0" borderId="95" xfId="277" applyFont="1" applyBorder="1" applyAlignment="1" applyProtection="1">
      <alignment horizontal="center" vertical="center" wrapText="1"/>
      <protection hidden="1"/>
    </xf>
    <xf numFmtId="0" fontId="138" fillId="0" borderId="96" xfId="277" applyFont="1" applyBorder="1" applyAlignment="1">
      <alignment horizontal="center" vertical="center" wrapText="1"/>
    </xf>
    <xf numFmtId="0" fontId="138" fillId="0" borderId="26" xfId="277" applyFont="1" applyBorder="1" applyAlignment="1">
      <alignment horizontal="center" vertical="center" wrapText="1"/>
    </xf>
    <xf numFmtId="0" fontId="138" fillId="0" borderId="18" xfId="277" applyFont="1" applyBorder="1" applyAlignment="1">
      <alignment horizontal="center" vertical="center" wrapText="1"/>
    </xf>
    <xf numFmtId="41" fontId="52" fillId="0" borderId="94" xfId="78" applyNumberFormat="1" applyFont="1" applyFill="1" applyBorder="1" applyAlignment="1" applyProtection="1">
      <alignment horizontal="center" vertical="center" wrapText="1"/>
      <protection hidden="1"/>
    </xf>
    <xf numFmtId="0" fontId="138" fillId="0" borderId="8" xfId="277" applyFont="1" applyBorder="1" applyAlignment="1">
      <alignment vertical="center" wrapText="1"/>
    </xf>
    <xf numFmtId="0" fontId="75" fillId="16" borderId="0" xfId="81" applyFont="1" applyFill="1" applyAlignment="1">
      <alignment horizontal="center" vertical="center"/>
    </xf>
    <xf numFmtId="0" fontId="3" fillId="16" borderId="0" xfId="81" applyFont="1" applyFill="1" applyAlignment="1" applyProtection="1">
      <alignment horizontal="center" vertical="center"/>
      <protection locked="0" hidden="1"/>
    </xf>
    <xf numFmtId="189" fontId="53" fillId="16" borderId="0" xfId="77" applyNumberFormat="1" applyFont="1" applyFill="1" applyAlignment="1">
      <alignment horizontal="center" vertical="center"/>
    </xf>
    <xf numFmtId="0" fontId="53" fillId="0" borderId="0" xfId="0" applyFont="1" applyAlignment="1" applyProtection="1">
      <alignment horizontal="center"/>
      <protection hidden="1"/>
    </xf>
    <xf numFmtId="0" fontId="84" fillId="0" borderId="26" xfId="84" applyFont="1" applyBorder="1" applyAlignment="1">
      <alignment horizontal="center"/>
    </xf>
    <xf numFmtId="0" fontId="84" fillId="0" borderId="18" xfId="84" applyFont="1" applyBorder="1" applyAlignment="1">
      <alignment horizontal="center"/>
    </xf>
    <xf numFmtId="0" fontId="84" fillId="0" borderId="11" xfId="84" applyFont="1" applyBorder="1" applyAlignment="1">
      <alignment horizontal="center"/>
    </xf>
    <xf numFmtId="0" fontId="84" fillId="0" borderId="0" xfId="84" applyFont="1" applyAlignment="1">
      <alignment horizontal="center"/>
    </xf>
    <xf numFmtId="187" fontId="84" fillId="0" borderId="0" xfId="84" applyNumberFormat="1" applyFont="1" applyAlignment="1">
      <alignment horizontal="center"/>
    </xf>
    <xf numFmtId="0" fontId="84" fillId="11" borderId="1" xfId="84" applyFont="1" applyFill="1" applyBorder="1" applyAlignment="1">
      <alignment horizontal="center"/>
    </xf>
    <xf numFmtId="0" fontId="84" fillId="11" borderId="3" xfId="84" applyFont="1" applyFill="1" applyBorder="1" applyAlignment="1">
      <alignment horizontal="center"/>
    </xf>
    <xf numFmtId="0" fontId="84" fillId="0" borderId="9" xfId="84" applyFont="1" applyBorder="1" applyAlignment="1">
      <alignment horizontal="center"/>
    </xf>
    <xf numFmtId="0" fontId="84" fillId="0" borderId="30" xfId="84" applyFont="1" applyBorder="1" applyAlignment="1">
      <alignment horizontal="center"/>
    </xf>
    <xf numFmtId="0" fontId="84" fillId="0" borderId="31" xfId="84" applyFont="1" applyBorder="1" applyAlignment="1">
      <alignment horizontal="center"/>
    </xf>
    <xf numFmtId="0" fontId="83" fillId="0" borderId="0" xfId="84" applyFont="1" applyAlignment="1">
      <alignment horizontal="center"/>
    </xf>
    <xf numFmtId="0" fontId="99" fillId="18" borderId="0" xfId="84" applyFont="1" applyFill="1" applyAlignment="1">
      <alignment horizontal="center"/>
    </xf>
    <xf numFmtId="0" fontId="99" fillId="18" borderId="68" xfId="84" applyFont="1" applyFill="1" applyBorder="1" applyAlignment="1">
      <alignment horizontal="center"/>
    </xf>
    <xf numFmtId="0" fontId="84" fillId="0" borderId="32" xfId="84" applyFont="1" applyBorder="1"/>
    <xf numFmtId="0" fontId="84" fillId="0" borderId="26" xfId="84" applyFont="1" applyBorder="1"/>
    <xf numFmtId="0" fontId="84" fillId="0" borderId="27" xfId="84" applyFont="1" applyBorder="1"/>
    <xf numFmtId="207" fontId="34" fillId="0" borderId="7" xfId="88" applyNumberFormat="1" applyFont="1" applyBorder="1" applyAlignment="1">
      <alignment horizontal="center" vertical="center"/>
    </xf>
    <xf numFmtId="207" fontId="34" fillId="0" borderId="8" xfId="88" applyNumberFormat="1" applyFont="1" applyBorder="1" applyAlignment="1">
      <alignment horizontal="center" vertical="center"/>
    </xf>
    <xf numFmtId="3" fontId="34" fillId="0" borderId="17" xfId="88" applyNumberFormat="1" applyFont="1" applyBorder="1" applyAlignment="1">
      <alignment horizontal="center" vertical="center"/>
    </xf>
    <xf numFmtId="3" fontId="34" fillId="0" borderId="23" xfId="88" applyNumberFormat="1" applyFont="1" applyBorder="1" applyAlignment="1">
      <alignment horizontal="center" vertical="center"/>
    </xf>
    <xf numFmtId="207" fontId="33" fillId="0" borderId="0" xfId="88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207" fontId="48" fillId="0" borderId="7" xfId="88" applyNumberFormat="1" applyFont="1" applyBorder="1" applyAlignment="1">
      <alignment horizontal="center" vertical="center"/>
    </xf>
    <xf numFmtId="207" fontId="48" fillId="0" borderId="8" xfId="88" applyNumberFormat="1" applyFont="1" applyBorder="1" applyAlignment="1">
      <alignment horizontal="center" vertical="center"/>
    </xf>
    <xf numFmtId="3" fontId="34" fillId="0" borderId="34" xfId="88" applyNumberFormat="1" applyFont="1" applyBorder="1" applyAlignment="1">
      <alignment horizontal="center" vertical="center"/>
    </xf>
    <xf numFmtId="207" fontId="34" fillId="0" borderId="30" xfId="88" applyNumberFormat="1" applyFont="1" applyBorder="1" applyAlignment="1">
      <alignment horizontal="center" vertical="center"/>
    </xf>
    <xf numFmtId="207" fontId="34" fillId="0" borderId="32" xfId="88" applyNumberFormat="1" applyFont="1" applyBorder="1" applyAlignment="1">
      <alignment horizontal="center" vertical="center"/>
    </xf>
    <xf numFmtId="207" fontId="34" fillId="0" borderId="31" xfId="88" applyNumberFormat="1" applyFont="1" applyBorder="1" applyAlignment="1">
      <alignment horizontal="center" vertical="center"/>
    </xf>
    <xf numFmtId="207" fontId="34" fillId="0" borderId="26" xfId="88" applyNumberFormat="1" applyFont="1" applyBorder="1" applyAlignment="1">
      <alignment horizontal="center" vertical="center"/>
    </xf>
    <xf numFmtId="207" fontId="34" fillId="0" borderId="27" xfId="88" applyNumberFormat="1" applyFont="1" applyBorder="1" applyAlignment="1">
      <alignment horizontal="center" vertical="center"/>
    </xf>
    <xf numFmtId="207" fontId="34" fillId="0" borderId="18" xfId="88" applyNumberFormat="1" applyFont="1" applyBorder="1" applyAlignment="1">
      <alignment horizontal="center" vertical="center"/>
    </xf>
    <xf numFmtId="3" fontId="34" fillId="0" borderId="12" xfId="88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hidden="1"/>
    </xf>
    <xf numFmtId="207" fontId="34" fillId="0" borderId="21" xfId="88" applyNumberFormat="1" applyFont="1" applyBorder="1" applyAlignment="1">
      <alignment horizontal="center" vertical="center"/>
    </xf>
    <xf numFmtId="207" fontId="34" fillId="0" borderId="20" xfId="88" applyNumberFormat="1" applyFont="1" applyBorder="1" applyAlignment="1">
      <alignment horizontal="center" vertical="center"/>
    </xf>
    <xf numFmtId="0" fontId="52" fillId="0" borderId="27" xfId="0" applyFont="1" applyBorder="1" applyAlignment="1">
      <alignment horizontal="center" vertical="center"/>
    </xf>
    <xf numFmtId="4" fontId="53" fillId="0" borderId="0" xfId="82" applyNumberFormat="1" applyFont="1" applyAlignment="1">
      <alignment horizontal="center"/>
    </xf>
    <xf numFmtId="0" fontId="53" fillId="0" borderId="0" xfId="81" applyFont="1" applyAlignment="1" applyProtection="1">
      <alignment horizontal="center" vertical="center"/>
      <protection locked="0" hidden="1"/>
    </xf>
    <xf numFmtId="0" fontId="53" fillId="0" borderId="32" xfId="82" applyFont="1" applyBorder="1" applyAlignment="1">
      <alignment horizontal="center"/>
    </xf>
    <xf numFmtId="0" fontId="53" fillId="0" borderId="31" xfId="82" applyFont="1" applyBorder="1" applyAlignment="1">
      <alignment horizontal="center"/>
    </xf>
    <xf numFmtId="0" fontId="154" fillId="19" borderId="104" xfId="0" applyFont="1" applyFill="1" applyBorder="1" applyAlignment="1" applyProtection="1">
      <alignment horizontal="center" vertical="center"/>
      <protection hidden="1"/>
    </xf>
    <xf numFmtId="0" fontId="154" fillId="19" borderId="105" xfId="0" applyFont="1" applyFill="1" applyBorder="1" applyAlignment="1" applyProtection="1">
      <alignment horizontal="center" vertical="center"/>
      <protection hidden="1"/>
    </xf>
    <xf numFmtId="0" fontId="154" fillId="19" borderId="106" xfId="0" applyFont="1" applyFill="1" applyBorder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left" vertical="top" wrapText="1"/>
      <protection hidden="1"/>
    </xf>
    <xf numFmtId="0" fontId="53" fillId="0" borderId="0" xfId="82" applyFont="1" applyAlignment="1">
      <alignment horizontal="center"/>
    </xf>
    <xf numFmtId="0" fontId="53" fillId="0" borderId="0" xfId="82" applyFont="1" applyAlignment="1">
      <alignment horizontal="center" vertical="center"/>
    </xf>
    <xf numFmtId="41" fontId="53" fillId="0" borderId="0" xfId="82" applyNumberFormat="1" applyFont="1" applyAlignment="1">
      <alignment horizontal="center"/>
    </xf>
    <xf numFmtId="0" fontId="52" fillId="0" borderId="7" xfId="0" applyFont="1" applyBorder="1" applyAlignment="1" applyProtection="1">
      <alignment horizontal="center" vertical="center" wrapText="1"/>
      <protection hidden="1"/>
    </xf>
    <xf numFmtId="0" fontId="138" fillId="0" borderId="8" xfId="0" applyFont="1" applyBorder="1" applyAlignment="1">
      <alignment vertical="center" wrapText="1"/>
    </xf>
    <xf numFmtId="0" fontId="138" fillId="0" borderId="8" xfId="0" applyFont="1" applyBorder="1" applyAlignment="1">
      <alignment horizontal="center" vertical="center" wrapText="1"/>
    </xf>
    <xf numFmtId="0" fontId="52" fillId="0" borderId="27" xfId="0" applyFont="1" applyBorder="1" applyAlignment="1" applyProtection="1">
      <alignment horizontal="center"/>
      <protection hidden="1"/>
    </xf>
    <xf numFmtId="0" fontId="52" fillId="0" borderId="30" xfId="0" applyFont="1" applyBorder="1" applyAlignment="1" applyProtection="1">
      <alignment horizontal="center" vertical="center" wrapText="1"/>
      <protection hidden="1"/>
    </xf>
    <xf numFmtId="0" fontId="138" fillId="0" borderId="31" xfId="0" applyFont="1" applyBorder="1" applyAlignment="1">
      <alignment horizontal="center" vertical="center" wrapText="1"/>
    </xf>
    <xf numFmtId="0" fontId="138" fillId="0" borderId="26" xfId="0" applyFont="1" applyBorder="1" applyAlignment="1">
      <alignment horizontal="center" vertical="center" wrapText="1"/>
    </xf>
    <xf numFmtId="0" fontId="138" fillId="0" borderId="18" xfId="0" applyFont="1" applyBorder="1" applyAlignment="1">
      <alignment horizontal="center" vertical="center" wrapText="1"/>
    </xf>
    <xf numFmtId="41" fontId="52" fillId="0" borderId="7" xfId="77" applyNumberFormat="1" applyFont="1" applyFill="1" applyBorder="1" applyAlignment="1" applyProtection="1">
      <alignment horizontal="center" vertical="center" wrapText="1"/>
      <protection hidden="1"/>
    </xf>
    <xf numFmtId="197" fontId="6" fillId="0" borderId="0" xfId="0" applyNumberFormat="1" applyFont="1" applyAlignment="1" applyProtection="1">
      <alignment horizontal="left" vertical="center"/>
      <protection locked="0"/>
    </xf>
    <xf numFmtId="0" fontId="6" fillId="0" borderId="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0" fillId="3" borderId="26" xfId="0" applyFont="1" applyFill="1" applyBorder="1" applyAlignment="1">
      <alignment horizontal="center" vertical="top"/>
    </xf>
    <xf numFmtId="0" fontId="26" fillId="0" borderId="18" xfId="0" applyFont="1" applyBorder="1" applyAlignment="1">
      <alignment horizontal="center" vertical="top"/>
    </xf>
    <xf numFmtId="0" fontId="12" fillId="0" borderId="0" xfId="0" applyFont="1" applyAlignment="1">
      <alignment horizontal="center"/>
    </xf>
    <xf numFmtId="0" fontId="20" fillId="3" borderId="30" xfId="0" applyFont="1" applyFill="1" applyBorder="1" applyAlignment="1">
      <alignment horizontal="center" vertical="top"/>
    </xf>
    <xf numFmtId="0" fontId="26" fillId="0" borderId="31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3" borderId="1" xfId="0" applyFont="1" applyFill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0" fontId="12" fillId="3" borderId="10" xfId="0" applyFont="1" applyFill="1" applyBorder="1" applyAlignment="1">
      <alignment horizontal="center" vertical="top"/>
    </xf>
    <xf numFmtId="0" fontId="20" fillId="3" borderId="7" xfId="0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top"/>
    </xf>
    <xf numFmtId="0" fontId="12" fillId="3" borderId="32" xfId="0" applyFont="1" applyFill="1" applyBorder="1" applyAlignment="1">
      <alignment horizontal="center" vertical="top"/>
    </xf>
    <xf numFmtId="0" fontId="12" fillId="3" borderId="31" xfId="0" applyFont="1" applyFill="1" applyBorder="1" applyAlignment="1">
      <alignment horizontal="center" vertical="top"/>
    </xf>
    <xf numFmtId="0" fontId="23" fillId="0" borderId="0" xfId="0" applyFont="1" applyAlignment="1">
      <alignment horizontal="center" vertical="center"/>
    </xf>
    <xf numFmtId="0" fontId="20" fillId="3" borderId="30" xfId="0" applyFont="1" applyFill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top"/>
    </xf>
    <xf numFmtId="0" fontId="12" fillId="3" borderId="18" xfId="0" applyFont="1" applyFill="1" applyBorder="1" applyAlignment="1">
      <alignment horizontal="center" vertical="top"/>
    </xf>
    <xf numFmtId="0" fontId="12" fillId="3" borderId="27" xfId="0" applyFont="1" applyFill="1" applyBorder="1" applyAlignment="1">
      <alignment horizontal="center" vertical="top"/>
    </xf>
    <xf numFmtId="0" fontId="23" fillId="0" borderId="0" xfId="0" applyFont="1" applyAlignment="1">
      <alignment horizontal="center" vertical="top"/>
    </xf>
    <xf numFmtId="0" fontId="23" fillId="0" borderId="27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0" fillId="3" borderId="18" xfId="0" applyFont="1" applyFill="1" applyBorder="1" applyAlignment="1">
      <alignment horizontal="center" vertical="top"/>
    </xf>
    <xf numFmtId="0" fontId="27" fillId="3" borderId="26" xfId="0" applyFont="1" applyFill="1" applyBorder="1" applyAlignment="1">
      <alignment horizontal="center" vertical="top"/>
    </xf>
    <xf numFmtId="0" fontId="27" fillId="3" borderId="18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center" vertical="top"/>
    </xf>
    <xf numFmtId="0" fontId="12" fillId="3" borderId="0" xfId="0" applyFont="1" applyFill="1" applyAlignment="1">
      <alignment horizontal="center" vertical="top"/>
    </xf>
    <xf numFmtId="0" fontId="12" fillId="3" borderId="9" xfId="0" applyFont="1" applyFill="1" applyBorder="1" applyAlignment="1">
      <alignment horizontal="center" vertical="top"/>
    </xf>
    <xf numFmtId="0" fontId="20" fillId="3" borderId="31" xfId="0" applyFont="1" applyFill="1" applyBorder="1" applyAlignment="1">
      <alignment horizontal="center" vertical="top"/>
    </xf>
    <xf numFmtId="0" fontId="26" fillId="3" borderId="26" xfId="0" applyFont="1" applyFill="1" applyBorder="1" applyAlignment="1">
      <alignment horizontal="center" vertical="top"/>
    </xf>
    <xf numFmtId="0" fontId="26" fillId="3" borderId="18" xfId="0" applyFont="1" applyFill="1" applyBorder="1" applyAlignment="1">
      <alignment horizontal="center" vertical="top"/>
    </xf>
    <xf numFmtId="0" fontId="26" fillId="3" borderId="27" xfId="0" applyFont="1" applyFill="1" applyBorder="1" applyAlignment="1">
      <alignment horizontal="center" vertical="top"/>
    </xf>
    <xf numFmtId="191" fontId="19" fillId="0" borderId="30" xfId="0" applyNumberFormat="1" applyFont="1" applyBorder="1" applyAlignment="1">
      <alignment horizontal="center"/>
    </xf>
    <xf numFmtId="191" fontId="19" fillId="0" borderId="31" xfId="0" applyNumberFormat="1" applyFont="1" applyBorder="1" applyAlignment="1">
      <alignment horizontal="center"/>
    </xf>
    <xf numFmtId="191" fontId="16" fillId="6" borderId="30" xfId="0" applyNumberFormat="1" applyFont="1" applyFill="1" applyBorder="1" applyAlignment="1">
      <alignment horizontal="center"/>
    </xf>
    <xf numFmtId="191" fontId="16" fillId="6" borderId="3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30" fillId="3" borderId="30" xfId="0" applyFont="1" applyFill="1" applyBorder="1" applyAlignment="1">
      <alignment horizontal="center" vertical="top"/>
    </xf>
    <xf numFmtId="0" fontId="30" fillId="3" borderId="31" xfId="0" applyFont="1" applyFill="1" applyBorder="1" applyAlignment="1">
      <alignment horizontal="center" vertical="top"/>
    </xf>
    <xf numFmtId="0" fontId="17" fillId="3" borderId="30" xfId="0" applyFont="1" applyFill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30" fillId="3" borderId="11" xfId="0" applyFont="1" applyFill="1" applyBorder="1" applyAlignment="1">
      <alignment horizontal="center" vertical="top"/>
    </xf>
    <xf numFmtId="0" fontId="30" fillId="3" borderId="9" xfId="0" applyFont="1" applyFill="1" applyBorder="1" applyAlignment="1">
      <alignment horizontal="center" vertical="top"/>
    </xf>
    <xf numFmtId="0" fontId="30" fillId="3" borderId="26" xfId="0" applyFont="1" applyFill="1" applyBorder="1" applyAlignment="1">
      <alignment horizontal="center" vertical="top"/>
    </xf>
    <xf numFmtId="0" fontId="30" fillId="3" borderId="18" xfId="0" applyFont="1" applyFill="1" applyBorder="1" applyAlignment="1">
      <alignment horizontal="center" vertical="top"/>
    </xf>
    <xf numFmtId="0" fontId="19" fillId="0" borderId="0" xfId="0" applyFont="1" applyAlignment="1">
      <alignment horizontal="center"/>
    </xf>
    <xf numFmtId="0" fontId="16" fillId="3" borderId="30" xfId="0" applyFont="1" applyFill="1" applyBorder="1" applyAlignment="1">
      <alignment horizontal="center"/>
    </xf>
    <xf numFmtId="0" fontId="16" fillId="3" borderId="31" xfId="0" applyFont="1" applyFill="1" applyBorder="1" applyAlignment="1">
      <alignment horizontal="center"/>
    </xf>
    <xf numFmtId="0" fontId="0" fillId="3" borderId="30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16" fillId="3" borderId="26" xfId="0" applyFont="1" applyFill="1" applyBorder="1" applyAlignment="1">
      <alignment horizontal="center"/>
    </xf>
    <xf numFmtId="0" fontId="16" fillId="3" borderId="18" xfId="0" applyFont="1" applyFill="1" applyBorder="1" applyAlignment="1">
      <alignment horizontal="center"/>
    </xf>
    <xf numFmtId="191" fontId="19" fillId="0" borderId="11" xfId="0" applyNumberFormat="1" applyFont="1" applyBorder="1" applyAlignment="1">
      <alignment horizontal="center"/>
    </xf>
    <xf numFmtId="191" fontId="19" fillId="0" borderId="9" xfId="0" applyNumberFormat="1" applyFont="1" applyBorder="1" applyAlignment="1">
      <alignment horizontal="center"/>
    </xf>
    <xf numFmtId="191" fontId="16" fillId="6" borderId="11" xfId="0" applyNumberFormat="1" applyFont="1" applyFill="1" applyBorder="1" applyAlignment="1">
      <alignment horizontal="center"/>
    </xf>
    <xf numFmtId="191" fontId="16" fillId="6" borderId="0" xfId="0" applyNumberFormat="1" applyFont="1" applyFill="1" applyAlignment="1">
      <alignment horizontal="center"/>
    </xf>
    <xf numFmtId="191" fontId="19" fillId="0" borderId="26" xfId="0" applyNumberFormat="1" applyFont="1" applyBorder="1" applyAlignment="1">
      <alignment horizontal="center"/>
    </xf>
    <xf numFmtId="191" fontId="19" fillId="0" borderId="18" xfId="0" applyNumberFormat="1" applyFont="1" applyBorder="1" applyAlignment="1">
      <alignment horizontal="center"/>
    </xf>
    <xf numFmtId="191" fontId="16" fillId="6" borderId="26" xfId="0" applyNumberFormat="1" applyFont="1" applyFill="1" applyBorder="1" applyAlignment="1">
      <alignment horizontal="center"/>
    </xf>
    <xf numFmtId="191" fontId="16" fillId="6" borderId="18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6" fillId="3" borderId="30" xfId="0" applyFont="1" applyFill="1" applyBorder="1" applyAlignment="1">
      <alignment horizontal="center" vertical="top"/>
    </xf>
    <xf numFmtId="0" fontId="16" fillId="3" borderId="31" xfId="0" applyFont="1" applyFill="1" applyBorder="1" applyAlignment="1">
      <alignment horizontal="center" vertical="top"/>
    </xf>
    <xf numFmtId="0" fontId="17" fillId="3" borderId="32" xfId="0" applyFont="1" applyFill="1" applyBorder="1" applyAlignment="1">
      <alignment horizontal="center" vertical="center"/>
    </xf>
    <xf numFmtId="0" fontId="17" fillId="3" borderId="31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26" xfId="0" applyFont="1" applyFill="1" applyBorder="1" applyAlignment="1">
      <alignment horizontal="center" vertical="center"/>
    </xf>
    <xf numFmtId="0" fontId="17" fillId="3" borderId="27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16" fillId="3" borderId="26" xfId="0" applyFont="1" applyFill="1" applyBorder="1" applyAlignment="1">
      <alignment horizontal="center" vertical="top"/>
    </xf>
    <xf numFmtId="0" fontId="16" fillId="3" borderId="18" xfId="0" applyFont="1" applyFill="1" applyBorder="1" applyAlignment="1">
      <alignment horizontal="center" vertical="top"/>
    </xf>
    <xf numFmtId="191" fontId="19" fillId="0" borderId="11" xfId="0" applyNumberFormat="1" applyFont="1" applyBorder="1" applyAlignment="1">
      <alignment horizontal="center" vertical="center"/>
    </xf>
    <xf numFmtId="191" fontId="19" fillId="0" borderId="9" xfId="0" applyNumberFormat="1" applyFont="1" applyBorder="1" applyAlignment="1">
      <alignment horizontal="center" vertical="center"/>
    </xf>
    <xf numFmtId="191" fontId="16" fillId="6" borderId="11" xfId="0" applyNumberFormat="1" applyFont="1" applyFill="1" applyBorder="1" applyAlignment="1">
      <alignment horizontal="center" vertical="center"/>
    </xf>
    <xf numFmtId="191" fontId="16" fillId="6" borderId="9" xfId="0" applyNumberFormat="1" applyFont="1" applyFill="1" applyBorder="1" applyAlignment="1">
      <alignment horizontal="center" vertical="center"/>
    </xf>
    <xf numFmtId="191" fontId="19" fillId="0" borderId="30" xfId="0" applyNumberFormat="1" applyFont="1" applyBorder="1" applyAlignment="1">
      <alignment horizontal="center" vertical="center"/>
    </xf>
    <xf numFmtId="191" fontId="19" fillId="0" borderId="31" xfId="0" applyNumberFormat="1" applyFont="1" applyBorder="1" applyAlignment="1">
      <alignment horizontal="center" vertical="center"/>
    </xf>
    <xf numFmtId="191" fontId="16" fillId="6" borderId="30" xfId="0" applyNumberFormat="1" applyFont="1" applyFill="1" applyBorder="1" applyAlignment="1">
      <alignment horizontal="center" vertical="center"/>
    </xf>
    <xf numFmtId="191" fontId="16" fillId="6" borderId="31" xfId="0" applyNumberFormat="1" applyFont="1" applyFill="1" applyBorder="1" applyAlignment="1">
      <alignment horizontal="center" vertical="center"/>
    </xf>
    <xf numFmtId="191" fontId="19" fillId="0" borderId="26" xfId="0" applyNumberFormat="1" applyFont="1" applyBorder="1" applyAlignment="1">
      <alignment horizontal="center" vertical="center"/>
    </xf>
    <xf numFmtId="191" fontId="19" fillId="0" borderId="18" xfId="0" applyNumberFormat="1" applyFont="1" applyBorder="1" applyAlignment="1">
      <alignment horizontal="center" vertical="center"/>
    </xf>
    <xf numFmtId="191" fontId="16" fillId="6" borderId="26" xfId="0" applyNumberFormat="1" applyFont="1" applyFill="1" applyBorder="1" applyAlignment="1">
      <alignment horizontal="center" vertical="center"/>
    </xf>
    <xf numFmtId="191" fontId="16" fillId="6" borderId="18" xfId="0" applyNumberFormat="1" applyFont="1" applyFill="1" applyBorder="1" applyAlignment="1">
      <alignment horizontal="center" vertical="center"/>
    </xf>
    <xf numFmtId="191" fontId="144" fillId="0" borderId="93" xfId="0" applyNumberFormat="1" applyFont="1" applyBorder="1" applyAlignment="1">
      <alignment horizontal="center" vertical="top"/>
    </xf>
    <xf numFmtId="191" fontId="144" fillId="8" borderId="26" xfId="0" applyNumberFormat="1" applyFont="1" applyFill="1" applyBorder="1" applyAlignment="1">
      <alignment horizontal="center" vertical="top"/>
    </xf>
    <xf numFmtId="191" fontId="144" fillId="8" borderId="18" xfId="0" applyNumberFormat="1" applyFont="1" applyFill="1" applyBorder="1" applyAlignment="1">
      <alignment horizontal="center" vertical="top"/>
    </xf>
    <xf numFmtId="0" fontId="144" fillId="7" borderId="11" xfId="0" applyFont="1" applyFill="1" applyBorder="1" applyAlignment="1">
      <alignment horizontal="center" vertical="top"/>
    </xf>
    <xf numFmtId="0" fontId="144" fillId="7" borderId="9" xfId="0" applyFont="1" applyFill="1" applyBorder="1" applyAlignment="1">
      <alignment horizontal="center" vertical="top"/>
    </xf>
    <xf numFmtId="0" fontId="144" fillId="7" borderId="26" xfId="0" applyFont="1" applyFill="1" applyBorder="1" applyAlignment="1">
      <alignment horizontal="center"/>
    </xf>
    <xf numFmtId="0" fontId="144" fillId="7" borderId="27" xfId="0" applyFont="1" applyFill="1" applyBorder="1" applyAlignment="1">
      <alignment horizontal="center"/>
    </xf>
    <xf numFmtId="0" fontId="144" fillId="7" borderId="18" xfId="0" applyFont="1" applyFill="1" applyBorder="1" applyAlignment="1">
      <alignment horizontal="center"/>
    </xf>
    <xf numFmtId="0" fontId="54" fillId="7" borderId="11" xfId="0" applyFont="1" applyFill="1" applyBorder="1" applyAlignment="1">
      <alignment horizontal="center" vertical="center"/>
    </xf>
    <xf numFmtId="0" fontId="54" fillId="7" borderId="9" xfId="0" applyFont="1" applyFill="1" applyBorder="1" applyAlignment="1">
      <alignment horizontal="center" vertical="center"/>
    </xf>
    <xf numFmtId="191" fontId="144" fillId="48" borderId="11" xfId="0" applyNumberFormat="1" applyFont="1" applyFill="1" applyBorder="1" applyAlignment="1">
      <alignment horizontal="center" vertical="top"/>
    </xf>
    <xf numFmtId="191" fontId="144" fillId="48" borderId="9" xfId="0" applyNumberFormat="1" applyFont="1" applyFill="1" applyBorder="1" applyAlignment="1">
      <alignment horizontal="center" vertical="top"/>
    </xf>
    <xf numFmtId="0" fontId="144" fillId="7" borderId="26" xfId="0" applyFont="1" applyFill="1" applyBorder="1" applyAlignment="1">
      <alignment horizontal="center" vertical="top"/>
    </xf>
    <xf numFmtId="0" fontId="144" fillId="7" borderId="18" xfId="0" applyFont="1" applyFill="1" applyBorder="1" applyAlignment="1">
      <alignment horizontal="center" vertical="top"/>
    </xf>
    <xf numFmtId="191" fontId="144" fillId="48" borderId="95" xfId="0" applyNumberFormat="1" applyFont="1" applyFill="1" applyBorder="1" applyAlignment="1">
      <alignment horizontal="center" vertical="top"/>
    </xf>
    <xf numFmtId="191" fontId="144" fillId="48" borderId="96" xfId="0" applyNumberFormat="1" applyFont="1" applyFill="1" applyBorder="1" applyAlignment="1">
      <alignment horizontal="center" vertical="top"/>
    </xf>
    <xf numFmtId="191" fontId="144" fillId="46" borderId="11" xfId="0" applyNumberFormat="1" applyFont="1" applyFill="1" applyBorder="1" applyAlignment="1">
      <alignment horizontal="center" vertical="top"/>
    </xf>
    <xf numFmtId="191" fontId="144" fillId="46" borderId="9" xfId="0" applyNumberFormat="1" applyFont="1" applyFill="1" applyBorder="1" applyAlignment="1">
      <alignment horizontal="center" vertical="top"/>
    </xf>
    <xf numFmtId="0" fontId="193" fillId="0" borderId="0" xfId="0" applyFont="1" applyAlignment="1">
      <alignment horizontal="center"/>
    </xf>
    <xf numFmtId="0" fontId="160" fillId="0" borderId="0" xfId="0" applyFont="1" applyAlignment="1">
      <alignment horizontal="center" vertical="top"/>
    </xf>
    <xf numFmtId="0" fontId="144" fillId="7" borderId="30" xfId="0" applyFont="1" applyFill="1" applyBorder="1" applyAlignment="1">
      <alignment horizontal="center" vertical="top"/>
    </xf>
    <xf numFmtId="0" fontId="144" fillId="7" borderId="31" xfId="0" applyFont="1" applyFill="1" applyBorder="1" applyAlignment="1">
      <alignment horizontal="center" vertical="top"/>
    </xf>
    <xf numFmtId="0" fontId="144" fillId="7" borderId="32" xfId="0" applyFont="1" applyFill="1" applyBorder="1" applyAlignment="1">
      <alignment horizontal="center" vertical="top"/>
    </xf>
    <xf numFmtId="191" fontId="144" fillId="46" borderId="26" xfId="0" applyNumberFormat="1" applyFont="1" applyFill="1" applyBorder="1" applyAlignment="1">
      <alignment horizontal="center" vertical="top"/>
    </xf>
    <xf numFmtId="191" fontId="144" fillId="46" borderId="18" xfId="0" applyNumberFormat="1" applyFont="1" applyFill="1" applyBorder="1" applyAlignment="1">
      <alignment horizontal="center" vertical="top"/>
    </xf>
    <xf numFmtId="191" fontId="16" fillId="48" borderId="11" xfId="0" applyNumberFormat="1" applyFont="1" applyFill="1" applyBorder="1" applyAlignment="1">
      <alignment horizontal="center" vertical="top"/>
    </xf>
    <xf numFmtId="191" fontId="16" fillId="48" borderId="9" xfId="0" applyNumberFormat="1" applyFont="1" applyFill="1" applyBorder="1" applyAlignment="1">
      <alignment horizontal="center" vertical="top"/>
    </xf>
    <xf numFmtId="191" fontId="16" fillId="46" borderId="11" xfId="0" applyNumberFormat="1" applyFont="1" applyFill="1" applyBorder="1" applyAlignment="1">
      <alignment horizontal="center" vertical="top"/>
    </xf>
    <xf numFmtId="191" fontId="16" fillId="46" borderId="9" xfId="0" applyNumberFormat="1" applyFont="1" applyFill="1" applyBorder="1" applyAlignment="1">
      <alignment horizontal="center" vertical="top"/>
    </xf>
    <xf numFmtId="0" fontId="21" fillId="0" borderId="0" xfId="0" applyFont="1" applyAlignment="1">
      <alignment horizontal="center" vertical="top"/>
    </xf>
    <xf numFmtId="0" fontId="16" fillId="7" borderId="30" xfId="0" applyFont="1" applyFill="1" applyBorder="1" applyAlignment="1">
      <alignment horizontal="center" vertical="top"/>
    </xf>
    <xf numFmtId="0" fontId="16" fillId="7" borderId="31" xfId="0" applyFont="1" applyFill="1" applyBorder="1" applyAlignment="1">
      <alignment horizontal="center" vertical="top"/>
    </xf>
    <xf numFmtId="0" fontId="16" fillId="7" borderId="32" xfId="0" applyFont="1" applyFill="1" applyBorder="1" applyAlignment="1">
      <alignment horizontal="center" vertical="top"/>
    </xf>
    <xf numFmtId="0" fontId="16" fillId="7" borderId="11" xfId="0" applyFont="1" applyFill="1" applyBorder="1" applyAlignment="1">
      <alignment horizontal="center" vertical="top"/>
    </xf>
    <xf numFmtId="0" fontId="16" fillId="7" borderId="9" xfId="0" applyFont="1" applyFill="1" applyBorder="1" applyAlignment="1">
      <alignment horizontal="center" vertical="top"/>
    </xf>
    <xf numFmtId="0" fontId="16" fillId="7" borderId="26" xfId="0" applyFont="1" applyFill="1" applyBorder="1" applyAlignment="1">
      <alignment horizontal="center" vertical="top"/>
    </xf>
    <xf numFmtId="0" fontId="16" fillId="7" borderId="27" xfId="0" applyFont="1" applyFill="1" applyBorder="1" applyAlignment="1">
      <alignment horizontal="center" vertical="top"/>
    </xf>
    <xf numFmtId="0" fontId="16" fillId="7" borderId="18" xfId="0" applyFont="1" applyFill="1" applyBorder="1" applyAlignment="1">
      <alignment horizontal="center" vertical="top"/>
    </xf>
    <xf numFmtId="0" fontId="17" fillId="7" borderId="11" xfId="0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191" fontId="16" fillId="48" borderId="95" xfId="0" applyNumberFormat="1" applyFont="1" applyFill="1" applyBorder="1" applyAlignment="1">
      <alignment horizontal="center" vertical="top"/>
    </xf>
    <xf numFmtId="191" fontId="16" fillId="48" borderId="96" xfId="0" applyNumberFormat="1" applyFont="1" applyFill="1" applyBorder="1" applyAlignment="1">
      <alignment horizontal="center" vertical="top"/>
    </xf>
    <xf numFmtId="0" fontId="26" fillId="7" borderId="11" xfId="0" applyFont="1" applyFill="1" applyBorder="1" applyAlignment="1">
      <alignment horizontal="center" vertical="center"/>
    </xf>
    <xf numFmtId="0" fontId="26" fillId="7" borderId="9" xfId="0" applyFont="1" applyFill="1" applyBorder="1" applyAlignment="1">
      <alignment horizontal="center" vertical="center"/>
    </xf>
    <xf numFmtId="191" fontId="16" fillId="0" borderId="11" xfId="0" applyNumberFormat="1" applyFont="1" applyBorder="1" applyAlignment="1">
      <alignment horizontal="center" vertical="top"/>
    </xf>
    <xf numFmtId="191" fontId="16" fillId="0" borderId="9" xfId="0" applyNumberFormat="1" applyFont="1" applyBorder="1" applyAlignment="1">
      <alignment horizontal="center" vertical="top"/>
    </xf>
    <xf numFmtId="191" fontId="16" fillId="46" borderId="26" xfId="0" applyNumberFormat="1" applyFont="1" applyFill="1" applyBorder="1" applyAlignment="1">
      <alignment horizontal="center" vertical="top"/>
    </xf>
    <xf numFmtId="191" fontId="16" fillId="46" borderId="18" xfId="0" applyNumberFormat="1" applyFont="1" applyFill="1" applyBorder="1" applyAlignment="1">
      <alignment horizontal="center" vertical="top"/>
    </xf>
    <xf numFmtId="191" fontId="16" fillId="0" borderId="93" xfId="0" applyNumberFormat="1" applyFont="1" applyBorder="1" applyAlignment="1">
      <alignment horizontal="center" vertical="top"/>
    </xf>
    <xf numFmtId="191" fontId="16" fillId="0" borderId="30" xfId="0" applyNumberFormat="1" applyFont="1" applyBorder="1" applyAlignment="1">
      <alignment horizontal="center" vertical="top"/>
    </xf>
    <xf numFmtId="191" fontId="16" fillId="0" borderId="31" xfId="0" applyNumberFormat="1" applyFont="1" applyBorder="1" applyAlignment="1">
      <alignment horizontal="center" vertical="top"/>
    </xf>
    <xf numFmtId="0" fontId="21" fillId="0" borderId="0" xfId="0" applyFont="1" applyAlignment="1">
      <alignment horizontal="center" vertical="center"/>
    </xf>
    <xf numFmtId="191" fontId="16" fillId="0" borderId="26" xfId="0" applyNumberFormat="1" applyFont="1" applyBorder="1" applyAlignment="1">
      <alignment horizontal="center" vertical="top"/>
    </xf>
    <xf numFmtId="191" fontId="16" fillId="0" borderId="18" xfId="0" applyNumberFormat="1" applyFont="1" applyBorder="1" applyAlignment="1">
      <alignment horizontal="center" vertical="top"/>
    </xf>
    <xf numFmtId="205" fontId="79" fillId="0" borderId="1" xfId="0" applyNumberFormat="1" applyFont="1" applyBorder="1" applyAlignment="1">
      <alignment horizontal="center" vertical="center"/>
    </xf>
    <xf numFmtId="205" fontId="79" fillId="0" borderId="10" xfId="0" applyNumberFormat="1" applyFont="1" applyBorder="1" applyAlignment="1">
      <alignment horizontal="center" vertical="center"/>
    </xf>
    <xf numFmtId="39" fontId="79" fillId="0" borderId="26" xfId="89" applyFont="1" applyBorder="1" applyAlignment="1">
      <alignment horizontal="center" vertical="center" wrapText="1"/>
    </xf>
    <xf numFmtId="39" fontId="79" fillId="0" borderId="27" xfId="89" applyFont="1" applyBorder="1" applyAlignment="1">
      <alignment horizontal="center" vertical="center" wrapText="1"/>
    </xf>
    <xf numFmtId="39" fontId="79" fillId="0" borderId="18" xfId="89" applyFont="1" applyBorder="1" applyAlignment="1">
      <alignment horizontal="center" vertical="center" wrapText="1"/>
    </xf>
    <xf numFmtId="39" fontId="79" fillId="0" borderId="26" xfId="89" applyFont="1" applyBorder="1" applyAlignment="1">
      <alignment horizontal="center"/>
    </xf>
    <xf numFmtId="39" fontId="79" fillId="0" borderId="27" xfId="89" applyFont="1" applyBorder="1" applyAlignment="1">
      <alignment horizontal="center"/>
    </xf>
    <xf numFmtId="39" fontId="79" fillId="0" borderId="18" xfId="89" applyFont="1" applyBorder="1" applyAlignment="1">
      <alignment horizontal="center"/>
    </xf>
    <xf numFmtId="39" fontId="79" fillId="0" borderId="104" xfId="89" applyFont="1" applyBorder="1" applyAlignment="1">
      <alignment horizontal="center"/>
    </xf>
    <xf numFmtId="39" fontId="79" fillId="0" borderId="105" xfId="89" applyFont="1" applyBorder="1" applyAlignment="1">
      <alignment horizontal="center"/>
    </xf>
    <xf numFmtId="39" fontId="79" fillId="0" borderId="106" xfId="89" applyFont="1" applyBorder="1" applyAlignment="1">
      <alignment horizontal="center"/>
    </xf>
    <xf numFmtId="39" fontId="79" fillId="0" borderId="26" xfId="89" applyFont="1" applyBorder="1" applyAlignment="1">
      <alignment horizontal="center" wrapText="1"/>
    </xf>
    <xf numFmtId="39" fontId="79" fillId="0" borderId="27" xfId="89" applyFont="1" applyBorder="1" applyAlignment="1">
      <alignment horizontal="center" wrapText="1"/>
    </xf>
    <xf numFmtId="0" fontId="79" fillId="0" borderId="26" xfId="0" applyFont="1" applyBorder="1" applyAlignment="1">
      <alignment horizontal="center" wrapText="1"/>
    </xf>
    <xf numFmtId="0" fontId="79" fillId="0" borderId="27" xfId="0" applyFont="1" applyBorder="1" applyAlignment="1">
      <alignment horizontal="center" wrapText="1"/>
    </xf>
    <xf numFmtId="0" fontId="79" fillId="0" borderId="18" xfId="0" applyFont="1" applyBorder="1" applyAlignment="1">
      <alignment horizontal="center" wrapText="1"/>
    </xf>
    <xf numFmtId="0" fontId="79" fillId="0" borderId="26" xfId="0" applyFont="1" applyBorder="1" applyAlignment="1">
      <alignment horizontal="center" vertical="center" wrapText="1"/>
    </xf>
    <xf numFmtId="0" fontId="79" fillId="0" borderId="18" xfId="0" applyFont="1" applyBorder="1" applyAlignment="1">
      <alignment horizontal="center" vertical="center" wrapText="1"/>
    </xf>
    <xf numFmtId="205" fontId="79" fillId="0" borderId="1" xfId="89" applyNumberFormat="1" applyFont="1" applyBorder="1" applyAlignment="1">
      <alignment horizontal="center" vertical="center"/>
    </xf>
    <xf numFmtId="205" fontId="79" fillId="0" borderId="10" xfId="89" applyNumberFormat="1" applyFont="1" applyBorder="1" applyAlignment="1">
      <alignment horizontal="center" vertical="center"/>
    </xf>
    <xf numFmtId="0" fontId="162" fillId="0" borderId="95" xfId="0" applyFont="1" applyBorder="1" applyAlignment="1">
      <alignment horizontal="left" vertical="center"/>
    </xf>
    <xf numFmtId="0" fontId="162" fillId="0" borderId="93" xfId="0" applyFont="1" applyBorder="1" applyAlignment="1">
      <alignment horizontal="left" vertical="center"/>
    </xf>
    <xf numFmtId="0" fontId="162" fillId="0" borderId="96" xfId="0" applyFont="1" applyBorder="1" applyAlignment="1">
      <alignment horizontal="left" vertical="center"/>
    </xf>
    <xf numFmtId="0" fontId="162" fillId="0" borderId="26" xfId="0" applyFont="1" applyBorder="1" applyAlignment="1">
      <alignment horizontal="left" vertical="center"/>
    </xf>
    <xf numFmtId="0" fontId="162" fillId="0" borderId="27" xfId="0" applyFont="1" applyBorder="1" applyAlignment="1">
      <alignment horizontal="left" vertical="center"/>
    </xf>
    <xf numFmtId="0" fontId="162" fillId="0" borderId="18" xfId="0" applyFont="1" applyBorder="1" applyAlignment="1">
      <alignment horizontal="left" vertical="center"/>
    </xf>
    <xf numFmtId="39" fontId="79" fillId="0" borderId="1" xfId="0" applyNumberFormat="1" applyFont="1" applyBorder="1" applyAlignment="1">
      <alignment horizontal="center" vertical="center"/>
    </xf>
    <xf numFmtId="39" fontId="79" fillId="0" borderId="10" xfId="0" applyNumberFormat="1" applyFont="1" applyBorder="1" applyAlignment="1">
      <alignment horizontal="center" vertical="center"/>
    </xf>
    <xf numFmtId="39" fontId="162" fillId="0" borderId="95" xfId="89" quotePrefix="1" applyFont="1" applyBorder="1" applyAlignment="1">
      <alignment horizontal="center" vertical="center" wrapText="1"/>
    </xf>
    <xf numFmtId="39" fontId="162" fillId="0" borderId="93" xfId="89" quotePrefix="1" applyFont="1" applyBorder="1" applyAlignment="1">
      <alignment horizontal="center" vertical="center" wrapText="1"/>
    </xf>
    <xf numFmtId="39" fontId="162" fillId="0" borderId="96" xfId="89" quotePrefix="1" applyFont="1" applyBorder="1" applyAlignment="1">
      <alignment horizontal="center" vertical="center" wrapText="1"/>
    </xf>
    <xf numFmtId="39" fontId="162" fillId="0" borderId="26" xfId="89" quotePrefix="1" applyFont="1" applyBorder="1" applyAlignment="1">
      <alignment horizontal="center" vertical="center" wrapText="1"/>
    </xf>
    <xf numFmtId="39" fontId="162" fillId="0" borderId="27" xfId="89" quotePrefix="1" applyFont="1" applyBorder="1" applyAlignment="1">
      <alignment horizontal="center" vertical="center" wrapText="1"/>
    </xf>
    <xf numFmtId="39" fontId="162" fillId="0" borderId="18" xfId="89" quotePrefix="1" applyFont="1" applyBorder="1" applyAlignment="1">
      <alignment horizontal="center" vertical="center" wrapText="1"/>
    </xf>
    <xf numFmtId="37" fontId="164" fillId="44" borderId="94" xfId="89" applyNumberFormat="1" applyFont="1" applyFill="1" applyBorder="1" applyAlignment="1">
      <alignment horizontal="center" wrapText="1"/>
    </xf>
    <xf numFmtId="37" fontId="164" fillId="44" borderId="5" xfId="89" applyNumberFormat="1" applyFont="1" applyFill="1" applyBorder="1" applyAlignment="1">
      <alignment horizontal="center" wrapText="1"/>
    </xf>
    <xf numFmtId="37" fontId="164" fillId="44" borderId="8" xfId="89" applyNumberFormat="1" applyFont="1" applyFill="1" applyBorder="1" applyAlignment="1">
      <alignment horizontal="center" wrapText="1"/>
    </xf>
    <xf numFmtId="1" fontId="52" fillId="0" borderId="27" xfId="89" quotePrefix="1" applyNumberFormat="1" applyFont="1" applyBorder="1" applyAlignment="1">
      <alignment horizontal="center"/>
    </xf>
    <xf numFmtId="1" fontId="79" fillId="0" borderId="1" xfId="89" applyNumberFormat="1" applyFont="1" applyBorder="1" applyAlignment="1" applyProtection="1">
      <alignment horizontal="center"/>
      <protection hidden="1"/>
    </xf>
    <xf numFmtId="1" fontId="79" fillId="0" borderId="10" xfId="89" applyNumberFormat="1" applyFont="1" applyBorder="1" applyAlignment="1" applyProtection="1">
      <alignment horizontal="center"/>
      <protection hidden="1"/>
    </xf>
    <xf numFmtId="37" fontId="144" fillId="44" borderId="94" xfId="89" applyNumberFormat="1" applyFont="1" applyFill="1" applyBorder="1" applyAlignment="1">
      <alignment horizontal="center" wrapText="1"/>
    </xf>
    <xf numFmtId="37" fontId="144" fillId="44" borderId="5" xfId="89" applyNumberFormat="1" applyFont="1" applyFill="1" applyBorder="1" applyAlignment="1">
      <alignment horizontal="center" wrapText="1"/>
    </xf>
    <xf numFmtId="37" fontId="144" fillId="44" borderId="8" xfId="89" applyNumberFormat="1" applyFont="1" applyFill="1" applyBorder="1" applyAlignment="1">
      <alignment horizontal="center" wrapText="1"/>
    </xf>
    <xf numFmtId="0" fontId="109" fillId="0" borderId="0" xfId="97" applyFont="1" applyAlignment="1">
      <alignment horizontal="right"/>
    </xf>
    <xf numFmtId="0" fontId="106" fillId="0" borderId="1" xfId="97" applyFont="1" applyBorder="1" applyAlignment="1">
      <alignment horizontal="left"/>
    </xf>
    <xf numFmtId="0" fontId="106" fillId="0" borderId="3" xfId="97" applyFont="1" applyBorder="1" applyAlignment="1">
      <alignment horizontal="left"/>
    </xf>
    <xf numFmtId="0" fontId="109" fillId="0" borderId="30" xfId="97" applyFont="1" applyBorder="1" applyAlignment="1">
      <alignment horizontal="right"/>
    </xf>
    <xf numFmtId="0" fontId="109" fillId="0" borderId="32" xfId="97" applyFont="1" applyBorder="1" applyAlignment="1">
      <alignment horizontal="right"/>
    </xf>
    <xf numFmtId="0" fontId="106" fillId="16" borderId="0" xfId="97" applyFont="1" applyFill="1" applyAlignment="1">
      <alignment horizontal="left"/>
    </xf>
    <xf numFmtId="0" fontId="106" fillId="0" borderId="0" xfId="97" applyFont="1" applyAlignment="1">
      <alignment horizontal="left"/>
    </xf>
    <xf numFmtId="0" fontId="104" fillId="0" borderId="31" xfId="97" applyFont="1" applyBorder="1" applyAlignment="1">
      <alignment horizontal="center"/>
    </xf>
    <xf numFmtId="0" fontId="104" fillId="0" borderId="18" xfId="97" applyFont="1" applyBorder="1" applyAlignment="1">
      <alignment horizontal="center"/>
    </xf>
    <xf numFmtId="41" fontId="106" fillId="0" borderId="0" xfId="97" applyNumberFormat="1" applyFont="1" applyAlignment="1">
      <alignment horizontal="left"/>
    </xf>
    <xf numFmtId="0" fontId="104" fillId="0" borderId="4" xfId="97" applyFont="1" applyBorder="1" applyAlignment="1">
      <alignment horizontal="center"/>
    </xf>
    <xf numFmtId="187" fontId="104" fillId="0" borderId="7" xfId="77" applyFont="1" applyBorder="1" applyAlignment="1">
      <alignment horizontal="center"/>
    </xf>
    <xf numFmtId="187" fontId="104" fillId="0" borderId="8" xfId="77" applyFont="1" applyBorder="1" applyAlignment="1">
      <alignment horizontal="center"/>
    </xf>
    <xf numFmtId="0" fontId="104" fillId="0" borderId="1" xfId="97" applyFont="1" applyBorder="1" applyAlignment="1">
      <alignment horizontal="left"/>
    </xf>
    <xf numFmtId="0" fontId="104" fillId="0" borderId="3" xfId="97" applyFont="1" applyBorder="1" applyAlignment="1">
      <alignment horizontal="left"/>
    </xf>
    <xf numFmtId="0" fontId="104" fillId="0" borderId="10" xfId="97" applyFont="1" applyBorder="1" applyAlignment="1">
      <alignment horizontal="left"/>
    </xf>
    <xf numFmtId="0" fontId="109" fillId="0" borderId="1" xfId="97" applyFont="1" applyBorder="1" applyAlignment="1">
      <alignment horizontal="right"/>
    </xf>
    <xf numFmtId="0" fontId="109" fillId="0" borderId="3" xfId="97" applyFont="1" applyBorder="1" applyAlignment="1">
      <alignment horizontal="right"/>
    </xf>
    <xf numFmtId="0" fontId="109" fillId="0" borderId="10" xfId="97" applyFont="1" applyBorder="1" applyAlignment="1">
      <alignment horizontal="right"/>
    </xf>
    <xf numFmtId="0" fontId="104" fillId="0" borderId="54" xfId="97" applyFont="1" applyBorder="1" applyAlignment="1">
      <alignment horizontal="center" wrapText="1"/>
    </xf>
    <xf numFmtId="0" fontId="104" fillId="0" borderId="21" xfId="97" applyFont="1" applyBorder="1" applyAlignment="1">
      <alignment horizontal="center" wrapText="1"/>
    </xf>
    <xf numFmtId="0" fontId="104" fillId="0" borderId="20" xfId="97" applyFont="1" applyBorder="1" applyAlignment="1">
      <alignment horizontal="center" wrapText="1"/>
    </xf>
    <xf numFmtId="0" fontId="104" fillId="0" borderId="1" xfId="97" applyFont="1" applyBorder="1" applyAlignment="1">
      <alignment horizontal="right"/>
    </xf>
    <xf numFmtId="0" fontId="104" fillId="0" borderId="3" xfId="97" applyFont="1" applyBorder="1" applyAlignment="1">
      <alignment horizontal="right"/>
    </xf>
    <xf numFmtId="0" fontId="104" fillId="0" borderId="10" xfId="97" applyFont="1" applyBorder="1" applyAlignment="1">
      <alignment horizontal="right"/>
    </xf>
    <xf numFmtId="0" fontId="12" fillId="3" borderId="1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10" xfId="0" applyFont="1" applyFill="1" applyBorder="1" applyAlignment="1">
      <alignment horizontal="center"/>
    </xf>
    <xf numFmtId="0" fontId="20" fillId="3" borderId="30" xfId="0" applyFont="1" applyFill="1" applyBorder="1" applyAlignment="1">
      <alignment horizontal="center"/>
    </xf>
    <xf numFmtId="0" fontId="26" fillId="0" borderId="31" xfId="0" applyFont="1" applyBorder="1" applyAlignment="1">
      <alignment horizontal="center"/>
    </xf>
    <xf numFmtId="0" fontId="20" fillId="3" borderId="26" xfId="0" applyFont="1" applyFill="1" applyBorder="1" applyAlignment="1">
      <alignment horizontal="center"/>
    </xf>
    <xf numFmtId="0" fontId="26" fillId="0" borderId="18" xfId="0" applyFont="1" applyBorder="1" applyAlignment="1">
      <alignment horizontal="center"/>
    </xf>
    <xf numFmtId="0" fontId="20" fillId="3" borderId="3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2" fillId="3" borderId="30" xfId="0" applyFont="1" applyFill="1" applyBorder="1" applyAlignment="1">
      <alignment horizontal="center"/>
    </xf>
    <xf numFmtId="0" fontId="12" fillId="3" borderId="31" xfId="0" applyFont="1" applyFill="1" applyBorder="1" applyAlignment="1">
      <alignment horizontal="center"/>
    </xf>
    <xf numFmtId="0" fontId="20" fillId="3" borderId="8" xfId="0" applyFont="1" applyFill="1" applyBorder="1" applyAlignment="1">
      <alignment horizontal="center" vertical="center"/>
    </xf>
    <xf numFmtId="0" fontId="20" fillId="3" borderId="32" xfId="0" applyFont="1" applyFill="1" applyBorder="1" applyAlignment="1">
      <alignment horizontal="center" vertical="center"/>
    </xf>
    <xf numFmtId="0" fontId="20" fillId="3" borderId="31" xfId="0" applyFont="1" applyFill="1" applyBorder="1" applyAlignment="1">
      <alignment horizontal="center" vertical="center"/>
    </xf>
    <xf numFmtId="0" fontId="20" fillId="3" borderId="26" xfId="0" applyFont="1" applyFill="1" applyBorder="1" applyAlignment="1">
      <alignment horizontal="center" vertical="center"/>
    </xf>
    <xf numFmtId="0" fontId="20" fillId="3" borderId="27" xfId="0" applyFont="1" applyFill="1" applyBorder="1" applyAlignment="1">
      <alignment horizontal="center" vertical="center"/>
    </xf>
    <xf numFmtId="0" fontId="20" fillId="3" borderId="18" xfId="0" applyFont="1" applyFill="1" applyBorder="1" applyAlignment="1">
      <alignment horizontal="center" vertical="center"/>
    </xf>
    <xf numFmtId="0" fontId="20" fillId="3" borderId="18" xfId="0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27" fillId="3" borderId="26" xfId="0" applyFont="1" applyFill="1" applyBorder="1" applyAlignment="1">
      <alignment horizontal="center"/>
    </xf>
    <xf numFmtId="0" fontId="27" fillId="3" borderId="18" xfId="0" applyFont="1" applyFill="1" applyBorder="1" applyAlignment="1">
      <alignment horizontal="center"/>
    </xf>
    <xf numFmtId="0" fontId="26" fillId="0" borderId="0" xfId="0" applyFont="1" applyAlignment="1">
      <alignment horizontal="center" vertical="top"/>
    </xf>
    <xf numFmtId="0" fontId="26" fillId="0" borderId="9" xfId="0" applyFont="1" applyBorder="1" applyAlignment="1">
      <alignment horizontal="center" vertical="top"/>
    </xf>
    <xf numFmtId="0" fontId="23" fillId="0" borderId="27" xfId="0" applyFont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0" fontId="26" fillId="0" borderId="27" xfId="0" applyFont="1" applyBorder="1" applyAlignment="1">
      <alignment horizontal="center" vertical="top"/>
    </xf>
    <xf numFmtId="0" fontId="23" fillId="0" borderId="27" xfId="0" applyFont="1" applyBorder="1" applyAlignment="1">
      <alignment horizontal="center" vertical="top"/>
    </xf>
    <xf numFmtId="0" fontId="26" fillId="0" borderId="32" xfId="0" applyFont="1" applyBorder="1" applyAlignment="1">
      <alignment horizontal="center" vertical="top"/>
    </xf>
    <xf numFmtId="0" fontId="43" fillId="0" borderId="0" xfId="0" applyFont="1" applyAlignment="1">
      <alignment horizontal="center"/>
    </xf>
    <xf numFmtId="0" fontId="134" fillId="0" borderId="0" xfId="0" applyFont="1" applyAlignment="1" applyProtection="1">
      <alignment horizontal="center"/>
      <protection hidden="1"/>
    </xf>
  </cellXfs>
  <cellStyles count="280">
    <cellStyle name=",;F'KOIT[[WAAHK" xfId="1" xr:uid="{00000000-0005-0000-0000-000000000000}"/>
    <cellStyle name="?? [0.00]_????" xfId="2" xr:uid="{00000000-0005-0000-0000-000001000000}"/>
    <cellStyle name="?? [0]_PERSONAL" xfId="3" xr:uid="{00000000-0005-0000-0000-000002000000}"/>
    <cellStyle name="???? [0.00]_????" xfId="4" xr:uid="{00000000-0005-0000-0000-000003000000}"/>
    <cellStyle name="??????[0]_PERSONAL" xfId="5" xr:uid="{00000000-0005-0000-0000-000004000000}"/>
    <cellStyle name="??????PERSONAL" xfId="6" xr:uid="{00000000-0005-0000-0000-000005000000}"/>
    <cellStyle name="?????[0]_PERSONAL" xfId="7" xr:uid="{00000000-0005-0000-0000-000006000000}"/>
    <cellStyle name="?????PERSONAL" xfId="8" xr:uid="{00000000-0005-0000-0000-000007000000}"/>
    <cellStyle name="????_????" xfId="9" xr:uid="{00000000-0005-0000-0000-000008000000}"/>
    <cellStyle name="???[0]_PERSONAL" xfId="10" xr:uid="{00000000-0005-0000-0000-000009000000}"/>
    <cellStyle name="???_PERSONAL" xfId="11" xr:uid="{00000000-0005-0000-0000-00000A000000}"/>
    <cellStyle name="??_??" xfId="12" xr:uid="{00000000-0005-0000-0000-00000B000000}"/>
    <cellStyle name="?@??laroux" xfId="13" xr:uid="{00000000-0005-0000-0000-00000C000000}"/>
    <cellStyle name="=C:\WINDOWS\SYSTEM32\COMMAND.COM" xfId="14" xr:uid="{00000000-0005-0000-0000-00000D000000}"/>
    <cellStyle name="abc" xfId="15" xr:uid="{00000000-0005-0000-0000-00000E000000}"/>
    <cellStyle name="Accent1" xfId="99" xr:uid="{00000000-0005-0000-0000-00000F000000}"/>
    <cellStyle name="Accent1 - 20%" xfId="100" xr:uid="{00000000-0005-0000-0000-000010000000}"/>
    <cellStyle name="Accent1 - 40%" xfId="101" xr:uid="{00000000-0005-0000-0000-000011000000}"/>
    <cellStyle name="Accent1 - 60%" xfId="102" xr:uid="{00000000-0005-0000-0000-000012000000}"/>
    <cellStyle name="Accent2" xfId="103" xr:uid="{00000000-0005-0000-0000-000013000000}"/>
    <cellStyle name="Accent2 - 20%" xfId="104" xr:uid="{00000000-0005-0000-0000-000014000000}"/>
    <cellStyle name="Accent2 - 40%" xfId="105" xr:uid="{00000000-0005-0000-0000-000015000000}"/>
    <cellStyle name="Accent2 - 60%" xfId="106" xr:uid="{00000000-0005-0000-0000-000016000000}"/>
    <cellStyle name="Accent3" xfId="107" xr:uid="{00000000-0005-0000-0000-000017000000}"/>
    <cellStyle name="Accent3 - 20%" xfId="108" xr:uid="{00000000-0005-0000-0000-000018000000}"/>
    <cellStyle name="Accent3 - 40%" xfId="109" xr:uid="{00000000-0005-0000-0000-000019000000}"/>
    <cellStyle name="Accent3 - 60%" xfId="110" xr:uid="{00000000-0005-0000-0000-00001A000000}"/>
    <cellStyle name="Accent4" xfId="111" xr:uid="{00000000-0005-0000-0000-00001B000000}"/>
    <cellStyle name="Accent4 - 20%" xfId="112" xr:uid="{00000000-0005-0000-0000-00001C000000}"/>
    <cellStyle name="Accent4 - 40%" xfId="113" xr:uid="{00000000-0005-0000-0000-00001D000000}"/>
    <cellStyle name="Accent4 - 60%" xfId="114" xr:uid="{00000000-0005-0000-0000-00001E000000}"/>
    <cellStyle name="Accent5" xfId="115" xr:uid="{00000000-0005-0000-0000-00001F000000}"/>
    <cellStyle name="Accent5 - 20%" xfId="116" xr:uid="{00000000-0005-0000-0000-000020000000}"/>
    <cellStyle name="Accent5 - 40%" xfId="117" xr:uid="{00000000-0005-0000-0000-000021000000}"/>
    <cellStyle name="Accent5 - 60%" xfId="118" xr:uid="{00000000-0005-0000-0000-000022000000}"/>
    <cellStyle name="Accent6" xfId="119" xr:uid="{00000000-0005-0000-0000-000023000000}"/>
    <cellStyle name="Accent6 - 20%" xfId="120" xr:uid="{00000000-0005-0000-0000-000024000000}"/>
    <cellStyle name="Accent6 - 40%" xfId="121" xr:uid="{00000000-0005-0000-0000-000025000000}"/>
    <cellStyle name="Accent6 - 60%" xfId="122" xr:uid="{00000000-0005-0000-0000-000026000000}"/>
    <cellStyle name="Bad" xfId="123" xr:uid="{00000000-0005-0000-0000-000027000000}"/>
    <cellStyle name="Calc Currency (0)" xfId="16" xr:uid="{00000000-0005-0000-0000-000028000000}"/>
    <cellStyle name="Calc Currency (2)" xfId="17" xr:uid="{00000000-0005-0000-0000-000029000000}"/>
    <cellStyle name="Calc Percent (0)" xfId="18" xr:uid="{00000000-0005-0000-0000-00002A000000}"/>
    <cellStyle name="Calc Percent (1)" xfId="19" xr:uid="{00000000-0005-0000-0000-00002B000000}"/>
    <cellStyle name="Calc Percent (2)" xfId="20" xr:uid="{00000000-0005-0000-0000-00002C000000}"/>
    <cellStyle name="Calc Units (0)" xfId="21" xr:uid="{00000000-0005-0000-0000-00002D000000}"/>
    <cellStyle name="Calc Units (1)" xfId="22" xr:uid="{00000000-0005-0000-0000-00002E000000}"/>
    <cellStyle name="Calc Units (2)" xfId="23" xr:uid="{00000000-0005-0000-0000-00002F000000}"/>
    <cellStyle name="Calculation" xfId="124" xr:uid="{00000000-0005-0000-0000-000030000000}"/>
    <cellStyle name="Check Cell" xfId="125" xr:uid="{00000000-0005-0000-0000-000031000000}"/>
    <cellStyle name="Comma [00]" xfId="24" xr:uid="{00000000-0005-0000-0000-000033000000}"/>
    <cellStyle name="Comma 2" xfId="25" xr:uid="{00000000-0005-0000-0000-000034000000}"/>
    <cellStyle name="Comma 2 2" xfId="126" xr:uid="{00000000-0005-0000-0000-000035000000}"/>
    <cellStyle name="Comma 2 3" xfId="127" xr:uid="{00000000-0005-0000-0000-000036000000}"/>
    <cellStyle name="Comma 3" xfId="26" xr:uid="{00000000-0005-0000-0000-000037000000}"/>
    <cellStyle name="Comma 3 2" xfId="128" xr:uid="{00000000-0005-0000-0000-000038000000}"/>
    <cellStyle name="Comma 4" xfId="27" xr:uid="{00000000-0005-0000-0000-000039000000}"/>
    <cellStyle name="Comma 5" xfId="28" xr:uid="{00000000-0005-0000-0000-00003A000000}"/>
    <cellStyle name="Comma 6" xfId="29" xr:uid="{00000000-0005-0000-0000-00003B000000}"/>
    <cellStyle name="Comma 7" xfId="30" xr:uid="{00000000-0005-0000-0000-00003C000000}"/>
    <cellStyle name="Comma 8" xfId="31" xr:uid="{00000000-0005-0000-0000-00003D000000}"/>
    <cellStyle name="Comma 9" xfId="93" xr:uid="{00000000-0005-0000-0000-00003E000000}"/>
    <cellStyle name="comma zerodec" xfId="32" xr:uid="{00000000-0005-0000-0000-00003F000000}"/>
    <cellStyle name="company_title" xfId="33" xr:uid="{00000000-0005-0000-0000-000040000000}"/>
    <cellStyle name="Currency [00]" xfId="34" xr:uid="{00000000-0005-0000-0000-000041000000}"/>
    <cellStyle name="Currency1" xfId="35" xr:uid="{00000000-0005-0000-0000-000042000000}"/>
    <cellStyle name="Date Short" xfId="36" xr:uid="{00000000-0005-0000-0000-000043000000}"/>
    <cellStyle name="date_format" xfId="37" xr:uid="{00000000-0005-0000-0000-000044000000}"/>
    <cellStyle name="Dollar (zero dec)" xfId="38" xr:uid="{00000000-0005-0000-0000-000045000000}"/>
    <cellStyle name="Emphasis 1" xfId="129" xr:uid="{00000000-0005-0000-0000-000046000000}"/>
    <cellStyle name="Emphasis 2" xfId="130" xr:uid="{00000000-0005-0000-0000-000047000000}"/>
    <cellStyle name="Emphasis 3" xfId="131" xr:uid="{00000000-0005-0000-0000-000048000000}"/>
    <cellStyle name="Enter Currency (0)" xfId="39" xr:uid="{00000000-0005-0000-0000-000049000000}"/>
    <cellStyle name="Enter Currency (2)" xfId="40" xr:uid="{00000000-0005-0000-0000-00004A000000}"/>
    <cellStyle name="Enter Units (0)" xfId="41" xr:uid="{00000000-0005-0000-0000-00004B000000}"/>
    <cellStyle name="Enter Units (1)" xfId="42" xr:uid="{00000000-0005-0000-0000-00004C000000}"/>
    <cellStyle name="Enter Units (2)" xfId="43" xr:uid="{00000000-0005-0000-0000-00004D000000}"/>
    <cellStyle name="Good" xfId="132" xr:uid="{00000000-0005-0000-0000-00004E000000}"/>
    <cellStyle name="Grey" xfId="44" xr:uid="{00000000-0005-0000-0000-00004F000000}"/>
    <cellStyle name="Header1" xfId="45" xr:uid="{00000000-0005-0000-0000-000050000000}"/>
    <cellStyle name="Header2" xfId="46" xr:uid="{00000000-0005-0000-0000-000051000000}"/>
    <cellStyle name="Heading 1" xfId="133" xr:uid="{00000000-0005-0000-0000-000052000000}"/>
    <cellStyle name="Heading 2" xfId="134" xr:uid="{00000000-0005-0000-0000-000053000000}"/>
    <cellStyle name="Heading 3" xfId="135" xr:uid="{00000000-0005-0000-0000-000054000000}"/>
    <cellStyle name="Heading 4" xfId="136" xr:uid="{00000000-0005-0000-0000-000055000000}"/>
    <cellStyle name="Hyperlink 2" xfId="137" xr:uid="{00000000-0005-0000-0000-000056000000}"/>
    <cellStyle name="Hyperlink 3" xfId="138" xr:uid="{00000000-0005-0000-0000-000057000000}"/>
    <cellStyle name="Input" xfId="139" xr:uid="{00000000-0005-0000-0000-000058000000}"/>
    <cellStyle name="Input [yellow]" xfId="47" xr:uid="{00000000-0005-0000-0000-000059000000}"/>
    <cellStyle name="Link Currency (0)" xfId="48" xr:uid="{00000000-0005-0000-0000-00005A000000}"/>
    <cellStyle name="Link Currency (2)" xfId="49" xr:uid="{00000000-0005-0000-0000-00005B000000}"/>
    <cellStyle name="Link Units (0)" xfId="50" xr:uid="{00000000-0005-0000-0000-00005C000000}"/>
    <cellStyle name="Link Units (1)" xfId="51" xr:uid="{00000000-0005-0000-0000-00005D000000}"/>
    <cellStyle name="Link Units (2)" xfId="52" xr:uid="{00000000-0005-0000-0000-00005E000000}"/>
    <cellStyle name="Linked Cell" xfId="140" xr:uid="{00000000-0005-0000-0000-00005F000000}"/>
    <cellStyle name="Neutral" xfId="141" xr:uid="{00000000-0005-0000-0000-000060000000}"/>
    <cellStyle name="no dec" xfId="53" xr:uid="{00000000-0005-0000-0000-000061000000}"/>
    <cellStyle name="Normal - Style1" xfId="54" xr:uid="{00000000-0005-0000-0000-000063000000}"/>
    <cellStyle name="Normal 2" xfId="55" xr:uid="{00000000-0005-0000-0000-000064000000}"/>
    <cellStyle name="Normal 2 2" xfId="142" xr:uid="{00000000-0005-0000-0000-000065000000}"/>
    <cellStyle name="Normal 2 3" xfId="143" xr:uid="{00000000-0005-0000-0000-000066000000}"/>
    <cellStyle name="Normal 3" xfId="92" xr:uid="{00000000-0005-0000-0000-000067000000}"/>
    <cellStyle name="Normal 3 2" xfId="144" xr:uid="{00000000-0005-0000-0000-000068000000}"/>
    <cellStyle name="Normal 4" xfId="56" xr:uid="{00000000-0005-0000-0000-000069000000}"/>
    <cellStyle name="Normal 5" xfId="145" xr:uid="{00000000-0005-0000-0000-00006A000000}"/>
    <cellStyle name="Normal_47อบ.23017" xfId="57" xr:uid="{00000000-0005-0000-0000-00006B000000}"/>
    <cellStyle name="Nor聭al_ภาคกลาง" xfId="58" xr:uid="{00000000-0005-0000-0000-00006C000000}"/>
    <cellStyle name="Note" xfId="146" xr:uid="{00000000-0005-0000-0000-00006D000000}"/>
    <cellStyle name="Note 2" xfId="147" xr:uid="{00000000-0005-0000-0000-00006E000000}"/>
    <cellStyle name="Output" xfId="148" xr:uid="{00000000-0005-0000-0000-00006F000000}"/>
    <cellStyle name="ParaBirimi [0]_RESULTS" xfId="59" xr:uid="{00000000-0005-0000-0000-000070000000}"/>
    <cellStyle name="ParaBirimi_RESULTS" xfId="60" xr:uid="{00000000-0005-0000-0000-000071000000}"/>
    <cellStyle name="Percent [0]" xfId="61" xr:uid="{00000000-0005-0000-0000-000073000000}"/>
    <cellStyle name="Percent [00]" xfId="62" xr:uid="{00000000-0005-0000-0000-000074000000}"/>
    <cellStyle name="Percent [2]" xfId="63" xr:uid="{00000000-0005-0000-0000-000075000000}"/>
    <cellStyle name="Percent 2" xfId="149" xr:uid="{00000000-0005-0000-0000-000076000000}"/>
    <cellStyle name="Percent 2 2" xfId="150" xr:uid="{00000000-0005-0000-0000-000077000000}"/>
    <cellStyle name="Percent 3" xfId="151" xr:uid="{00000000-0005-0000-0000-000078000000}"/>
    <cellStyle name="Percent 4" xfId="152" xr:uid="{00000000-0005-0000-0000-000079000000}"/>
    <cellStyle name="PrePop Currency (0)" xfId="64" xr:uid="{00000000-0005-0000-0000-00007A000000}"/>
    <cellStyle name="PrePop Currency (2)" xfId="65" xr:uid="{00000000-0005-0000-0000-00007B000000}"/>
    <cellStyle name="PrePop Units (0)" xfId="66" xr:uid="{00000000-0005-0000-0000-00007C000000}"/>
    <cellStyle name="PrePop Units (1)" xfId="67" xr:uid="{00000000-0005-0000-0000-00007D000000}"/>
    <cellStyle name="PrePop Units (2)" xfId="68" xr:uid="{00000000-0005-0000-0000-00007E000000}"/>
    <cellStyle name="Quantity" xfId="69" xr:uid="{00000000-0005-0000-0000-00007F000000}"/>
    <cellStyle name="report_title" xfId="70" xr:uid="{00000000-0005-0000-0000-000080000000}"/>
    <cellStyle name="Sheet Title" xfId="153" xr:uid="{00000000-0005-0000-0000-000081000000}"/>
    <cellStyle name="Text Indent A" xfId="71" xr:uid="{00000000-0005-0000-0000-000082000000}"/>
    <cellStyle name="Text Indent B" xfId="72" xr:uid="{00000000-0005-0000-0000-000083000000}"/>
    <cellStyle name="Text Indent C" xfId="73" xr:uid="{00000000-0005-0000-0000-000084000000}"/>
    <cellStyle name="Total" xfId="74" xr:uid="{00000000-0005-0000-0000-000085000000}"/>
    <cellStyle name="Virg? [0]_RESULTS" xfId="75" xr:uid="{00000000-0005-0000-0000-000086000000}"/>
    <cellStyle name="Virg?_RESULTS" xfId="76" xr:uid="{00000000-0005-0000-0000-000087000000}"/>
    <cellStyle name="Warning Text" xfId="154" xr:uid="{00000000-0005-0000-0000-000088000000}"/>
    <cellStyle name="เครื่องหมายจุลภาค 10" xfId="155" xr:uid="{00000000-0005-0000-0000-000089000000}"/>
    <cellStyle name="เครื่องหมายจุลภาค 11" xfId="156" xr:uid="{00000000-0005-0000-0000-00008A000000}"/>
    <cellStyle name="เครื่องหมายจุลภาค 11 2" xfId="157" xr:uid="{00000000-0005-0000-0000-00008B000000}"/>
    <cellStyle name="เครื่องหมายจุลภาค 11 2 2" xfId="158" xr:uid="{00000000-0005-0000-0000-00008C000000}"/>
    <cellStyle name="เครื่องหมายจุลภาค 11 3" xfId="159" xr:uid="{00000000-0005-0000-0000-00008D000000}"/>
    <cellStyle name="เครื่องหมายจุลภาค 11 4" xfId="160" xr:uid="{00000000-0005-0000-0000-00008E000000}"/>
    <cellStyle name="เครื่องหมายจุลภาค 12" xfId="161" xr:uid="{00000000-0005-0000-0000-00008F000000}"/>
    <cellStyle name="เครื่องหมายจุลภาค 13" xfId="162" xr:uid="{00000000-0005-0000-0000-000090000000}"/>
    <cellStyle name="เครื่องหมายจุลภาค 13 2" xfId="163" xr:uid="{00000000-0005-0000-0000-000091000000}"/>
    <cellStyle name="เครื่องหมายจุลภาค 14" xfId="164" xr:uid="{00000000-0005-0000-0000-000092000000}"/>
    <cellStyle name="เครื่องหมายจุลภาค 15" xfId="165" xr:uid="{00000000-0005-0000-0000-000093000000}"/>
    <cellStyle name="เครื่องหมายจุลภาค 15 2" xfId="166" xr:uid="{00000000-0005-0000-0000-000094000000}"/>
    <cellStyle name="เครื่องหมายจุลภาค 15 3" xfId="167" xr:uid="{00000000-0005-0000-0000-000095000000}"/>
    <cellStyle name="เครื่องหมายจุลภาค 16" xfId="168" xr:uid="{00000000-0005-0000-0000-000096000000}"/>
    <cellStyle name="เครื่องหมายจุลภาค 17" xfId="169" xr:uid="{00000000-0005-0000-0000-000097000000}"/>
    <cellStyle name="เครื่องหมายจุลภาค 18" xfId="170" xr:uid="{00000000-0005-0000-0000-000098000000}"/>
    <cellStyle name="เครื่องหมายจุลภาค 18 2" xfId="171" xr:uid="{00000000-0005-0000-0000-000099000000}"/>
    <cellStyle name="เครื่องหมายจุลภาค 19" xfId="172" xr:uid="{00000000-0005-0000-0000-00009A000000}"/>
    <cellStyle name="เครื่องหมายจุลภาค 19 2" xfId="173" xr:uid="{00000000-0005-0000-0000-00009B000000}"/>
    <cellStyle name="เครื่องหมายจุลภาค 2" xfId="78" xr:uid="{00000000-0005-0000-0000-00009C000000}"/>
    <cellStyle name="เครื่องหมายจุลภาค 2 2" xfId="174" xr:uid="{00000000-0005-0000-0000-00009D000000}"/>
    <cellStyle name="เครื่องหมายจุลภาค 2 3" xfId="175" xr:uid="{00000000-0005-0000-0000-00009E000000}"/>
    <cellStyle name="เครื่องหมายจุลภาค 2 4" xfId="176" xr:uid="{00000000-0005-0000-0000-00009F000000}"/>
    <cellStyle name="เครื่องหมายจุลภาค 20" xfId="177" xr:uid="{00000000-0005-0000-0000-0000A0000000}"/>
    <cellStyle name="เครื่องหมายจุลภาค 20 2" xfId="178" xr:uid="{00000000-0005-0000-0000-0000A1000000}"/>
    <cellStyle name="เครื่องหมายจุลภาค 21" xfId="179" xr:uid="{00000000-0005-0000-0000-0000A2000000}"/>
    <cellStyle name="เครื่องหมายจุลภาค 22" xfId="180" xr:uid="{00000000-0005-0000-0000-0000A3000000}"/>
    <cellStyle name="เครื่องหมายจุลภาค 23" xfId="181" xr:uid="{00000000-0005-0000-0000-0000A4000000}"/>
    <cellStyle name="เครื่องหมายจุลภาค 24" xfId="182" xr:uid="{00000000-0005-0000-0000-0000A5000000}"/>
    <cellStyle name="เครื่องหมายจุลภาค 25" xfId="183" xr:uid="{00000000-0005-0000-0000-0000A6000000}"/>
    <cellStyle name="เครื่องหมายจุลภาค 26" xfId="184" xr:uid="{00000000-0005-0000-0000-0000A7000000}"/>
    <cellStyle name="เครื่องหมายจุลภาค 27" xfId="185" xr:uid="{00000000-0005-0000-0000-0000A8000000}"/>
    <cellStyle name="เครื่องหมายจุลภาค 28" xfId="186" xr:uid="{00000000-0005-0000-0000-0000A9000000}"/>
    <cellStyle name="เครื่องหมายจุลภาค 29" xfId="187" xr:uid="{00000000-0005-0000-0000-0000AA000000}"/>
    <cellStyle name="เครื่องหมายจุลภาค 3" xfId="79" xr:uid="{00000000-0005-0000-0000-0000AB000000}"/>
    <cellStyle name="เครื่องหมายจุลภาค 3 2" xfId="188" xr:uid="{00000000-0005-0000-0000-0000AC000000}"/>
    <cellStyle name="เครื่องหมายจุลภาค 3 2 2" xfId="189" xr:uid="{00000000-0005-0000-0000-0000AD000000}"/>
    <cellStyle name="เครื่องหมายจุลภาค 3 3" xfId="190" xr:uid="{00000000-0005-0000-0000-0000AE000000}"/>
    <cellStyle name="เครื่องหมายจุลภาค 3 3 2" xfId="191" xr:uid="{00000000-0005-0000-0000-0000AF000000}"/>
    <cellStyle name="เครื่องหมายจุลภาค 3 4" xfId="192" xr:uid="{00000000-0005-0000-0000-0000B0000000}"/>
    <cellStyle name="เครื่องหมายจุลภาค 3 4 2" xfId="193" xr:uid="{00000000-0005-0000-0000-0000B1000000}"/>
    <cellStyle name="เครื่องหมายจุลภาค 3 5" xfId="194" xr:uid="{00000000-0005-0000-0000-0000B2000000}"/>
    <cellStyle name="เครื่องหมายจุลภาค 30" xfId="195" xr:uid="{00000000-0005-0000-0000-0000B3000000}"/>
    <cellStyle name="เครื่องหมายจุลภาค 31" xfId="196" xr:uid="{00000000-0005-0000-0000-0000B4000000}"/>
    <cellStyle name="เครื่องหมายจุลภาค 32" xfId="197" xr:uid="{00000000-0005-0000-0000-0000B5000000}"/>
    <cellStyle name="เครื่องหมายจุลภาค 33" xfId="198" xr:uid="{00000000-0005-0000-0000-0000B6000000}"/>
    <cellStyle name="เครื่องหมายจุลภาค 34" xfId="199" xr:uid="{00000000-0005-0000-0000-0000B7000000}"/>
    <cellStyle name="เครื่องหมายจุลภาค 35" xfId="200" xr:uid="{00000000-0005-0000-0000-0000B8000000}"/>
    <cellStyle name="เครื่องหมายจุลภาค 35 2" xfId="201" xr:uid="{00000000-0005-0000-0000-0000B9000000}"/>
    <cellStyle name="เครื่องหมายจุลภาค 36" xfId="202" xr:uid="{00000000-0005-0000-0000-0000BA000000}"/>
    <cellStyle name="เครื่องหมายจุลภาค 37" xfId="203" xr:uid="{00000000-0005-0000-0000-0000BB000000}"/>
    <cellStyle name="เครื่องหมายจุลภาค 37 2" xfId="204" xr:uid="{00000000-0005-0000-0000-0000BC000000}"/>
    <cellStyle name="เครื่องหมายจุลภาค 38" xfId="205" xr:uid="{00000000-0005-0000-0000-0000BD000000}"/>
    <cellStyle name="เครื่องหมายจุลภาค 39" xfId="206" xr:uid="{00000000-0005-0000-0000-0000BE000000}"/>
    <cellStyle name="เครื่องหมายจุลภาค 4" xfId="80" xr:uid="{00000000-0005-0000-0000-0000BF000000}"/>
    <cellStyle name="เครื่องหมายจุลภาค 4 2" xfId="207" xr:uid="{00000000-0005-0000-0000-0000C0000000}"/>
    <cellStyle name="เครื่องหมายจุลภาค 4 2 2" xfId="208" xr:uid="{00000000-0005-0000-0000-0000C1000000}"/>
    <cellStyle name="เครื่องหมายจุลภาค 4 3" xfId="209" xr:uid="{00000000-0005-0000-0000-0000C2000000}"/>
    <cellStyle name="เครื่องหมายจุลภาค 4 3 2" xfId="210" xr:uid="{00000000-0005-0000-0000-0000C3000000}"/>
    <cellStyle name="เครื่องหมายจุลภาค 4 4" xfId="211" xr:uid="{00000000-0005-0000-0000-0000C4000000}"/>
    <cellStyle name="เครื่องหมายจุลภาค 4 5" xfId="212" xr:uid="{00000000-0005-0000-0000-0000C5000000}"/>
    <cellStyle name="เครื่องหมายจุลภาค 40" xfId="213" xr:uid="{00000000-0005-0000-0000-0000C6000000}"/>
    <cellStyle name="เครื่องหมายจุลภาค 41" xfId="214" xr:uid="{00000000-0005-0000-0000-0000C7000000}"/>
    <cellStyle name="เครื่องหมายจุลภาค 42" xfId="215" xr:uid="{00000000-0005-0000-0000-0000C8000000}"/>
    <cellStyle name="เครื่องหมายจุลภาค 43" xfId="216" xr:uid="{00000000-0005-0000-0000-0000C9000000}"/>
    <cellStyle name="เครื่องหมายจุลภาค 43 2" xfId="217" xr:uid="{00000000-0005-0000-0000-0000CA000000}"/>
    <cellStyle name="เครื่องหมายจุลภาค 43 3" xfId="218" xr:uid="{00000000-0005-0000-0000-0000CB000000}"/>
    <cellStyle name="เครื่องหมายจุลภาค 43 4" xfId="219" xr:uid="{00000000-0005-0000-0000-0000CC000000}"/>
    <cellStyle name="เครื่องหมายจุลภาค 44" xfId="220" xr:uid="{00000000-0005-0000-0000-0000CD000000}"/>
    <cellStyle name="เครื่องหมายจุลภาค 5" xfId="95" xr:uid="{00000000-0005-0000-0000-0000CE000000}"/>
    <cellStyle name="เครื่องหมายจุลภาค 5 2" xfId="221" xr:uid="{00000000-0005-0000-0000-0000CF000000}"/>
    <cellStyle name="เครื่องหมายจุลภาค 5 3" xfId="222" xr:uid="{00000000-0005-0000-0000-0000D0000000}"/>
    <cellStyle name="เครื่องหมายจุลภาค 6" xfId="223" xr:uid="{00000000-0005-0000-0000-0000D1000000}"/>
    <cellStyle name="เครื่องหมายจุลภาค 6 2" xfId="224" xr:uid="{00000000-0005-0000-0000-0000D2000000}"/>
    <cellStyle name="เครื่องหมายจุลภาค 6 3" xfId="225" xr:uid="{00000000-0005-0000-0000-0000D3000000}"/>
    <cellStyle name="เครื่องหมายจุลภาค 7" xfId="226" xr:uid="{00000000-0005-0000-0000-0000D4000000}"/>
    <cellStyle name="เครื่องหมายจุลภาค 7 2" xfId="227" xr:uid="{00000000-0005-0000-0000-0000D5000000}"/>
    <cellStyle name="เครื่องหมายจุลภาค 7 3" xfId="228" xr:uid="{00000000-0005-0000-0000-0000D6000000}"/>
    <cellStyle name="เครื่องหมายจุลภาค 7 4" xfId="229" xr:uid="{00000000-0005-0000-0000-0000D7000000}"/>
    <cellStyle name="เครื่องหมายจุลภาค 7 5" xfId="230" xr:uid="{00000000-0005-0000-0000-0000D8000000}"/>
    <cellStyle name="เครื่องหมายจุลภาค 7 6" xfId="231" xr:uid="{00000000-0005-0000-0000-0000D9000000}"/>
    <cellStyle name="เครื่องหมายจุลภาค 8" xfId="232" xr:uid="{00000000-0005-0000-0000-0000DA000000}"/>
    <cellStyle name="เครื่องหมายจุลภาค 8 2" xfId="233" xr:uid="{00000000-0005-0000-0000-0000DB000000}"/>
    <cellStyle name="เครื่องหมายจุลภาค 8 3" xfId="234" xr:uid="{00000000-0005-0000-0000-0000DC000000}"/>
    <cellStyle name="เครื่องหมายจุลภาค 9" xfId="235" xr:uid="{00000000-0005-0000-0000-0000DD000000}"/>
    <cellStyle name="เครื่องหมายจุลภาค 9 2" xfId="236" xr:uid="{00000000-0005-0000-0000-0000DE000000}"/>
    <cellStyle name="เครื่องหมายจุลภาค_ภูผาทองรวม1+000" xfId="279" xr:uid="{00000000-0005-0000-0000-0000DF000000}"/>
    <cellStyle name="จุลภาค" xfId="77" builtinId="3"/>
    <cellStyle name="ปกติ" xfId="0" builtinId="0"/>
    <cellStyle name="ปกติ 10" xfId="98" xr:uid="{00000000-0005-0000-0000-0000E0000000}"/>
    <cellStyle name="ปกติ 11" xfId="243" xr:uid="{00000000-0005-0000-0000-0000E1000000}"/>
    <cellStyle name="ปกติ 2" xfId="81" xr:uid="{00000000-0005-0000-0000-0000E2000000}"/>
    <cellStyle name="ปกติ 2 2" xfId="82" xr:uid="{00000000-0005-0000-0000-0000E3000000}"/>
    <cellStyle name="ปกติ 2 2 2" xfId="244" xr:uid="{00000000-0005-0000-0000-0000E4000000}"/>
    <cellStyle name="ปกติ 2 2 3" xfId="245" xr:uid="{00000000-0005-0000-0000-0000E5000000}"/>
    <cellStyle name="ปกติ 2 3" xfId="246" xr:uid="{00000000-0005-0000-0000-0000E6000000}"/>
    <cellStyle name="ปกติ 2 3 2" xfId="247" xr:uid="{00000000-0005-0000-0000-0000E7000000}"/>
    <cellStyle name="ปกติ 2 3 3" xfId="248" xr:uid="{00000000-0005-0000-0000-0000E8000000}"/>
    <cellStyle name="ปกติ 2 3 4" xfId="249" xr:uid="{00000000-0005-0000-0000-0000E9000000}"/>
    <cellStyle name="ปกติ 2 3 5" xfId="250" xr:uid="{00000000-0005-0000-0000-0000EA000000}"/>
    <cellStyle name="ปกติ 2 3 6" xfId="251" xr:uid="{00000000-0005-0000-0000-0000EB000000}"/>
    <cellStyle name="ปกติ 2 4" xfId="277" xr:uid="{00000000-0005-0000-0000-0000EC000000}"/>
    <cellStyle name="ปกติ 2_form_สรุปราคาฯ(ปร๕,ปร๔,บัญชีฯ)จ.(อ.~ต.)('๕๓).xls;ลว.๒๙พค๕๒" xfId="252" xr:uid="{00000000-0005-0000-0000-0000ED000000}"/>
    <cellStyle name="ปกติ 3" xfId="83" xr:uid="{00000000-0005-0000-0000-0000EE000000}"/>
    <cellStyle name="ปกติ 3 2" xfId="253" xr:uid="{00000000-0005-0000-0000-0000EF000000}"/>
    <cellStyle name="ปกติ 3 3" xfId="254" xr:uid="{00000000-0005-0000-0000-0000F0000000}"/>
    <cellStyle name="ปกติ 4" xfId="84" xr:uid="{00000000-0005-0000-0000-0000F1000000}"/>
    <cellStyle name="ปกติ 4 2" xfId="255" xr:uid="{00000000-0005-0000-0000-0000F2000000}"/>
    <cellStyle name="ปกติ 4 3" xfId="256" xr:uid="{00000000-0005-0000-0000-0000F3000000}"/>
    <cellStyle name="ปกติ 4 3 2" xfId="257" xr:uid="{00000000-0005-0000-0000-0000F4000000}"/>
    <cellStyle name="ปกติ 4 3 3" xfId="258" xr:uid="{00000000-0005-0000-0000-0000F5000000}"/>
    <cellStyle name="ปกติ 4 3 4" xfId="259" xr:uid="{00000000-0005-0000-0000-0000F6000000}"/>
    <cellStyle name="ปกติ 4 4" xfId="260" xr:uid="{00000000-0005-0000-0000-0000F7000000}"/>
    <cellStyle name="ปกติ 4 5" xfId="261" xr:uid="{00000000-0005-0000-0000-0000F8000000}"/>
    <cellStyle name="ปกติ 5" xfId="94" xr:uid="{00000000-0005-0000-0000-0000F9000000}"/>
    <cellStyle name="ปกติ 5 2" xfId="262" xr:uid="{00000000-0005-0000-0000-0000FA000000}"/>
    <cellStyle name="ปกติ 5 2 2" xfId="263" xr:uid="{00000000-0005-0000-0000-0000FB000000}"/>
    <cellStyle name="ปกติ 5 2 3" xfId="264" xr:uid="{00000000-0005-0000-0000-0000FC000000}"/>
    <cellStyle name="ปกติ 5 2 4" xfId="265" xr:uid="{00000000-0005-0000-0000-0000FD000000}"/>
    <cellStyle name="ปกติ 5 2 5" xfId="266" xr:uid="{00000000-0005-0000-0000-0000FE000000}"/>
    <cellStyle name="ปกติ 5 2 6" xfId="267" xr:uid="{00000000-0005-0000-0000-0000FF000000}"/>
    <cellStyle name="ปกติ 5 3" xfId="268" xr:uid="{00000000-0005-0000-0000-000000010000}"/>
    <cellStyle name="ปกติ 5 4" xfId="269" xr:uid="{00000000-0005-0000-0000-000001010000}"/>
    <cellStyle name="ปกติ 5 5" xfId="270" xr:uid="{00000000-0005-0000-0000-000002010000}"/>
    <cellStyle name="ปกติ 5 6" xfId="271" xr:uid="{00000000-0005-0000-0000-000003010000}"/>
    <cellStyle name="ปกติ 6" xfId="272" xr:uid="{00000000-0005-0000-0000-000004010000}"/>
    <cellStyle name="ปกติ 6 2" xfId="273" xr:uid="{00000000-0005-0000-0000-000005010000}"/>
    <cellStyle name="ปกติ 7" xfId="274" xr:uid="{00000000-0005-0000-0000-000006010000}"/>
    <cellStyle name="ปกติ 7 2" xfId="97" xr:uid="{00000000-0005-0000-0000-000007010000}"/>
    <cellStyle name="ปกติ 8" xfId="275" xr:uid="{00000000-0005-0000-0000-000008010000}"/>
    <cellStyle name="ปกติ 9" xfId="276" xr:uid="{00000000-0005-0000-0000-000009010000}"/>
    <cellStyle name="ปกติ_001-50 2" xfId="85" xr:uid="{00000000-0005-0000-0000-00000A010000}"/>
    <cellStyle name="ปกติ_002-49(สะพาน) 2" xfId="86" xr:uid="{00000000-0005-0000-0000-00000B010000}"/>
    <cellStyle name="ปกติ_009-50" xfId="87" xr:uid="{00000000-0005-0000-0000-00000C010000}"/>
    <cellStyle name="ปกติ_012-50" xfId="88" xr:uid="{00000000-0005-0000-0000-00000D010000}"/>
    <cellStyle name="ปกติ_บำรุงปกติ" xfId="89" xr:uid="{00000000-0005-0000-0000-00000E010000}"/>
    <cellStyle name="ปกติ_ภูผาทองรวม1+000" xfId="278" xr:uid="{00000000-0005-0000-0000-00000F010000}"/>
    <cellStyle name="เปอร์เซ็นต์" xfId="90" builtinId="5"/>
    <cellStyle name="เปอร์เซ็นต์ 2" xfId="91" xr:uid="{00000000-0005-0000-0000-000010010000}"/>
    <cellStyle name="เปอร์เซ็นต์ 2 2" xfId="237" xr:uid="{00000000-0005-0000-0000-000011010000}"/>
    <cellStyle name="เปอร์เซ็นต์ 2 2 2" xfId="238" xr:uid="{00000000-0005-0000-0000-000012010000}"/>
    <cellStyle name="เปอร์เซ็นต์ 2 3" xfId="239" xr:uid="{00000000-0005-0000-0000-000013010000}"/>
    <cellStyle name="เปอร์เซ็นต์ 3" xfId="96" xr:uid="{00000000-0005-0000-0000-000014010000}"/>
    <cellStyle name="เปอร์เซ็นต์ 4" xfId="240" xr:uid="{00000000-0005-0000-0000-000015010000}"/>
    <cellStyle name="เปอร์เซ็นต์ 4 2" xfId="241" xr:uid="{00000000-0005-0000-0000-000016010000}"/>
    <cellStyle name="เปอร์เซ็นต์ 5" xfId="242" xr:uid="{00000000-0005-0000-0000-000017010000}"/>
  </cellStyles>
  <dxfs count="0"/>
  <tableStyles count="0" defaultTableStyle="TableStyleMedium9" defaultPivotStyle="PivotStyleLight16"/>
  <colors>
    <mruColors>
      <color rgb="FFFFFF99"/>
      <color rgb="FF0101BF"/>
      <color rgb="FFFFFF66"/>
      <color rgb="FFFF6600"/>
      <color rgb="FF0202FE"/>
      <color rgb="FFFF9966"/>
      <color rgb="FFFF9933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/Relationships>
</file>

<file path=xl/ctrlProps/ctrlProp1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Radio" checked="Checked" firstButton="1" fmlaLink="$C$6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Radio" checked="Checked" firstButton="1" fmlaLink="$G$6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Radio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696057</xdr:colOff>
      <xdr:row>4</xdr:row>
      <xdr:rowOff>24417</xdr:rowOff>
    </xdr:from>
    <xdr:to>
      <xdr:col>3</xdr:col>
      <xdr:colOff>278423</xdr:colOff>
      <xdr:row>6</xdr:row>
      <xdr:rowOff>24417</xdr:rowOff>
    </xdr:to>
    <xdr:sp macro="" textlink="">
      <xdr:nvSpPr>
        <xdr:cNvPr id="6210" name="Rectangle 66">
          <a:extLst>
            <a:ext uri="{FF2B5EF4-FFF2-40B4-BE49-F238E27FC236}">
              <a16:creationId xmlns:a16="http://schemas.microsoft.com/office/drawing/2014/main" id="{00000000-0008-0000-0100-000042180000}"/>
            </a:ext>
          </a:extLst>
        </xdr:cNvPr>
        <xdr:cNvSpPr>
          <a:spLocks noChangeArrowheads="1"/>
        </xdr:cNvSpPr>
      </xdr:nvSpPr>
      <xdr:spPr bwMode="auto">
        <a:xfrm>
          <a:off x="1040422" y="1226032"/>
          <a:ext cx="2505809" cy="439616"/>
        </a:xfrm>
        <a:prstGeom prst="rect">
          <a:avLst/>
        </a:prstGeom>
        <a:solidFill>
          <a:srgbClr val="E3E3E3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th-TH"/>
        </a:p>
      </xdr:txBody>
    </xdr:sp>
    <xdr:clientData/>
  </xdr:twoCellAnchor>
  <xdr:twoCellAnchor>
    <xdr:from>
      <xdr:col>4</xdr:col>
      <xdr:colOff>293076</xdr:colOff>
      <xdr:row>4</xdr:row>
      <xdr:rowOff>24422</xdr:rowOff>
    </xdr:from>
    <xdr:to>
      <xdr:col>11</xdr:col>
      <xdr:colOff>219803</xdr:colOff>
      <xdr:row>6</xdr:row>
      <xdr:rowOff>24422</xdr:rowOff>
    </xdr:to>
    <xdr:sp macro="" textlink="">
      <xdr:nvSpPr>
        <xdr:cNvPr id="6215" name="Rectangle 71">
          <a:extLst>
            <a:ext uri="{FF2B5EF4-FFF2-40B4-BE49-F238E27FC236}">
              <a16:creationId xmlns:a16="http://schemas.microsoft.com/office/drawing/2014/main" id="{00000000-0008-0000-0100-000047180000}"/>
            </a:ext>
          </a:extLst>
        </xdr:cNvPr>
        <xdr:cNvSpPr>
          <a:spLocks noChangeArrowheads="1"/>
        </xdr:cNvSpPr>
      </xdr:nvSpPr>
      <xdr:spPr bwMode="auto">
        <a:xfrm>
          <a:off x="4183672" y="1226037"/>
          <a:ext cx="2615708" cy="439616"/>
        </a:xfrm>
        <a:prstGeom prst="rect">
          <a:avLst/>
        </a:prstGeom>
        <a:solidFill>
          <a:srgbClr val="E3E3E3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th-TH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771525</xdr:colOff>
          <xdr:row>4</xdr:row>
          <xdr:rowOff>85725</xdr:rowOff>
        </xdr:from>
        <xdr:to>
          <xdr:col>3</xdr:col>
          <xdr:colOff>219075</xdr:colOff>
          <xdr:row>5</xdr:row>
          <xdr:rowOff>190500</xdr:rowOff>
        </xdr:to>
        <xdr:sp macro="" textlink="">
          <xdr:nvSpPr>
            <xdr:cNvPr id="6211" name="Group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1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โปรดเลือก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1009650</xdr:colOff>
          <xdr:row>4</xdr:row>
          <xdr:rowOff>142875</xdr:rowOff>
        </xdr:from>
        <xdr:to>
          <xdr:col>2</xdr:col>
          <xdr:colOff>95250</xdr:colOff>
          <xdr:row>5</xdr:row>
          <xdr:rowOff>171450</xdr:rowOff>
        </xdr:to>
        <xdr:sp macro="" textlink="">
          <xdr:nvSpPr>
            <xdr:cNvPr id="6212" name="Option Button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1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ปกติ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200025</xdr:colOff>
          <xdr:row>4</xdr:row>
          <xdr:rowOff>123825</xdr:rowOff>
        </xdr:from>
        <xdr:to>
          <xdr:col>2</xdr:col>
          <xdr:colOff>819150</xdr:colOff>
          <xdr:row>5</xdr:row>
          <xdr:rowOff>152400</xdr:rowOff>
        </xdr:to>
        <xdr:sp macro="" textlink="">
          <xdr:nvSpPr>
            <xdr:cNvPr id="6213" name="Option Button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1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ฝนชุก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361950</xdr:colOff>
          <xdr:row>4</xdr:row>
          <xdr:rowOff>85725</xdr:rowOff>
        </xdr:from>
        <xdr:to>
          <xdr:col>11</xdr:col>
          <xdr:colOff>161925</xdr:colOff>
          <xdr:row>5</xdr:row>
          <xdr:rowOff>200025</xdr:rowOff>
        </xdr:to>
        <xdr:sp macro="" textlink="">
          <xdr:nvSpPr>
            <xdr:cNvPr id="6216" name="Group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1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โปรดเลือก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123825</xdr:colOff>
          <xdr:row>4</xdr:row>
          <xdr:rowOff>104775</xdr:rowOff>
        </xdr:from>
        <xdr:to>
          <xdr:col>7</xdr:col>
          <xdr:colOff>28575</xdr:colOff>
          <xdr:row>5</xdr:row>
          <xdr:rowOff>142875</xdr:rowOff>
        </xdr:to>
        <xdr:sp macro="" textlink="">
          <xdr:nvSpPr>
            <xdr:cNvPr id="6217" name="Option Button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1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ขนาดเบา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85725</xdr:colOff>
          <xdr:row>4</xdr:row>
          <xdr:rowOff>104775</xdr:rowOff>
        </xdr:from>
        <xdr:to>
          <xdr:col>9</xdr:col>
          <xdr:colOff>447675</xdr:colOff>
          <xdr:row>5</xdr:row>
          <xdr:rowOff>142875</xdr:rowOff>
        </xdr:to>
        <xdr:sp macro="" textlink="">
          <xdr:nvSpPr>
            <xdr:cNvPr id="6218" name="Option Button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1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ขนาดกลาง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447675</xdr:colOff>
          <xdr:row>4</xdr:row>
          <xdr:rowOff>104775</xdr:rowOff>
        </xdr:from>
        <xdr:to>
          <xdr:col>11</xdr:col>
          <xdr:colOff>66675</xdr:colOff>
          <xdr:row>5</xdr:row>
          <xdr:rowOff>142875</xdr:rowOff>
        </xdr:to>
        <xdr:sp macro="" textlink="">
          <xdr:nvSpPr>
            <xdr:cNvPr id="6219" name="Option Button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1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ขนาดหนัก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923925</xdr:colOff>
          <xdr:row>4</xdr:row>
          <xdr:rowOff>123825</xdr:rowOff>
        </xdr:from>
        <xdr:to>
          <xdr:col>3</xdr:col>
          <xdr:colOff>38100</xdr:colOff>
          <xdr:row>5</xdr:row>
          <xdr:rowOff>142875</xdr:rowOff>
        </xdr:to>
        <xdr:sp macro="" textlink="">
          <xdr:nvSpPr>
            <xdr:cNvPr id="6313" name="Option Button 169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1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ฝนชุก 2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5</xdr:row>
      <xdr:rowOff>0</xdr:rowOff>
    </xdr:from>
    <xdr:to>
      <xdr:col>5</xdr:col>
      <xdr:colOff>781050</xdr:colOff>
      <xdr:row>5</xdr:row>
      <xdr:rowOff>0</xdr:rowOff>
    </xdr:to>
    <xdr:sp macro="" textlink="">
      <xdr:nvSpPr>
        <xdr:cNvPr id="54273" name="Text Box 1">
          <a:extLst>
            <a:ext uri="{FF2B5EF4-FFF2-40B4-BE49-F238E27FC236}">
              <a16:creationId xmlns:a16="http://schemas.microsoft.com/office/drawing/2014/main" id="{00000000-0008-0000-0900-000001D40000}"/>
            </a:ext>
          </a:extLst>
        </xdr:cNvPr>
        <xdr:cNvSpPr txBox="1">
          <a:spLocks noChangeArrowheads="1"/>
        </xdr:cNvSpPr>
      </xdr:nvSpPr>
      <xdr:spPr bwMode="auto">
        <a:xfrm>
          <a:off x="3790950" y="9239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อ.ปราสาท</a:t>
          </a:r>
        </a:p>
      </xdr:txBody>
    </xdr:sp>
    <xdr:clientData/>
  </xdr:twoCellAnchor>
  <xdr:twoCellAnchor>
    <xdr:from>
      <xdr:col>4</xdr:col>
      <xdr:colOff>38100</xdr:colOff>
      <xdr:row>5</xdr:row>
      <xdr:rowOff>0</xdr:rowOff>
    </xdr:from>
    <xdr:to>
      <xdr:col>5</xdr:col>
      <xdr:colOff>352425</xdr:colOff>
      <xdr:row>5</xdr:row>
      <xdr:rowOff>0</xdr:rowOff>
    </xdr:to>
    <xdr:sp macro="" textlink="">
      <xdr:nvSpPr>
        <xdr:cNvPr id="54274" name="Text Box 2">
          <a:extLst>
            <a:ext uri="{FF2B5EF4-FFF2-40B4-BE49-F238E27FC236}">
              <a16:creationId xmlns:a16="http://schemas.microsoft.com/office/drawing/2014/main" id="{00000000-0008-0000-0900-000002D40000}"/>
            </a:ext>
          </a:extLst>
        </xdr:cNvPr>
        <xdr:cNvSpPr txBox="1">
          <a:spLocks noChangeArrowheads="1"/>
        </xdr:cNvSpPr>
      </xdr:nvSpPr>
      <xdr:spPr bwMode="auto">
        <a:xfrm>
          <a:off x="2905125" y="923925"/>
          <a:ext cx="1162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อ.เมือง จ.สุรินทร์</a:t>
          </a:r>
        </a:p>
      </xdr:txBody>
    </xdr:sp>
    <xdr:clientData/>
  </xdr:twoCellAnchor>
  <xdr:twoCellAnchor>
    <xdr:from>
      <xdr:col>5</xdr:col>
      <xdr:colOff>390525</xdr:colOff>
      <xdr:row>5</xdr:row>
      <xdr:rowOff>0</xdr:rowOff>
    </xdr:from>
    <xdr:to>
      <xdr:col>6</xdr:col>
      <xdr:colOff>161925</xdr:colOff>
      <xdr:row>5</xdr:row>
      <xdr:rowOff>0</xdr:rowOff>
    </xdr:to>
    <xdr:sp macro="" textlink="">
      <xdr:nvSpPr>
        <xdr:cNvPr id="54275" name="Text Box 3">
          <a:extLst>
            <a:ext uri="{FF2B5EF4-FFF2-40B4-BE49-F238E27FC236}">
              <a16:creationId xmlns:a16="http://schemas.microsoft.com/office/drawing/2014/main" id="{00000000-0008-0000-0900-000003D40000}"/>
            </a:ext>
          </a:extLst>
        </xdr:cNvPr>
        <xdr:cNvSpPr txBox="1">
          <a:spLocks noChangeArrowheads="1"/>
        </xdr:cNvSpPr>
      </xdr:nvSpPr>
      <xdr:spPr bwMode="auto">
        <a:xfrm>
          <a:off x="4105275" y="923925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อ.ท่าตูม</a:t>
          </a:r>
        </a:p>
      </xdr:txBody>
    </xdr:sp>
    <xdr:clientData/>
  </xdr:twoCellAnchor>
  <xdr:twoCellAnchor>
    <xdr:from>
      <xdr:col>8</xdr:col>
      <xdr:colOff>342900</xdr:colOff>
      <xdr:row>5</xdr:row>
      <xdr:rowOff>0</xdr:rowOff>
    </xdr:from>
    <xdr:to>
      <xdr:col>9</xdr:col>
      <xdr:colOff>485775</xdr:colOff>
      <xdr:row>5</xdr:row>
      <xdr:rowOff>0</xdr:rowOff>
    </xdr:to>
    <xdr:sp macro="" textlink="">
      <xdr:nvSpPr>
        <xdr:cNvPr id="54276" name="Text Box 4">
          <a:extLst>
            <a:ext uri="{FF2B5EF4-FFF2-40B4-BE49-F238E27FC236}">
              <a16:creationId xmlns:a16="http://schemas.microsoft.com/office/drawing/2014/main" id="{00000000-0008-0000-0900-000004D40000}"/>
            </a:ext>
          </a:extLst>
        </xdr:cNvPr>
        <xdr:cNvSpPr txBox="1">
          <a:spLocks noChangeArrowheads="1"/>
        </xdr:cNvSpPr>
      </xdr:nvSpPr>
      <xdr:spPr bwMode="auto">
        <a:xfrm>
          <a:off x="6257925" y="92392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 รัตนบุรี</a:t>
          </a:r>
        </a:p>
      </xdr:txBody>
    </xdr:sp>
    <xdr:clientData/>
  </xdr:twoCellAnchor>
  <xdr:twoCellAnchor>
    <xdr:from>
      <xdr:col>8</xdr:col>
      <xdr:colOff>238125</xdr:colOff>
      <xdr:row>5</xdr:row>
      <xdr:rowOff>0</xdr:rowOff>
    </xdr:from>
    <xdr:to>
      <xdr:col>9</xdr:col>
      <xdr:colOff>323850</xdr:colOff>
      <xdr:row>5</xdr:row>
      <xdr:rowOff>0</xdr:rowOff>
    </xdr:to>
    <xdr:sp macro="" textlink="">
      <xdr:nvSpPr>
        <xdr:cNvPr id="54277" name="Text Box 5">
          <a:extLst>
            <a:ext uri="{FF2B5EF4-FFF2-40B4-BE49-F238E27FC236}">
              <a16:creationId xmlns:a16="http://schemas.microsoft.com/office/drawing/2014/main" id="{00000000-0008-0000-0900-000005D40000}"/>
            </a:ext>
          </a:extLst>
        </xdr:cNvPr>
        <xdr:cNvSpPr txBox="1">
          <a:spLocks noChangeArrowheads="1"/>
        </xdr:cNvSpPr>
      </xdr:nvSpPr>
      <xdr:spPr bwMode="auto">
        <a:xfrm>
          <a:off x="6153150" y="923925"/>
          <a:ext cx="762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อ.ศีขรภูมิ</a:t>
          </a:r>
        </a:p>
      </xdr:txBody>
    </xdr:sp>
    <xdr:clientData/>
  </xdr:twoCellAnchor>
  <xdr:twoCellAnchor>
    <xdr:from>
      <xdr:col>5</xdr:col>
      <xdr:colOff>419100</xdr:colOff>
      <xdr:row>5</xdr:row>
      <xdr:rowOff>0</xdr:rowOff>
    </xdr:from>
    <xdr:to>
      <xdr:col>6</xdr:col>
      <xdr:colOff>276225</xdr:colOff>
      <xdr:row>5</xdr:row>
      <xdr:rowOff>0</xdr:rowOff>
    </xdr:to>
    <xdr:sp macro="" textlink="">
      <xdr:nvSpPr>
        <xdr:cNvPr id="54278" name="Text Box 6">
          <a:extLst>
            <a:ext uri="{FF2B5EF4-FFF2-40B4-BE49-F238E27FC236}">
              <a16:creationId xmlns:a16="http://schemas.microsoft.com/office/drawing/2014/main" id="{00000000-0008-0000-0900-000006D40000}"/>
            </a:ext>
          </a:extLst>
        </xdr:cNvPr>
        <xdr:cNvSpPr txBox="1">
          <a:spLocks noChangeArrowheads="1"/>
        </xdr:cNvSpPr>
      </xdr:nvSpPr>
      <xdr:spPr bwMode="auto">
        <a:xfrm>
          <a:off x="4133850" y="9239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อ.จอมพระ</a:t>
          </a:r>
        </a:p>
      </xdr:txBody>
    </xdr:sp>
    <xdr:clientData/>
  </xdr:twoCellAnchor>
  <xdr:twoCellAnchor>
    <xdr:from>
      <xdr:col>1</xdr:col>
      <xdr:colOff>114300</xdr:colOff>
      <xdr:row>5</xdr:row>
      <xdr:rowOff>0</xdr:rowOff>
    </xdr:from>
    <xdr:to>
      <xdr:col>2</xdr:col>
      <xdr:colOff>209550</xdr:colOff>
      <xdr:row>5</xdr:row>
      <xdr:rowOff>0</xdr:rowOff>
    </xdr:to>
    <xdr:sp macro="" textlink="">
      <xdr:nvSpPr>
        <xdr:cNvPr id="54279" name="Text Box 7">
          <a:extLst>
            <a:ext uri="{FF2B5EF4-FFF2-40B4-BE49-F238E27FC236}">
              <a16:creationId xmlns:a16="http://schemas.microsoft.com/office/drawing/2014/main" id="{00000000-0008-0000-0900-000007D40000}"/>
            </a:ext>
          </a:extLst>
        </xdr:cNvPr>
        <xdr:cNvSpPr txBox="1">
          <a:spLocks noChangeArrowheads="1"/>
        </xdr:cNvSpPr>
      </xdr:nvSpPr>
      <xdr:spPr bwMode="auto">
        <a:xfrm>
          <a:off x="552450" y="923925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อ.สตึก</a:t>
          </a:r>
        </a:p>
      </xdr:txBody>
    </xdr:sp>
    <xdr:clientData/>
  </xdr:twoCellAnchor>
  <xdr:twoCellAnchor>
    <xdr:from>
      <xdr:col>5</xdr:col>
      <xdr:colOff>38100</xdr:colOff>
      <xdr:row>5</xdr:row>
      <xdr:rowOff>0</xdr:rowOff>
    </xdr:from>
    <xdr:to>
      <xdr:col>5</xdr:col>
      <xdr:colOff>38100</xdr:colOff>
      <xdr:row>5</xdr:row>
      <xdr:rowOff>0</xdr:rowOff>
    </xdr:to>
    <xdr:cxnSp macro="">
      <xdr:nvCxnSpPr>
        <xdr:cNvPr id="75803" name="AutoShape 8">
          <a:extLst>
            <a:ext uri="{FF2B5EF4-FFF2-40B4-BE49-F238E27FC236}">
              <a16:creationId xmlns:a16="http://schemas.microsoft.com/office/drawing/2014/main" id="{00000000-0008-0000-0900-00001B280100}"/>
            </a:ext>
          </a:extLst>
        </xdr:cNvPr>
        <xdr:cNvCxnSpPr>
          <a:cxnSpLocks noChangeShapeType="1"/>
        </xdr:cNvCxnSpPr>
      </xdr:nvCxnSpPr>
      <xdr:spPr bwMode="auto">
        <a:xfrm flipV="1">
          <a:off x="3752850" y="1495425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5</xdr:col>
      <xdr:colOff>676275</xdr:colOff>
      <xdr:row>5</xdr:row>
      <xdr:rowOff>0</xdr:rowOff>
    </xdr:from>
    <xdr:to>
      <xdr:col>6</xdr:col>
      <xdr:colOff>542925</xdr:colOff>
      <xdr:row>5</xdr:row>
      <xdr:rowOff>0</xdr:rowOff>
    </xdr:to>
    <xdr:sp macro="" textlink="">
      <xdr:nvSpPr>
        <xdr:cNvPr id="75804" name="Text Box 9">
          <a:extLst>
            <a:ext uri="{FF2B5EF4-FFF2-40B4-BE49-F238E27FC236}">
              <a16:creationId xmlns:a16="http://schemas.microsoft.com/office/drawing/2014/main" id="{00000000-0008-0000-0900-00001C280100}"/>
            </a:ext>
          </a:extLst>
        </xdr:cNvPr>
        <xdr:cNvSpPr txBox="1">
          <a:spLocks noChangeArrowheads="1"/>
        </xdr:cNvSpPr>
      </xdr:nvSpPr>
      <xdr:spPr bwMode="auto">
        <a:xfrm>
          <a:off x="4391025" y="14954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5</xdr:row>
      <xdr:rowOff>0</xdr:rowOff>
    </xdr:from>
    <xdr:to>
      <xdr:col>1</xdr:col>
      <xdr:colOff>390525</xdr:colOff>
      <xdr:row>5</xdr:row>
      <xdr:rowOff>0</xdr:rowOff>
    </xdr:to>
    <xdr:cxnSp macro="">
      <xdr:nvCxnSpPr>
        <xdr:cNvPr id="75805" name="AutoShape 10">
          <a:extLst>
            <a:ext uri="{FF2B5EF4-FFF2-40B4-BE49-F238E27FC236}">
              <a16:creationId xmlns:a16="http://schemas.microsoft.com/office/drawing/2014/main" id="{00000000-0008-0000-0900-00001D280100}"/>
            </a:ext>
          </a:extLst>
        </xdr:cNvPr>
        <xdr:cNvCxnSpPr>
          <a:cxnSpLocks noChangeShapeType="1"/>
        </xdr:cNvCxnSpPr>
      </xdr:nvCxnSpPr>
      <xdr:spPr bwMode="auto">
        <a:xfrm flipV="1">
          <a:off x="828675" y="1495425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</xdr:col>
      <xdr:colOff>476250</xdr:colOff>
      <xdr:row>5</xdr:row>
      <xdr:rowOff>0</xdr:rowOff>
    </xdr:from>
    <xdr:to>
      <xdr:col>3</xdr:col>
      <xdr:colOff>190500</xdr:colOff>
      <xdr:row>5</xdr:row>
      <xdr:rowOff>0</xdr:rowOff>
    </xdr:to>
    <xdr:sp macro="" textlink="">
      <xdr:nvSpPr>
        <xdr:cNvPr id="54283" name="Text Box 11">
          <a:extLst>
            <a:ext uri="{FF2B5EF4-FFF2-40B4-BE49-F238E27FC236}">
              <a16:creationId xmlns:a16="http://schemas.microsoft.com/office/drawing/2014/main" id="{00000000-0008-0000-0900-00000BD40000}"/>
            </a:ext>
          </a:extLst>
        </xdr:cNvPr>
        <xdr:cNvSpPr txBox="1">
          <a:spLocks noChangeArrowheads="1"/>
        </xdr:cNvSpPr>
      </xdr:nvSpPr>
      <xdr:spPr bwMode="auto">
        <a:xfrm>
          <a:off x="914400" y="923925"/>
          <a:ext cx="1219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  </a:t>
          </a:r>
        </a:p>
      </xdr:txBody>
    </xdr:sp>
    <xdr:clientData/>
  </xdr:twoCellAnchor>
  <xdr:twoCellAnchor>
    <xdr:from>
      <xdr:col>1</xdr:col>
      <xdr:colOff>371475</xdr:colOff>
      <xdr:row>5</xdr:row>
      <xdr:rowOff>0</xdr:rowOff>
    </xdr:from>
    <xdr:to>
      <xdr:col>3</xdr:col>
      <xdr:colOff>28575</xdr:colOff>
      <xdr:row>5</xdr:row>
      <xdr:rowOff>0</xdr:rowOff>
    </xdr:to>
    <xdr:sp macro="" textlink="">
      <xdr:nvSpPr>
        <xdr:cNvPr id="54284" name="Text Box 12">
          <a:extLst>
            <a:ext uri="{FF2B5EF4-FFF2-40B4-BE49-F238E27FC236}">
              <a16:creationId xmlns:a16="http://schemas.microsoft.com/office/drawing/2014/main" id="{00000000-0008-0000-0900-00000CD40000}"/>
            </a:ext>
          </a:extLst>
        </xdr:cNvPr>
        <xdr:cNvSpPr txBox="1">
          <a:spLocks noChangeArrowheads="1"/>
        </xdr:cNvSpPr>
      </xdr:nvSpPr>
      <xdr:spPr bwMode="auto">
        <a:xfrm>
          <a:off x="809625" y="923925"/>
          <a:ext cx="1162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อ.เมือง จ.บุรีรัมย์</a:t>
          </a:r>
        </a:p>
      </xdr:txBody>
    </xdr:sp>
    <xdr:clientData/>
  </xdr:twoCellAnchor>
  <xdr:twoCellAnchor>
    <xdr:from>
      <xdr:col>5</xdr:col>
      <xdr:colOff>114300</xdr:colOff>
      <xdr:row>5</xdr:row>
      <xdr:rowOff>0</xdr:rowOff>
    </xdr:from>
    <xdr:to>
      <xdr:col>5</xdr:col>
      <xdr:colOff>114300</xdr:colOff>
      <xdr:row>5</xdr:row>
      <xdr:rowOff>0</xdr:rowOff>
    </xdr:to>
    <xdr:sp macro="" textlink="">
      <xdr:nvSpPr>
        <xdr:cNvPr id="75808" name="Line 13">
          <a:extLst>
            <a:ext uri="{FF2B5EF4-FFF2-40B4-BE49-F238E27FC236}">
              <a16:creationId xmlns:a16="http://schemas.microsoft.com/office/drawing/2014/main" id="{00000000-0008-0000-0900-000020280100}"/>
            </a:ext>
          </a:extLst>
        </xdr:cNvPr>
        <xdr:cNvSpPr>
          <a:spLocks noChangeShapeType="1"/>
        </xdr:cNvSpPr>
      </xdr:nvSpPr>
      <xdr:spPr bwMode="auto">
        <a:xfrm flipV="1">
          <a:off x="3829050" y="149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333375</xdr:colOff>
      <xdr:row>5</xdr:row>
      <xdr:rowOff>0</xdr:rowOff>
    </xdr:from>
    <xdr:to>
      <xdr:col>6</xdr:col>
      <xdr:colOff>200025</xdr:colOff>
      <xdr:row>5</xdr:row>
      <xdr:rowOff>0</xdr:rowOff>
    </xdr:to>
    <xdr:sp macro="" textlink="">
      <xdr:nvSpPr>
        <xdr:cNvPr id="54286" name="Text Box 14">
          <a:extLst>
            <a:ext uri="{FF2B5EF4-FFF2-40B4-BE49-F238E27FC236}">
              <a16:creationId xmlns:a16="http://schemas.microsoft.com/office/drawing/2014/main" id="{00000000-0008-0000-0900-00000ED40000}"/>
            </a:ext>
          </a:extLst>
        </xdr:cNvPr>
        <xdr:cNvSpPr txBox="1">
          <a:spLocks noChangeArrowheads="1"/>
        </xdr:cNvSpPr>
      </xdr:nvSpPr>
      <xdr:spPr bwMode="auto">
        <a:xfrm>
          <a:off x="4048125" y="9239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โรงผสม </a:t>
          </a:r>
          <a:r>
            <a:rPr lang="en-US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AC</a:t>
          </a:r>
        </a:p>
      </xdr:txBody>
    </xdr:sp>
    <xdr:clientData/>
  </xdr:twoCellAnchor>
  <xdr:twoCellAnchor>
    <xdr:from>
      <xdr:col>1</xdr:col>
      <xdr:colOff>295275</xdr:colOff>
      <xdr:row>5</xdr:row>
      <xdr:rowOff>0</xdr:rowOff>
    </xdr:from>
    <xdr:to>
      <xdr:col>2</xdr:col>
      <xdr:colOff>581025</xdr:colOff>
      <xdr:row>5</xdr:row>
      <xdr:rowOff>0</xdr:rowOff>
    </xdr:to>
    <xdr:sp macro="" textlink="">
      <xdr:nvSpPr>
        <xdr:cNvPr id="54287" name="Text Box 15">
          <a:extLst>
            <a:ext uri="{FF2B5EF4-FFF2-40B4-BE49-F238E27FC236}">
              <a16:creationId xmlns:a16="http://schemas.microsoft.com/office/drawing/2014/main" id="{00000000-0008-0000-0900-00000FD40000}"/>
            </a:ext>
          </a:extLst>
        </xdr:cNvPr>
        <xdr:cNvSpPr txBox="1">
          <a:spLocks noChangeArrowheads="1"/>
        </xdr:cNvSpPr>
      </xdr:nvSpPr>
      <xdr:spPr bwMode="auto">
        <a:xfrm>
          <a:off x="733425" y="923925"/>
          <a:ext cx="828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อ.ศรีราชา 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จ.ชลบุรี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5</xdr:col>
      <xdr:colOff>781050</xdr:colOff>
      <xdr:row>11</xdr:row>
      <xdr:rowOff>0</xdr:rowOff>
    </xdr:to>
    <xdr:sp macro="" textlink="">
      <xdr:nvSpPr>
        <xdr:cNvPr id="54288" name="Text Box 16">
          <a:extLst>
            <a:ext uri="{FF2B5EF4-FFF2-40B4-BE49-F238E27FC236}">
              <a16:creationId xmlns:a16="http://schemas.microsoft.com/office/drawing/2014/main" id="{00000000-0008-0000-0900-000010D40000}"/>
            </a:ext>
          </a:extLst>
        </xdr:cNvPr>
        <xdr:cNvSpPr txBox="1">
          <a:spLocks noChangeArrowheads="1"/>
        </xdr:cNvSpPr>
      </xdr:nvSpPr>
      <xdr:spPr bwMode="auto">
        <a:xfrm>
          <a:off x="3790950" y="23050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อ.ปราสาท</a:t>
          </a:r>
        </a:p>
      </xdr:txBody>
    </xdr:sp>
    <xdr:clientData/>
  </xdr:twoCellAnchor>
  <xdr:twoCellAnchor>
    <xdr:from>
      <xdr:col>4</xdr:col>
      <xdr:colOff>38100</xdr:colOff>
      <xdr:row>11</xdr:row>
      <xdr:rowOff>0</xdr:rowOff>
    </xdr:from>
    <xdr:to>
      <xdr:col>5</xdr:col>
      <xdr:colOff>352425</xdr:colOff>
      <xdr:row>11</xdr:row>
      <xdr:rowOff>0</xdr:rowOff>
    </xdr:to>
    <xdr:sp macro="" textlink="">
      <xdr:nvSpPr>
        <xdr:cNvPr id="54289" name="Text Box 17">
          <a:extLst>
            <a:ext uri="{FF2B5EF4-FFF2-40B4-BE49-F238E27FC236}">
              <a16:creationId xmlns:a16="http://schemas.microsoft.com/office/drawing/2014/main" id="{00000000-0008-0000-0900-000011D40000}"/>
            </a:ext>
          </a:extLst>
        </xdr:cNvPr>
        <xdr:cNvSpPr txBox="1">
          <a:spLocks noChangeArrowheads="1"/>
        </xdr:cNvSpPr>
      </xdr:nvSpPr>
      <xdr:spPr bwMode="auto">
        <a:xfrm>
          <a:off x="2905125" y="2305050"/>
          <a:ext cx="1162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อ.เมือง จ.สุรินทร์</a:t>
          </a:r>
        </a:p>
      </xdr:txBody>
    </xdr:sp>
    <xdr:clientData/>
  </xdr:twoCellAnchor>
  <xdr:twoCellAnchor>
    <xdr:from>
      <xdr:col>5</xdr:col>
      <xdr:colOff>390525</xdr:colOff>
      <xdr:row>11</xdr:row>
      <xdr:rowOff>0</xdr:rowOff>
    </xdr:from>
    <xdr:to>
      <xdr:col>6</xdr:col>
      <xdr:colOff>161925</xdr:colOff>
      <xdr:row>11</xdr:row>
      <xdr:rowOff>0</xdr:rowOff>
    </xdr:to>
    <xdr:sp macro="" textlink="">
      <xdr:nvSpPr>
        <xdr:cNvPr id="54290" name="Text Box 18">
          <a:extLst>
            <a:ext uri="{FF2B5EF4-FFF2-40B4-BE49-F238E27FC236}">
              <a16:creationId xmlns:a16="http://schemas.microsoft.com/office/drawing/2014/main" id="{00000000-0008-0000-0900-000012D40000}"/>
            </a:ext>
          </a:extLst>
        </xdr:cNvPr>
        <xdr:cNvSpPr txBox="1">
          <a:spLocks noChangeArrowheads="1"/>
        </xdr:cNvSpPr>
      </xdr:nvSpPr>
      <xdr:spPr bwMode="auto">
        <a:xfrm>
          <a:off x="4105275" y="230505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อ.ท่าตูม</a:t>
          </a:r>
        </a:p>
      </xdr:txBody>
    </xdr:sp>
    <xdr:clientData/>
  </xdr:twoCellAnchor>
  <xdr:twoCellAnchor>
    <xdr:from>
      <xdr:col>8</xdr:col>
      <xdr:colOff>342900</xdr:colOff>
      <xdr:row>11</xdr:row>
      <xdr:rowOff>0</xdr:rowOff>
    </xdr:from>
    <xdr:to>
      <xdr:col>9</xdr:col>
      <xdr:colOff>485775</xdr:colOff>
      <xdr:row>11</xdr:row>
      <xdr:rowOff>0</xdr:rowOff>
    </xdr:to>
    <xdr:sp macro="" textlink="">
      <xdr:nvSpPr>
        <xdr:cNvPr id="54291" name="Text Box 19">
          <a:extLst>
            <a:ext uri="{FF2B5EF4-FFF2-40B4-BE49-F238E27FC236}">
              <a16:creationId xmlns:a16="http://schemas.microsoft.com/office/drawing/2014/main" id="{00000000-0008-0000-0900-000013D40000}"/>
            </a:ext>
          </a:extLst>
        </xdr:cNvPr>
        <xdr:cNvSpPr txBox="1">
          <a:spLocks noChangeArrowheads="1"/>
        </xdr:cNvSpPr>
      </xdr:nvSpPr>
      <xdr:spPr bwMode="auto">
        <a:xfrm>
          <a:off x="6257925" y="23050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 รัตนบุรี</a:t>
          </a:r>
        </a:p>
      </xdr:txBody>
    </xdr:sp>
    <xdr:clientData/>
  </xdr:twoCellAnchor>
  <xdr:twoCellAnchor>
    <xdr:from>
      <xdr:col>8</xdr:col>
      <xdr:colOff>238125</xdr:colOff>
      <xdr:row>11</xdr:row>
      <xdr:rowOff>0</xdr:rowOff>
    </xdr:from>
    <xdr:to>
      <xdr:col>9</xdr:col>
      <xdr:colOff>323850</xdr:colOff>
      <xdr:row>11</xdr:row>
      <xdr:rowOff>0</xdr:rowOff>
    </xdr:to>
    <xdr:sp macro="" textlink="">
      <xdr:nvSpPr>
        <xdr:cNvPr id="54292" name="Text Box 20">
          <a:extLst>
            <a:ext uri="{FF2B5EF4-FFF2-40B4-BE49-F238E27FC236}">
              <a16:creationId xmlns:a16="http://schemas.microsoft.com/office/drawing/2014/main" id="{00000000-0008-0000-0900-000014D40000}"/>
            </a:ext>
          </a:extLst>
        </xdr:cNvPr>
        <xdr:cNvSpPr txBox="1">
          <a:spLocks noChangeArrowheads="1"/>
        </xdr:cNvSpPr>
      </xdr:nvSpPr>
      <xdr:spPr bwMode="auto">
        <a:xfrm>
          <a:off x="6153150" y="2305050"/>
          <a:ext cx="762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อ.ศีขรภูมิ</a:t>
          </a:r>
        </a:p>
      </xdr:txBody>
    </xdr:sp>
    <xdr:clientData/>
  </xdr:twoCellAnchor>
  <xdr:twoCellAnchor>
    <xdr:from>
      <xdr:col>5</xdr:col>
      <xdr:colOff>419100</xdr:colOff>
      <xdr:row>11</xdr:row>
      <xdr:rowOff>0</xdr:rowOff>
    </xdr:from>
    <xdr:to>
      <xdr:col>6</xdr:col>
      <xdr:colOff>276225</xdr:colOff>
      <xdr:row>11</xdr:row>
      <xdr:rowOff>0</xdr:rowOff>
    </xdr:to>
    <xdr:sp macro="" textlink="">
      <xdr:nvSpPr>
        <xdr:cNvPr id="54293" name="Text Box 21">
          <a:extLst>
            <a:ext uri="{FF2B5EF4-FFF2-40B4-BE49-F238E27FC236}">
              <a16:creationId xmlns:a16="http://schemas.microsoft.com/office/drawing/2014/main" id="{00000000-0008-0000-0900-000015D40000}"/>
            </a:ext>
          </a:extLst>
        </xdr:cNvPr>
        <xdr:cNvSpPr txBox="1">
          <a:spLocks noChangeArrowheads="1"/>
        </xdr:cNvSpPr>
      </xdr:nvSpPr>
      <xdr:spPr bwMode="auto">
        <a:xfrm>
          <a:off x="4133850" y="23050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อ.จอมพระ</a:t>
          </a:r>
        </a:p>
      </xdr:txBody>
    </xdr:sp>
    <xdr:clientData/>
  </xdr:twoCellAnchor>
  <xdr:twoCellAnchor>
    <xdr:from>
      <xdr:col>1</xdr:col>
      <xdr:colOff>114300</xdr:colOff>
      <xdr:row>11</xdr:row>
      <xdr:rowOff>0</xdr:rowOff>
    </xdr:from>
    <xdr:to>
      <xdr:col>2</xdr:col>
      <xdr:colOff>209550</xdr:colOff>
      <xdr:row>11</xdr:row>
      <xdr:rowOff>0</xdr:rowOff>
    </xdr:to>
    <xdr:sp macro="" textlink="">
      <xdr:nvSpPr>
        <xdr:cNvPr id="54294" name="Text Box 22">
          <a:extLst>
            <a:ext uri="{FF2B5EF4-FFF2-40B4-BE49-F238E27FC236}">
              <a16:creationId xmlns:a16="http://schemas.microsoft.com/office/drawing/2014/main" id="{00000000-0008-0000-0900-000016D40000}"/>
            </a:ext>
          </a:extLst>
        </xdr:cNvPr>
        <xdr:cNvSpPr txBox="1">
          <a:spLocks noChangeArrowheads="1"/>
        </xdr:cNvSpPr>
      </xdr:nvSpPr>
      <xdr:spPr bwMode="auto">
        <a:xfrm>
          <a:off x="552450" y="230505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อ.สตึก</a:t>
          </a:r>
        </a:p>
      </xdr:txBody>
    </xdr:sp>
    <xdr:clientData/>
  </xdr:twoCellAnchor>
  <xdr:twoCellAnchor>
    <xdr:from>
      <xdr:col>5</xdr:col>
      <xdr:colOff>38100</xdr:colOff>
      <xdr:row>11</xdr:row>
      <xdr:rowOff>0</xdr:rowOff>
    </xdr:from>
    <xdr:to>
      <xdr:col>5</xdr:col>
      <xdr:colOff>38100</xdr:colOff>
      <xdr:row>11</xdr:row>
      <xdr:rowOff>0</xdr:rowOff>
    </xdr:to>
    <xdr:cxnSp macro="">
      <xdr:nvCxnSpPr>
        <xdr:cNvPr id="75818" name="AutoShape 23">
          <a:extLst>
            <a:ext uri="{FF2B5EF4-FFF2-40B4-BE49-F238E27FC236}">
              <a16:creationId xmlns:a16="http://schemas.microsoft.com/office/drawing/2014/main" id="{00000000-0008-0000-0900-00002A280100}"/>
            </a:ext>
          </a:extLst>
        </xdr:cNvPr>
        <xdr:cNvCxnSpPr>
          <a:cxnSpLocks noChangeShapeType="1"/>
        </xdr:cNvCxnSpPr>
      </xdr:nvCxnSpPr>
      <xdr:spPr bwMode="auto">
        <a:xfrm flipV="1">
          <a:off x="3752850" y="287655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5</xdr:col>
      <xdr:colOff>676275</xdr:colOff>
      <xdr:row>11</xdr:row>
      <xdr:rowOff>0</xdr:rowOff>
    </xdr:from>
    <xdr:to>
      <xdr:col>6</xdr:col>
      <xdr:colOff>542925</xdr:colOff>
      <xdr:row>11</xdr:row>
      <xdr:rowOff>0</xdr:rowOff>
    </xdr:to>
    <xdr:sp macro="" textlink="">
      <xdr:nvSpPr>
        <xdr:cNvPr id="75819" name="Text Box 24">
          <a:extLst>
            <a:ext uri="{FF2B5EF4-FFF2-40B4-BE49-F238E27FC236}">
              <a16:creationId xmlns:a16="http://schemas.microsoft.com/office/drawing/2014/main" id="{00000000-0008-0000-0900-00002B280100}"/>
            </a:ext>
          </a:extLst>
        </xdr:cNvPr>
        <xdr:cNvSpPr txBox="1">
          <a:spLocks noChangeArrowheads="1"/>
        </xdr:cNvSpPr>
      </xdr:nvSpPr>
      <xdr:spPr bwMode="auto">
        <a:xfrm>
          <a:off x="4391025" y="2876550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11</xdr:row>
      <xdr:rowOff>0</xdr:rowOff>
    </xdr:from>
    <xdr:to>
      <xdr:col>1</xdr:col>
      <xdr:colOff>390525</xdr:colOff>
      <xdr:row>11</xdr:row>
      <xdr:rowOff>0</xdr:rowOff>
    </xdr:to>
    <xdr:cxnSp macro="">
      <xdr:nvCxnSpPr>
        <xdr:cNvPr id="75820" name="AutoShape 25">
          <a:extLst>
            <a:ext uri="{FF2B5EF4-FFF2-40B4-BE49-F238E27FC236}">
              <a16:creationId xmlns:a16="http://schemas.microsoft.com/office/drawing/2014/main" id="{00000000-0008-0000-0900-00002C280100}"/>
            </a:ext>
          </a:extLst>
        </xdr:cNvPr>
        <xdr:cNvCxnSpPr>
          <a:cxnSpLocks noChangeShapeType="1"/>
        </xdr:cNvCxnSpPr>
      </xdr:nvCxnSpPr>
      <xdr:spPr bwMode="auto">
        <a:xfrm flipV="1">
          <a:off x="828675" y="287655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</xdr:col>
      <xdr:colOff>476250</xdr:colOff>
      <xdr:row>11</xdr:row>
      <xdr:rowOff>0</xdr:rowOff>
    </xdr:from>
    <xdr:to>
      <xdr:col>3</xdr:col>
      <xdr:colOff>190500</xdr:colOff>
      <xdr:row>11</xdr:row>
      <xdr:rowOff>0</xdr:rowOff>
    </xdr:to>
    <xdr:sp macro="" textlink="">
      <xdr:nvSpPr>
        <xdr:cNvPr id="54298" name="Text Box 26">
          <a:extLst>
            <a:ext uri="{FF2B5EF4-FFF2-40B4-BE49-F238E27FC236}">
              <a16:creationId xmlns:a16="http://schemas.microsoft.com/office/drawing/2014/main" id="{00000000-0008-0000-0900-00001AD40000}"/>
            </a:ext>
          </a:extLst>
        </xdr:cNvPr>
        <xdr:cNvSpPr txBox="1">
          <a:spLocks noChangeArrowheads="1"/>
        </xdr:cNvSpPr>
      </xdr:nvSpPr>
      <xdr:spPr bwMode="auto">
        <a:xfrm>
          <a:off x="914400" y="2305050"/>
          <a:ext cx="1219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  </a:t>
          </a:r>
        </a:p>
      </xdr:txBody>
    </xdr:sp>
    <xdr:clientData/>
  </xdr:twoCellAnchor>
  <xdr:twoCellAnchor>
    <xdr:from>
      <xdr:col>1</xdr:col>
      <xdr:colOff>371475</xdr:colOff>
      <xdr:row>11</xdr:row>
      <xdr:rowOff>0</xdr:rowOff>
    </xdr:from>
    <xdr:to>
      <xdr:col>3</xdr:col>
      <xdr:colOff>28575</xdr:colOff>
      <xdr:row>11</xdr:row>
      <xdr:rowOff>0</xdr:rowOff>
    </xdr:to>
    <xdr:sp macro="" textlink="">
      <xdr:nvSpPr>
        <xdr:cNvPr id="54299" name="Text Box 27">
          <a:extLst>
            <a:ext uri="{FF2B5EF4-FFF2-40B4-BE49-F238E27FC236}">
              <a16:creationId xmlns:a16="http://schemas.microsoft.com/office/drawing/2014/main" id="{00000000-0008-0000-0900-00001BD40000}"/>
            </a:ext>
          </a:extLst>
        </xdr:cNvPr>
        <xdr:cNvSpPr txBox="1">
          <a:spLocks noChangeArrowheads="1"/>
        </xdr:cNvSpPr>
      </xdr:nvSpPr>
      <xdr:spPr bwMode="auto">
        <a:xfrm>
          <a:off x="809625" y="2305050"/>
          <a:ext cx="1162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อ.เมือง จ.บุรีรัมย์</a:t>
          </a:r>
        </a:p>
      </xdr:txBody>
    </xdr:sp>
    <xdr:clientData/>
  </xdr:twoCellAnchor>
  <xdr:twoCellAnchor>
    <xdr:from>
      <xdr:col>1</xdr:col>
      <xdr:colOff>419100</xdr:colOff>
      <xdr:row>34</xdr:row>
      <xdr:rowOff>95250</xdr:rowOff>
    </xdr:from>
    <xdr:to>
      <xdr:col>2</xdr:col>
      <xdr:colOff>142875</xdr:colOff>
      <xdr:row>35</xdr:row>
      <xdr:rowOff>57150</xdr:rowOff>
    </xdr:to>
    <xdr:sp macro="" textlink="">
      <xdr:nvSpPr>
        <xdr:cNvPr id="75823" name="AutoShape 28">
          <a:extLst>
            <a:ext uri="{FF2B5EF4-FFF2-40B4-BE49-F238E27FC236}">
              <a16:creationId xmlns:a16="http://schemas.microsoft.com/office/drawing/2014/main" id="{00000000-0008-0000-0900-00002F280100}"/>
            </a:ext>
          </a:extLst>
        </xdr:cNvPr>
        <xdr:cNvSpPr>
          <a:spLocks noChangeArrowheads="1"/>
        </xdr:cNvSpPr>
      </xdr:nvSpPr>
      <xdr:spPr bwMode="auto">
        <a:xfrm>
          <a:off x="857250" y="8010525"/>
          <a:ext cx="266700" cy="180975"/>
        </a:xfrm>
        <a:prstGeom prst="flowChartProcess">
          <a:avLst/>
        </a:prstGeom>
        <a:solidFill>
          <a:srgbClr val="3366FF"/>
        </a:solidFill>
        <a:ln w="381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161925</xdr:colOff>
      <xdr:row>34</xdr:row>
      <xdr:rowOff>95250</xdr:rowOff>
    </xdr:from>
    <xdr:to>
      <xdr:col>2</xdr:col>
      <xdr:colOff>790575</xdr:colOff>
      <xdr:row>35</xdr:row>
      <xdr:rowOff>142875</xdr:rowOff>
    </xdr:to>
    <xdr:sp macro="" textlink="">
      <xdr:nvSpPr>
        <xdr:cNvPr id="54301" name="Text Box 29">
          <a:extLst>
            <a:ext uri="{FF2B5EF4-FFF2-40B4-BE49-F238E27FC236}">
              <a16:creationId xmlns:a16="http://schemas.microsoft.com/office/drawing/2014/main" id="{00000000-0008-0000-0900-00001DD40000}"/>
            </a:ext>
          </a:extLst>
        </xdr:cNvPr>
        <xdr:cNvSpPr txBox="1">
          <a:spLocks noChangeArrowheads="1"/>
        </xdr:cNvSpPr>
      </xdr:nvSpPr>
      <xdr:spPr bwMode="auto">
        <a:xfrm>
          <a:off x="1143000" y="8296275"/>
          <a:ext cx="6286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โรงโม่หิน</a:t>
          </a:r>
        </a:p>
      </xdr:txBody>
    </xdr:sp>
    <xdr:clientData/>
  </xdr:twoCellAnchor>
  <xdr:twoCellAnchor>
    <xdr:from>
      <xdr:col>10</xdr:col>
      <xdr:colOff>161925</xdr:colOff>
      <xdr:row>22</xdr:row>
      <xdr:rowOff>161925</xdr:rowOff>
    </xdr:from>
    <xdr:to>
      <xdr:col>10</xdr:col>
      <xdr:colOff>352425</xdr:colOff>
      <xdr:row>23</xdr:row>
      <xdr:rowOff>171450</xdr:rowOff>
    </xdr:to>
    <xdr:sp macro="" textlink="">
      <xdr:nvSpPr>
        <xdr:cNvPr id="75825" name="AutoShape 30">
          <a:extLst>
            <a:ext uri="{FF2B5EF4-FFF2-40B4-BE49-F238E27FC236}">
              <a16:creationId xmlns:a16="http://schemas.microsoft.com/office/drawing/2014/main" id="{00000000-0008-0000-0900-000031280100}"/>
            </a:ext>
          </a:extLst>
        </xdr:cNvPr>
        <xdr:cNvSpPr>
          <a:spLocks noChangeArrowheads="1"/>
        </xdr:cNvSpPr>
      </xdr:nvSpPr>
      <xdr:spPr bwMode="auto">
        <a:xfrm>
          <a:off x="7429500" y="5448300"/>
          <a:ext cx="190500" cy="228600"/>
        </a:xfrm>
        <a:prstGeom prst="flowChartCollate">
          <a:avLst/>
        </a:prstGeom>
        <a:solidFill>
          <a:srgbClr val="FF9900"/>
        </a:solidFill>
        <a:ln w="38100">
          <a:solidFill>
            <a:srgbClr val="FF6600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485775</xdr:colOff>
      <xdr:row>24</xdr:row>
      <xdr:rowOff>0</xdr:rowOff>
    </xdr:from>
    <xdr:to>
      <xdr:col>10</xdr:col>
      <xdr:colOff>466725</xdr:colOff>
      <xdr:row>25</xdr:row>
      <xdr:rowOff>142875</xdr:rowOff>
    </xdr:to>
    <xdr:sp macro="" textlink="">
      <xdr:nvSpPr>
        <xdr:cNvPr id="54303" name="Text Box 31">
          <a:extLst>
            <a:ext uri="{FF2B5EF4-FFF2-40B4-BE49-F238E27FC236}">
              <a16:creationId xmlns:a16="http://schemas.microsoft.com/office/drawing/2014/main" id="{00000000-0008-0000-0900-00001FD40000}"/>
            </a:ext>
          </a:extLst>
        </xdr:cNvPr>
        <xdr:cNvSpPr txBox="1">
          <a:spLocks noChangeArrowheads="1"/>
        </xdr:cNvSpPr>
      </xdr:nvSpPr>
      <xdr:spPr bwMode="auto">
        <a:xfrm>
          <a:off x="7077075" y="5153025"/>
          <a:ext cx="6572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0">
            <a:defRPr sz="1000"/>
          </a:pPr>
          <a:r>
            <a:rPr lang="th-TH" sz="1400" b="0" i="0" u="none" strike="noStrike" baseline="0">
              <a:solidFill>
                <a:srgbClr val="0000FF"/>
              </a:solidFill>
              <a:latin typeface="Cordia New"/>
              <a:cs typeface="Cordia New"/>
            </a:rPr>
            <a:t>แหล่งทราย</a:t>
          </a:r>
        </a:p>
      </xdr:txBody>
    </xdr:sp>
    <xdr:clientData/>
  </xdr:twoCellAnchor>
  <xdr:twoCellAnchor>
    <xdr:from>
      <xdr:col>3</xdr:col>
      <xdr:colOff>133350</xdr:colOff>
      <xdr:row>41</xdr:row>
      <xdr:rowOff>171450</xdr:rowOff>
    </xdr:from>
    <xdr:to>
      <xdr:col>3</xdr:col>
      <xdr:colOff>390525</xdr:colOff>
      <xdr:row>43</xdr:row>
      <xdr:rowOff>66675</xdr:rowOff>
    </xdr:to>
    <xdr:sp macro="" textlink="">
      <xdr:nvSpPr>
        <xdr:cNvPr id="54305" name="AutoShape 33">
          <a:extLst>
            <a:ext uri="{FF2B5EF4-FFF2-40B4-BE49-F238E27FC236}">
              <a16:creationId xmlns:a16="http://schemas.microsoft.com/office/drawing/2014/main" id="{00000000-0008-0000-0900-000021D40000}"/>
            </a:ext>
          </a:extLst>
        </xdr:cNvPr>
        <xdr:cNvSpPr>
          <a:spLocks noChangeArrowheads="1"/>
        </xdr:cNvSpPr>
      </xdr:nvSpPr>
      <xdr:spPr bwMode="auto">
        <a:xfrm>
          <a:off x="2076450" y="9906000"/>
          <a:ext cx="257175" cy="323850"/>
        </a:xfrm>
        <a:prstGeom prst="star5">
          <a:avLst/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>
    <xdr:from>
      <xdr:col>8</xdr:col>
      <xdr:colOff>57150</xdr:colOff>
      <xdr:row>12</xdr:row>
      <xdr:rowOff>9525</xdr:rowOff>
    </xdr:from>
    <xdr:to>
      <xdr:col>8</xdr:col>
      <xdr:colOff>200025</xdr:colOff>
      <xdr:row>12</xdr:row>
      <xdr:rowOff>190500</xdr:rowOff>
    </xdr:to>
    <xdr:sp macro="" textlink="">
      <xdr:nvSpPr>
        <xdr:cNvPr id="75828" name="Rectangle 34">
          <a:extLst>
            <a:ext uri="{FF2B5EF4-FFF2-40B4-BE49-F238E27FC236}">
              <a16:creationId xmlns:a16="http://schemas.microsoft.com/office/drawing/2014/main" id="{00000000-0008-0000-0900-000034280100}"/>
            </a:ext>
          </a:extLst>
        </xdr:cNvPr>
        <xdr:cNvSpPr>
          <a:spLocks noChangeArrowheads="1"/>
        </xdr:cNvSpPr>
      </xdr:nvSpPr>
      <xdr:spPr bwMode="auto">
        <a:xfrm>
          <a:off x="5972175" y="3105150"/>
          <a:ext cx="142875" cy="180975"/>
        </a:xfrm>
        <a:prstGeom prst="rect">
          <a:avLst/>
        </a:prstGeom>
        <a:solidFill>
          <a:srgbClr val="FF99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257175</xdr:colOff>
      <xdr:row>11</xdr:row>
      <xdr:rowOff>114300</xdr:rowOff>
    </xdr:from>
    <xdr:to>
      <xdr:col>9</xdr:col>
      <xdr:colOff>295275</xdr:colOff>
      <xdr:row>12</xdr:row>
      <xdr:rowOff>180975</xdr:rowOff>
    </xdr:to>
    <xdr:sp macro="" textlink="">
      <xdr:nvSpPr>
        <xdr:cNvPr id="54307" name="Text Box 35">
          <a:extLst>
            <a:ext uri="{FF2B5EF4-FFF2-40B4-BE49-F238E27FC236}">
              <a16:creationId xmlns:a16="http://schemas.microsoft.com/office/drawing/2014/main" id="{00000000-0008-0000-0900-000023D40000}"/>
            </a:ext>
          </a:extLst>
        </xdr:cNvPr>
        <xdr:cNvSpPr txBox="1">
          <a:spLocks noChangeArrowheads="1"/>
        </xdr:cNvSpPr>
      </xdr:nvSpPr>
      <xdr:spPr bwMode="auto">
        <a:xfrm>
          <a:off x="6172200" y="2419350"/>
          <a:ext cx="7143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Cordia New"/>
              <a:cs typeface="Cordia New"/>
            </a:rPr>
            <a:t>แหล่งลูกรัง </a:t>
          </a:r>
        </a:p>
      </xdr:txBody>
    </xdr:sp>
    <xdr:clientData/>
  </xdr:twoCellAnchor>
  <xdr:twoCellAnchor>
    <xdr:from>
      <xdr:col>4</xdr:col>
      <xdr:colOff>257175</xdr:colOff>
      <xdr:row>18</xdr:row>
      <xdr:rowOff>38100</xdr:rowOff>
    </xdr:from>
    <xdr:to>
      <xdr:col>4</xdr:col>
      <xdr:colOff>342900</xdr:colOff>
      <xdr:row>18</xdr:row>
      <xdr:rowOff>123825</xdr:rowOff>
    </xdr:to>
    <xdr:sp macro="" textlink="">
      <xdr:nvSpPr>
        <xdr:cNvPr id="75830" name="AutoShape 36">
          <a:extLst>
            <a:ext uri="{FF2B5EF4-FFF2-40B4-BE49-F238E27FC236}">
              <a16:creationId xmlns:a16="http://schemas.microsoft.com/office/drawing/2014/main" id="{00000000-0008-0000-0900-000036280100}"/>
            </a:ext>
          </a:extLst>
        </xdr:cNvPr>
        <xdr:cNvSpPr>
          <a:spLocks noChangeArrowheads="1"/>
        </xdr:cNvSpPr>
      </xdr:nvSpPr>
      <xdr:spPr bwMode="auto">
        <a:xfrm>
          <a:off x="3124200" y="444817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85725</xdr:colOff>
      <xdr:row>43</xdr:row>
      <xdr:rowOff>28575</xdr:rowOff>
    </xdr:from>
    <xdr:to>
      <xdr:col>4</xdr:col>
      <xdr:colOff>323850</xdr:colOff>
      <xdr:row>44</xdr:row>
      <xdr:rowOff>123825</xdr:rowOff>
    </xdr:to>
    <xdr:sp macro="" textlink="">
      <xdr:nvSpPr>
        <xdr:cNvPr id="54309" name="Text Box 37">
          <a:extLst>
            <a:ext uri="{FF2B5EF4-FFF2-40B4-BE49-F238E27FC236}">
              <a16:creationId xmlns:a16="http://schemas.microsoft.com/office/drawing/2014/main" id="{00000000-0008-0000-0900-000025D40000}"/>
            </a:ext>
          </a:extLst>
        </xdr:cNvPr>
        <xdr:cNvSpPr txBox="1">
          <a:spLocks noChangeArrowheads="1"/>
        </xdr:cNvSpPr>
      </xdr:nvSpPr>
      <xdr:spPr bwMode="auto">
        <a:xfrm>
          <a:off x="2028825" y="10191750"/>
          <a:ext cx="11620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อ.ศรีราชา จ.ชลบุรี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2</xdr:col>
      <xdr:colOff>647700</xdr:colOff>
      <xdr:row>8</xdr:row>
      <xdr:rowOff>200025</xdr:rowOff>
    </xdr:from>
    <xdr:to>
      <xdr:col>2</xdr:col>
      <xdr:colOff>733425</xdr:colOff>
      <xdr:row>9</xdr:row>
      <xdr:rowOff>66675</xdr:rowOff>
    </xdr:to>
    <xdr:sp macro="" textlink="">
      <xdr:nvSpPr>
        <xdr:cNvPr id="75834" name="AutoShape 40">
          <a:extLst>
            <a:ext uri="{FF2B5EF4-FFF2-40B4-BE49-F238E27FC236}">
              <a16:creationId xmlns:a16="http://schemas.microsoft.com/office/drawing/2014/main" id="{00000000-0008-0000-0900-00003A280100}"/>
            </a:ext>
          </a:extLst>
        </xdr:cNvPr>
        <xdr:cNvSpPr>
          <a:spLocks noChangeArrowheads="1"/>
        </xdr:cNvSpPr>
      </xdr:nvSpPr>
      <xdr:spPr bwMode="auto">
        <a:xfrm>
          <a:off x="1628775" y="241935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619125</xdr:colOff>
      <xdr:row>12</xdr:row>
      <xdr:rowOff>28575</xdr:rowOff>
    </xdr:from>
    <xdr:to>
      <xdr:col>4</xdr:col>
      <xdr:colOff>704850</xdr:colOff>
      <xdr:row>12</xdr:row>
      <xdr:rowOff>114300</xdr:rowOff>
    </xdr:to>
    <xdr:sp macro="" textlink="">
      <xdr:nvSpPr>
        <xdr:cNvPr id="75835" name="AutoShape 41">
          <a:extLst>
            <a:ext uri="{FF2B5EF4-FFF2-40B4-BE49-F238E27FC236}">
              <a16:creationId xmlns:a16="http://schemas.microsoft.com/office/drawing/2014/main" id="{00000000-0008-0000-0900-00003B280100}"/>
            </a:ext>
          </a:extLst>
        </xdr:cNvPr>
        <xdr:cNvSpPr>
          <a:spLocks noChangeArrowheads="1"/>
        </xdr:cNvSpPr>
      </xdr:nvSpPr>
      <xdr:spPr bwMode="auto">
        <a:xfrm>
          <a:off x="3486150" y="312420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428625</xdr:colOff>
      <xdr:row>15</xdr:row>
      <xdr:rowOff>114300</xdr:rowOff>
    </xdr:from>
    <xdr:to>
      <xdr:col>5</xdr:col>
      <xdr:colOff>514350</xdr:colOff>
      <xdr:row>15</xdr:row>
      <xdr:rowOff>200025</xdr:rowOff>
    </xdr:to>
    <xdr:sp macro="" textlink="">
      <xdr:nvSpPr>
        <xdr:cNvPr id="75836" name="AutoShape 42">
          <a:extLst>
            <a:ext uri="{FF2B5EF4-FFF2-40B4-BE49-F238E27FC236}">
              <a16:creationId xmlns:a16="http://schemas.microsoft.com/office/drawing/2014/main" id="{00000000-0008-0000-0900-00003C280100}"/>
            </a:ext>
          </a:extLst>
        </xdr:cNvPr>
        <xdr:cNvSpPr>
          <a:spLocks noChangeArrowheads="1"/>
        </xdr:cNvSpPr>
      </xdr:nvSpPr>
      <xdr:spPr bwMode="auto">
        <a:xfrm>
          <a:off x="4143375" y="386715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57150</xdr:colOff>
      <xdr:row>14</xdr:row>
      <xdr:rowOff>152400</xdr:rowOff>
    </xdr:from>
    <xdr:to>
      <xdr:col>4</xdr:col>
      <xdr:colOff>142875</xdr:colOff>
      <xdr:row>15</xdr:row>
      <xdr:rowOff>28575</xdr:rowOff>
    </xdr:to>
    <xdr:sp macro="" textlink="">
      <xdr:nvSpPr>
        <xdr:cNvPr id="75837" name="AutoShape 43">
          <a:extLst>
            <a:ext uri="{FF2B5EF4-FFF2-40B4-BE49-F238E27FC236}">
              <a16:creationId xmlns:a16="http://schemas.microsoft.com/office/drawing/2014/main" id="{00000000-0008-0000-0900-00003D280100}"/>
            </a:ext>
          </a:extLst>
        </xdr:cNvPr>
        <xdr:cNvSpPr>
          <a:spLocks noChangeArrowheads="1"/>
        </xdr:cNvSpPr>
      </xdr:nvSpPr>
      <xdr:spPr bwMode="auto">
        <a:xfrm>
          <a:off x="2924175" y="3686175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276225</xdr:colOff>
      <xdr:row>20</xdr:row>
      <xdr:rowOff>142875</xdr:rowOff>
    </xdr:from>
    <xdr:to>
      <xdr:col>4</xdr:col>
      <xdr:colOff>361950</xdr:colOff>
      <xdr:row>21</xdr:row>
      <xdr:rowOff>19050</xdr:rowOff>
    </xdr:to>
    <xdr:sp macro="" textlink="">
      <xdr:nvSpPr>
        <xdr:cNvPr id="75838" name="AutoShape 44">
          <a:extLst>
            <a:ext uri="{FF2B5EF4-FFF2-40B4-BE49-F238E27FC236}">
              <a16:creationId xmlns:a16="http://schemas.microsoft.com/office/drawing/2014/main" id="{00000000-0008-0000-0900-00003E280100}"/>
            </a:ext>
          </a:extLst>
        </xdr:cNvPr>
        <xdr:cNvSpPr>
          <a:spLocks noChangeArrowheads="1"/>
        </xdr:cNvSpPr>
      </xdr:nvSpPr>
      <xdr:spPr bwMode="auto">
        <a:xfrm>
          <a:off x="3143250" y="4991100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523875</xdr:colOff>
      <xdr:row>26</xdr:row>
      <xdr:rowOff>190500</xdr:rowOff>
    </xdr:from>
    <xdr:to>
      <xdr:col>4</xdr:col>
      <xdr:colOff>609600</xdr:colOff>
      <xdr:row>27</xdr:row>
      <xdr:rowOff>66675</xdr:rowOff>
    </xdr:to>
    <xdr:sp macro="" textlink="">
      <xdr:nvSpPr>
        <xdr:cNvPr id="75839" name="AutoShape 45">
          <a:extLst>
            <a:ext uri="{FF2B5EF4-FFF2-40B4-BE49-F238E27FC236}">
              <a16:creationId xmlns:a16="http://schemas.microsoft.com/office/drawing/2014/main" id="{00000000-0008-0000-0900-00003F280100}"/>
            </a:ext>
          </a:extLst>
        </xdr:cNvPr>
        <xdr:cNvSpPr>
          <a:spLocks noChangeArrowheads="1"/>
        </xdr:cNvSpPr>
      </xdr:nvSpPr>
      <xdr:spPr bwMode="auto">
        <a:xfrm>
          <a:off x="3390900" y="6353175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400050</xdr:colOff>
      <xdr:row>31</xdr:row>
      <xdr:rowOff>171450</xdr:rowOff>
    </xdr:from>
    <xdr:to>
      <xdr:col>6</xdr:col>
      <xdr:colOff>600075</xdr:colOff>
      <xdr:row>32</xdr:row>
      <xdr:rowOff>142875</xdr:rowOff>
    </xdr:to>
    <xdr:sp macro="" textlink="">
      <xdr:nvSpPr>
        <xdr:cNvPr id="75840" name="AutoShape 46">
          <a:extLst>
            <a:ext uri="{FF2B5EF4-FFF2-40B4-BE49-F238E27FC236}">
              <a16:creationId xmlns:a16="http://schemas.microsoft.com/office/drawing/2014/main" id="{00000000-0008-0000-0900-000040280100}"/>
            </a:ext>
          </a:extLst>
        </xdr:cNvPr>
        <xdr:cNvSpPr>
          <a:spLocks noChangeArrowheads="1"/>
        </xdr:cNvSpPr>
      </xdr:nvSpPr>
      <xdr:spPr bwMode="auto">
        <a:xfrm>
          <a:off x="4962525" y="7429500"/>
          <a:ext cx="200025" cy="19050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647700</xdr:colOff>
      <xdr:row>31</xdr:row>
      <xdr:rowOff>171450</xdr:rowOff>
    </xdr:from>
    <xdr:to>
      <xdr:col>5</xdr:col>
      <xdr:colOff>733425</xdr:colOff>
      <xdr:row>32</xdr:row>
      <xdr:rowOff>47625</xdr:rowOff>
    </xdr:to>
    <xdr:sp macro="" textlink="">
      <xdr:nvSpPr>
        <xdr:cNvPr id="75841" name="AutoShape 47">
          <a:extLst>
            <a:ext uri="{FF2B5EF4-FFF2-40B4-BE49-F238E27FC236}">
              <a16:creationId xmlns:a16="http://schemas.microsoft.com/office/drawing/2014/main" id="{00000000-0008-0000-0900-000041280100}"/>
            </a:ext>
          </a:extLst>
        </xdr:cNvPr>
        <xdr:cNvSpPr>
          <a:spLocks noChangeArrowheads="1"/>
        </xdr:cNvSpPr>
      </xdr:nvSpPr>
      <xdr:spPr bwMode="auto">
        <a:xfrm>
          <a:off x="4362450" y="7429500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752475</xdr:colOff>
      <xdr:row>32</xdr:row>
      <xdr:rowOff>9525</xdr:rowOff>
    </xdr:from>
    <xdr:to>
      <xdr:col>6</xdr:col>
      <xdr:colOff>381000</xdr:colOff>
      <xdr:row>32</xdr:row>
      <xdr:rowOff>57150</xdr:rowOff>
    </xdr:to>
    <xdr:cxnSp macro="">
      <xdr:nvCxnSpPr>
        <xdr:cNvPr id="75842" name="AutoShape 48">
          <a:extLst>
            <a:ext uri="{FF2B5EF4-FFF2-40B4-BE49-F238E27FC236}">
              <a16:creationId xmlns:a16="http://schemas.microsoft.com/office/drawing/2014/main" id="{00000000-0008-0000-0900-000042280100}"/>
            </a:ext>
          </a:extLst>
        </xdr:cNvPr>
        <xdr:cNvCxnSpPr>
          <a:cxnSpLocks noChangeShapeType="1"/>
          <a:stCxn id="75840" idx="2"/>
          <a:endCxn id="75841" idx="6"/>
        </xdr:cNvCxnSpPr>
      </xdr:nvCxnSpPr>
      <xdr:spPr bwMode="auto">
        <a:xfrm flipH="1" flipV="1">
          <a:off x="4467225" y="7486650"/>
          <a:ext cx="476250" cy="476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190500</xdr:colOff>
      <xdr:row>31</xdr:row>
      <xdr:rowOff>190500</xdr:rowOff>
    </xdr:from>
    <xdr:to>
      <xdr:col>4</xdr:col>
      <xdr:colOff>276225</xdr:colOff>
      <xdr:row>32</xdr:row>
      <xdr:rowOff>66675</xdr:rowOff>
    </xdr:to>
    <xdr:sp macro="" textlink="">
      <xdr:nvSpPr>
        <xdr:cNvPr id="75843" name="AutoShape 49">
          <a:extLst>
            <a:ext uri="{FF2B5EF4-FFF2-40B4-BE49-F238E27FC236}">
              <a16:creationId xmlns:a16="http://schemas.microsoft.com/office/drawing/2014/main" id="{00000000-0008-0000-0900-000043280100}"/>
            </a:ext>
          </a:extLst>
        </xdr:cNvPr>
        <xdr:cNvSpPr>
          <a:spLocks noChangeArrowheads="1"/>
        </xdr:cNvSpPr>
      </xdr:nvSpPr>
      <xdr:spPr bwMode="auto">
        <a:xfrm>
          <a:off x="3057525" y="7448550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333375</xdr:colOff>
      <xdr:row>21</xdr:row>
      <xdr:rowOff>0</xdr:rowOff>
    </xdr:from>
    <xdr:to>
      <xdr:col>5</xdr:col>
      <xdr:colOff>419100</xdr:colOff>
      <xdr:row>21</xdr:row>
      <xdr:rowOff>85725</xdr:rowOff>
    </xdr:to>
    <xdr:sp macro="" textlink="">
      <xdr:nvSpPr>
        <xdr:cNvPr id="75844" name="AutoShape 50">
          <a:extLst>
            <a:ext uri="{FF2B5EF4-FFF2-40B4-BE49-F238E27FC236}">
              <a16:creationId xmlns:a16="http://schemas.microsoft.com/office/drawing/2014/main" id="{00000000-0008-0000-0900-000044280100}"/>
            </a:ext>
          </a:extLst>
        </xdr:cNvPr>
        <xdr:cNvSpPr>
          <a:spLocks noChangeArrowheads="1"/>
        </xdr:cNvSpPr>
      </xdr:nvSpPr>
      <xdr:spPr bwMode="auto">
        <a:xfrm>
          <a:off x="4048125" y="506730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295275</xdr:colOff>
      <xdr:row>32</xdr:row>
      <xdr:rowOff>9525</xdr:rowOff>
    </xdr:from>
    <xdr:to>
      <xdr:col>5</xdr:col>
      <xdr:colOff>628650</xdr:colOff>
      <xdr:row>32</xdr:row>
      <xdr:rowOff>28575</xdr:rowOff>
    </xdr:to>
    <xdr:cxnSp macro="">
      <xdr:nvCxnSpPr>
        <xdr:cNvPr id="75845" name="AutoShape 51">
          <a:extLst>
            <a:ext uri="{FF2B5EF4-FFF2-40B4-BE49-F238E27FC236}">
              <a16:creationId xmlns:a16="http://schemas.microsoft.com/office/drawing/2014/main" id="{00000000-0008-0000-0900-000045280100}"/>
            </a:ext>
          </a:extLst>
        </xdr:cNvPr>
        <xdr:cNvCxnSpPr>
          <a:cxnSpLocks noChangeShapeType="1"/>
          <a:stCxn id="75841" idx="2"/>
          <a:endCxn id="75843" idx="6"/>
        </xdr:cNvCxnSpPr>
      </xdr:nvCxnSpPr>
      <xdr:spPr bwMode="auto">
        <a:xfrm flipH="1">
          <a:off x="3162300" y="7486650"/>
          <a:ext cx="1181100" cy="190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285750</xdr:colOff>
      <xdr:row>21</xdr:row>
      <xdr:rowOff>28575</xdr:rowOff>
    </xdr:from>
    <xdr:to>
      <xdr:col>4</xdr:col>
      <xdr:colOff>571500</xdr:colOff>
      <xdr:row>26</xdr:row>
      <xdr:rowOff>171450</xdr:rowOff>
    </xdr:to>
    <xdr:cxnSp macro="">
      <xdr:nvCxnSpPr>
        <xdr:cNvPr id="75846" name="AutoShape 52">
          <a:extLst>
            <a:ext uri="{FF2B5EF4-FFF2-40B4-BE49-F238E27FC236}">
              <a16:creationId xmlns:a16="http://schemas.microsoft.com/office/drawing/2014/main" id="{00000000-0008-0000-0900-000046280100}"/>
            </a:ext>
          </a:extLst>
        </xdr:cNvPr>
        <xdr:cNvCxnSpPr>
          <a:cxnSpLocks noChangeShapeType="1"/>
          <a:stCxn id="75839" idx="0"/>
          <a:endCxn id="75838" idx="3"/>
        </xdr:cNvCxnSpPr>
      </xdr:nvCxnSpPr>
      <xdr:spPr bwMode="auto">
        <a:xfrm flipH="1" flipV="1">
          <a:off x="3152775" y="5095875"/>
          <a:ext cx="285750" cy="12382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600075</xdr:colOff>
      <xdr:row>21</xdr:row>
      <xdr:rowOff>47625</xdr:rowOff>
    </xdr:from>
    <xdr:to>
      <xdr:col>5</xdr:col>
      <xdr:colOff>314325</xdr:colOff>
      <xdr:row>26</xdr:row>
      <xdr:rowOff>180975</xdr:rowOff>
    </xdr:to>
    <xdr:cxnSp macro="">
      <xdr:nvCxnSpPr>
        <xdr:cNvPr id="75847" name="AutoShape 53">
          <a:extLst>
            <a:ext uri="{FF2B5EF4-FFF2-40B4-BE49-F238E27FC236}">
              <a16:creationId xmlns:a16="http://schemas.microsoft.com/office/drawing/2014/main" id="{00000000-0008-0000-0900-000047280100}"/>
            </a:ext>
          </a:extLst>
        </xdr:cNvPr>
        <xdr:cNvCxnSpPr>
          <a:cxnSpLocks noChangeShapeType="1"/>
          <a:stCxn id="75839" idx="7"/>
          <a:endCxn id="75844" idx="2"/>
        </xdr:cNvCxnSpPr>
      </xdr:nvCxnSpPr>
      <xdr:spPr bwMode="auto">
        <a:xfrm flipV="1">
          <a:off x="3467100" y="5114925"/>
          <a:ext cx="561975" cy="12287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381000</xdr:colOff>
      <xdr:row>20</xdr:row>
      <xdr:rowOff>190500</xdr:rowOff>
    </xdr:from>
    <xdr:to>
      <xdr:col>5</xdr:col>
      <xdr:colOff>342900</xdr:colOff>
      <xdr:row>20</xdr:row>
      <xdr:rowOff>200025</xdr:rowOff>
    </xdr:to>
    <xdr:cxnSp macro="">
      <xdr:nvCxnSpPr>
        <xdr:cNvPr id="75848" name="AutoShape 54">
          <a:extLst>
            <a:ext uri="{FF2B5EF4-FFF2-40B4-BE49-F238E27FC236}">
              <a16:creationId xmlns:a16="http://schemas.microsoft.com/office/drawing/2014/main" id="{00000000-0008-0000-0900-000048280100}"/>
            </a:ext>
          </a:extLst>
        </xdr:cNvPr>
        <xdr:cNvCxnSpPr>
          <a:cxnSpLocks noChangeShapeType="1"/>
          <a:stCxn id="75844" idx="1"/>
          <a:endCxn id="75838" idx="6"/>
        </xdr:cNvCxnSpPr>
      </xdr:nvCxnSpPr>
      <xdr:spPr bwMode="auto">
        <a:xfrm flipH="1" flipV="1">
          <a:off x="3248025" y="5038725"/>
          <a:ext cx="809625" cy="95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304800</xdr:colOff>
      <xdr:row>18</xdr:row>
      <xdr:rowOff>142875</xdr:rowOff>
    </xdr:from>
    <xdr:to>
      <xdr:col>4</xdr:col>
      <xdr:colOff>323850</xdr:colOff>
      <xdr:row>20</xdr:row>
      <xdr:rowOff>123825</xdr:rowOff>
    </xdr:to>
    <xdr:cxnSp macro="">
      <xdr:nvCxnSpPr>
        <xdr:cNvPr id="75849" name="AutoShape 55">
          <a:extLst>
            <a:ext uri="{FF2B5EF4-FFF2-40B4-BE49-F238E27FC236}">
              <a16:creationId xmlns:a16="http://schemas.microsoft.com/office/drawing/2014/main" id="{00000000-0008-0000-0900-000049280100}"/>
            </a:ext>
          </a:extLst>
        </xdr:cNvPr>
        <xdr:cNvCxnSpPr>
          <a:cxnSpLocks noChangeShapeType="1"/>
          <a:stCxn id="75838" idx="0"/>
          <a:endCxn id="75830" idx="4"/>
        </xdr:cNvCxnSpPr>
      </xdr:nvCxnSpPr>
      <xdr:spPr bwMode="auto">
        <a:xfrm flipH="1" flipV="1">
          <a:off x="3171825" y="4552950"/>
          <a:ext cx="19050" cy="4191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104775</xdr:colOff>
      <xdr:row>15</xdr:row>
      <xdr:rowOff>28575</xdr:rowOff>
    </xdr:from>
    <xdr:to>
      <xdr:col>4</xdr:col>
      <xdr:colOff>266700</xdr:colOff>
      <xdr:row>18</xdr:row>
      <xdr:rowOff>47625</xdr:rowOff>
    </xdr:to>
    <xdr:cxnSp macro="">
      <xdr:nvCxnSpPr>
        <xdr:cNvPr id="75850" name="AutoShape 56">
          <a:extLst>
            <a:ext uri="{FF2B5EF4-FFF2-40B4-BE49-F238E27FC236}">
              <a16:creationId xmlns:a16="http://schemas.microsoft.com/office/drawing/2014/main" id="{00000000-0008-0000-0900-00004A280100}"/>
            </a:ext>
          </a:extLst>
        </xdr:cNvPr>
        <xdr:cNvCxnSpPr>
          <a:cxnSpLocks noChangeShapeType="1"/>
          <a:stCxn id="75830" idx="1"/>
          <a:endCxn id="75837" idx="4"/>
        </xdr:cNvCxnSpPr>
      </xdr:nvCxnSpPr>
      <xdr:spPr bwMode="auto">
        <a:xfrm rot="16200000" flipV="1">
          <a:off x="2714625" y="4038600"/>
          <a:ext cx="676275" cy="1619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333375</xdr:colOff>
      <xdr:row>15</xdr:row>
      <xdr:rowOff>161925</xdr:rowOff>
    </xdr:from>
    <xdr:to>
      <xdr:col>5</xdr:col>
      <xdr:colOff>409575</xdr:colOff>
      <xdr:row>18</xdr:row>
      <xdr:rowOff>28575</xdr:rowOff>
    </xdr:to>
    <xdr:cxnSp macro="">
      <xdr:nvCxnSpPr>
        <xdr:cNvPr id="75851" name="AutoShape 57">
          <a:extLst>
            <a:ext uri="{FF2B5EF4-FFF2-40B4-BE49-F238E27FC236}">
              <a16:creationId xmlns:a16="http://schemas.microsoft.com/office/drawing/2014/main" id="{00000000-0008-0000-0900-00004B280100}"/>
            </a:ext>
          </a:extLst>
        </xdr:cNvPr>
        <xdr:cNvCxnSpPr>
          <a:cxnSpLocks noChangeShapeType="1"/>
          <a:stCxn id="75830" idx="7"/>
          <a:endCxn id="75836" idx="2"/>
        </xdr:cNvCxnSpPr>
      </xdr:nvCxnSpPr>
      <xdr:spPr bwMode="auto">
        <a:xfrm flipV="1">
          <a:off x="3200400" y="3914775"/>
          <a:ext cx="923925" cy="5238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133350</xdr:colOff>
      <xdr:row>12</xdr:row>
      <xdr:rowOff>104775</xdr:rowOff>
    </xdr:from>
    <xdr:to>
      <xdr:col>4</xdr:col>
      <xdr:colOff>628650</xdr:colOff>
      <xdr:row>14</xdr:row>
      <xdr:rowOff>161925</xdr:rowOff>
    </xdr:to>
    <xdr:cxnSp macro="">
      <xdr:nvCxnSpPr>
        <xdr:cNvPr id="75852" name="AutoShape 58">
          <a:extLst>
            <a:ext uri="{FF2B5EF4-FFF2-40B4-BE49-F238E27FC236}">
              <a16:creationId xmlns:a16="http://schemas.microsoft.com/office/drawing/2014/main" id="{00000000-0008-0000-0900-00004C280100}"/>
            </a:ext>
          </a:extLst>
        </xdr:cNvPr>
        <xdr:cNvCxnSpPr>
          <a:cxnSpLocks noChangeShapeType="1"/>
          <a:stCxn id="75837" idx="7"/>
          <a:endCxn id="75835" idx="3"/>
        </xdr:cNvCxnSpPr>
      </xdr:nvCxnSpPr>
      <xdr:spPr bwMode="auto">
        <a:xfrm rot="5400000" flipH="1" flipV="1">
          <a:off x="3000375" y="3200400"/>
          <a:ext cx="495300" cy="4953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628650</xdr:colOff>
      <xdr:row>12</xdr:row>
      <xdr:rowOff>104775</xdr:rowOff>
    </xdr:from>
    <xdr:to>
      <xdr:col>5</xdr:col>
      <xdr:colOff>476250</xdr:colOff>
      <xdr:row>15</xdr:row>
      <xdr:rowOff>114300</xdr:rowOff>
    </xdr:to>
    <xdr:cxnSp macro="">
      <xdr:nvCxnSpPr>
        <xdr:cNvPr id="75853" name="AutoShape 59">
          <a:extLst>
            <a:ext uri="{FF2B5EF4-FFF2-40B4-BE49-F238E27FC236}">
              <a16:creationId xmlns:a16="http://schemas.microsoft.com/office/drawing/2014/main" id="{00000000-0008-0000-0900-00004D280100}"/>
            </a:ext>
          </a:extLst>
        </xdr:cNvPr>
        <xdr:cNvCxnSpPr>
          <a:cxnSpLocks noChangeShapeType="1"/>
          <a:stCxn id="75836" idx="0"/>
          <a:endCxn id="75835" idx="3"/>
        </xdr:cNvCxnSpPr>
      </xdr:nvCxnSpPr>
      <xdr:spPr bwMode="auto">
        <a:xfrm rot="16200000" flipV="1">
          <a:off x="3509963" y="3186112"/>
          <a:ext cx="666750" cy="6953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733425</xdr:colOff>
      <xdr:row>9</xdr:row>
      <xdr:rowOff>28575</xdr:rowOff>
    </xdr:from>
    <xdr:to>
      <xdr:col>4</xdr:col>
      <xdr:colOff>619125</xdr:colOff>
      <xdr:row>12</xdr:row>
      <xdr:rowOff>76200</xdr:rowOff>
    </xdr:to>
    <xdr:cxnSp macro="">
      <xdr:nvCxnSpPr>
        <xdr:cNvPr id="75854" name="AutoShape 60">
          <a:extLst>
            <a:ext uri="{FF2B5EF4-FFF2-40B4-BE49-F238E27FC236}">
              <a16:creationId xmlns:a16="http://schemas.microsoft.com/office/drawing/2014/main" id="{00000000-0008-0000-0900-00004E280100}"/>
            </a:ext>
          </a:extLst>
        </xdr:cNvPr>
        <xdr:cNvCxnSpPr>
          <a:cxnSpLocks noChangeShapeType="1"/>
          <a:stCxn id="75835" idx="2"/>
          <a:endCxn id="75834" idx="6"/>
        </xdr:cNvCxnSpPr>
      </xdr:nvCxnSpPr>
      <xdr:spPr bwMode="auto">
        <a:xfrm rot="10800000">
          <a:off x="1714500" y="2466975"/>
          <a:ext cx="1771650" cy="7048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838200</xdr:colOff>
      <xdr:row>21</xdr:row>
      <xdr:rowOff>200025</xdr:rowOff>
    </xdr:from>
    <xdr:to>
      <xdr:col>2</xdr:col>
      <xdr:colOff>923925</xdr:colOff>
      <xdr:row>22</xdr:row>
      <xdr:rowOff>76200</xdr:rowOff>
    </xdr:to>
    <xdr:sp macro="" textlink="">
      <xdr:nvSpPr>
        <xdr:cNvPr id="75855" name="AutoShape 61">
          <a:extLst>
            <a:ext uri="{FF2B5EF4-FFF2-40B4-BE49-F238E27FC236}">
              <a16:creationId xmlns:a16="http://schemas.microsoft.com/office/drawing/2014/main" id="{00000000-0008-0000-0900-00004F280100}"/>
            </a:ext>
          </a:extLst>
        </xdr:cNvPr>
        <xdr:cNvSpPr>
          <a:spLocks noChangeArrowheads="1"/>
        </xdr:cNvSpPr>
      </xdr:nvSpPr>
      <xdr:spPr bwMode="auto">
        <a:xfrm>
          <a:off x="1819275" y="5267325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581025</xdr:colOff>
      <xdr:row>23</xdr:row>
      <xdr:rowOff>200025</xdr:rowOff>
    </xdr:from>
    <xdr:to>
      <xdr:col>2</xdr:col>
      <xdr:colOff>666750</xdr:colOff>
      <xdr:row>24</xdr:row>
      <xdr:rowOff>76200</xdr:rowOff>
    </xdr:to>
    <xdr:sp macro="" textlink="">
      <xdr:nvSpPr>
        <xdr:cNvPr id="75856" name="AutoShape 62">
          <a:extLst>
            <a:ext uri="{FF2B5EF4-FFF2-40B4-BE49-F238E27FC236}">
              <a16:creationId xmlns:a16="http://schemas.microsoft.com/office/drawing/2014/main" id="{00000000-0008-0000-0900-000050280100}"/>
            </a:ext>
          </a:extLst>
        </xdr:cNvPr>
        <xdr:cNvSpPr>
          <a:spLocks noChangeArrowheads="1"/>
        </xdr:cNvSpPr>
      </xdr:nvSpPr>
      <xdr:spPr bwMode="auto">
        <a:xfrm>
          <a:off x="1562100" y="5705475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628650</xdr:colOff>
      <xdr:row>22</xdr:row>
      <xdr:rowOff>85725</xdr:rowOff>
    </xdr:from>
    <xdr:to>
      <xdr:col>2</xdr:col>
      <xdr:colOff>847725</xdr:colOff>
      <xdr:row>23</xdr:row>
      <xdr:rowOff>180975</xdr:rowOff>
    </xdr:to>
    <xdr:cxnSp macro="">
      <xdr:nvCxnSpPr>
        <xdr:cNvPr id="75857" name="AutoShape 63">
          <a:extLst>
            <a:ext uri="{FF2B5EF4-FFF2-40B4-BE49-F238E27FC236}">
              <a16:creationId xmlns:a16="http://schemas.microsoft.com/office/drawing/2014/main" id="{00000000-0008-0000-0900-000051280100}"/>
            </a:ext>
          </a:extLst>
        </xdr:cNvPr>
        <xdr:cNvCxnSpPr>
          <a:cxnSpLocks noChangeShapeType="1"/>
          <a:stCxn id="75855" idx="3"/>
          <a:endCxn id="75856" idx="0"/>
        </xdr:cNvCxnSpPr>
      </xdr:nvCxnSpPr>
      <xdr:spPr bwMode="auto">
        <a:xfrm flipH="1">
          <a:off x="1609725" y="5372100"/>
          <a:ext cx="219075" cy="3143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323850</xdr:colOff>
      <xdr:row>26</xdr:row>
      <xdr:rowOff>152400</xdr:rowOff>
    </xdr:from>
    <xdr:to>
      <xdr:col>2</xdr:col>
      <xdr:colOff>409575</xdr:colOff>
      <xdr:row>27</xdr:row>
      <xdr:rowOff>19050</xdr:rowOff>
    </xdr:to>
    <xdr:sp macro="" textlink="">
      <xdr:nvSpPr>
        <xdr:cNvPr id="75858" name="AutoShape 64">
          <a:extLst>
            <a:ext uri="{FF2B5EF4-FFF2-40B4-BE49-F238E27FC236}">
              <a16:creationId xmlns:a16="http://schemas.microsoft.com/office/drawing/2014/main" id="{00000000-0008-0000-0900-000052280100}"/>
            </a:ext>
          </a:extLst>
        </xdr:cNvPr>
        <xdr:cNvSpPr>
          <a:spLocks noChangeArrowheads="1"/>
        </xdr:cNvSpPr>
      </xdr:nvSpPr>
      <xdr:spPr bwMode="auto">
        <a:xfrm>
          <a:off x="1304925" y="631507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371475</xdr:colOff>
      <xdr:row>24</xdr:row>
      <xdr:rowOff>66675</xdr:rowOff>
    </xdr:from>
    <xdr:to>
      <xdr:col>2</xdr:col>
      <xdr:colOff>590550</xdr:colOff>
      <xdr:row>26</xdr:row>
      <xdr:rowOff>152400</xdr:rowOff>
    </xdr:to>
    <xdr:cxnSp macro="">
      <xdr:nvCxnSpPr>
        <xdr:cNvPr id="75859" name="AutoShape 65">
          <a:extLst>
            <a:ext uri="{FF2B5EF4-FFF2-40B4-BE49-F238E27FC236}">
              <a16:creationId xmlns:a16="http://schemas.microsoft.com/office/drawing/2014/main" id="{00000000-0008-0000-0900-000053280100}"/>
            </a:ext>
          </a:extLst>
        </xdr:cNvPr>
        <xdr:cNvCxnSpPr>
          <a:cxnSpLocks noChangeShapeType="1"/>
          <a:stCxn id="75856" idx="3"/>
          <a:endCxn id="75858" idx="0"/>
        </xdr:cNvCxnSpPr>
      </xdr:nvCxnSpPr>
      <xdr:spPr bwMode="auto">
        <a:xfrm flipH="1">
          <a:off x="1352550" y="5791200"/>
          <a:ext cx="219075" cy="5238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228600</xdr:colOff>
      <xdr:row>31</xdr:row>
      <xdr:rowOff>171450</xdr:rowOff>
    </xdr:from>
    <xdr:to>
      <xdr:col>2</xdr:col>
      <xdr:colOff>314325</xdr:colOff>
      <xdr:row>32</xdr:row>
      <xdr:rowOff>47625</xdr:rowOff>
    </xdr:to>
    <xdr:sp macro="" textlink="">
      <xdr:nvSpPr>
        <xdr:cNvPr id="75860" name="AutoShape 66">
          <a:extLst>
            <a:ext uri="{FF2B5EF4-FFF2-40B4-BE49-F238E27FC236}">
              <a16:creationId xmlns:a16="http://schemas.microsoft.com/office/drawing/2014/main" id="{00000000-0008-0000-0900-000054280100}"/>
            </a:ext>
          </a:extLst>
        </xdr:cNvPr>
        <xdr:cNvSpPr>
          <a:spLocks noChangeArrowheads="1"/>
        </xdr:cNvSpPr>
      </xdr:nvSpPr>
      <xdr:spPr bwMode="auto">
        <a:xfrm>
          <a:off x="1209675" y="7429500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333375</xdr:colOff>
      <xdr:row>32</xdr:row>
      <xdr:rowOff>9525</xdr:rowOff>
    </xdr:from>
    <xdr:to>
      <xdr:col>4</xdr:col>
      <xdr:colOff>171450</xdr:colOff>
      <xdr:row>32</xdr:row>
      <xdr:rowOff>28575</xdr:rowOff>
    </xdr:to>
    <xdr:cxnSp macro="">
      <xdr:nvCxnSpPr>
        <xdr:cNvPr id="75862" name="AutoShape 68">
          <a:extLst>
            <a:ext uri="{FF2B5EF4-FFF2-40B4-BE49-F238E27FC236}">
              <a16:creationId xmlns:a16="http://schemas.microsoft.com/office/drawing/2014/main" id="{00000000-0008-0000-0900-000056280100}"/>
            </a:ext>
          </a:extLst>
        </xdr:cNvPr>
        <xdr:cNvCxnSpPr>
          <a:cxnSpLocks noChangeShapeType="1"/>
          <a:stCxn id="75843" idx="2"/>
          <a:endCxn id="75860" idx="6"/>
        </xdr:cNvCxnSpPr>
      </xdr:nvCxnSpPr>
      <xdr:spPr bwMode="auto">
        <a:xfrm flipH="1" flipV="1">
          <a:off x="1314450" y="7486650"/>
          <a:ext cx="1724025" cy="190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200025</xdr:colOff>
      <xdr:row>27</xdr:row>
      <xdr:rowOff>85725</xdr:rowOff>
    </xdr:from>
    <xdr:to>
      <xdr:col>4</xdr:col>
      <xdr:colOff>571500</xdr:colOff>
      <xdr:row>31</xdr:row>
      <xdr:rowOff>180975</xdr:rowOff>
    </xdr:to>
    <xdr:cxnSp macro="">
      <xdr:nvCxnSpPr>
        <xdr:cNvPr id="75863" name="AutoShape 69">
          <a:extLst>
            <a:ext uri="{FF2B5EF4-FFF2-40B4-BE49-F238E27FC236}">
              <a16:creationId xmlns:a16="http://schemas.microsoft.com/office/drawing/2014/main" id="{00000000-0008-0000-0900-000057280100}"/>
            </a:ext>
          </a:extLst>
        </xdr:cNvPr>
        <xdr:cNvCxnSpPr>
          <a:cxnSpLocks noChangeShapeType="1"/>
          <a:stCxn id="75839" idx="4"/>
          <a:endCxn id="75843" idx="1"/>
        </xdr:cNvCxnSpPr>
      </xdr:nvCxnSpPr>
      <xdr:spPr bwMode="auto">
        <a:xfrm flipH="1">
          <a:off x="3067050" y="6467475"/>
          <a:ext cx="371475" cy="9715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5</xdr:col>
      <xdr:colOff>542925</xdr:colOff>
      <xdr:row>30</xdr:row>
      <xdr:rowOff>85725</xdr:rowOff>
    </xdr:from>
    <xdr:to>
      <xdr:col>6</xdr:col>
      <xdr:colOff>495300</xdr:colOff>
      <xdr:row>31</xdr:row>
      <xdr:rowOff>133350</xdr:rowOff>
    </xdr:to>
    <xdr:sp macro="" textlink="">
      <xdr:nvSpPr>
        <xdr:cNvPr id="54342" name="Text Box 70">
          <a:extLst>
            <a:ext uri="{FF2B5EF4-FFF2-40B4-BE49-F238E27FC236}">
              <a16:creationId xmlns:a16="http://schemas.microsoft.com/office/drawing/2014/main" id="{00000000-0008-0000-0900-000046D40000}"/>
            </a:ext>
          </a:extLst>
        </xdr:cNvPr>
        <xdr:cNvSpPr txBox="1">
          <a:spLocks noChangeArrowheads="1"/>
        </xdr:cNvSpPr>
      </xdr:nvSpPr>
      <xdr:spPr bwMode="auto">
        <a:xfrm>
          <a:off x="4257675" y="655320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อ.ขามทะเลสอ 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4</xdr:col>
      <xdr:colOff>633655</xdr:colOff>
      <xdr:row>26</xdr:row>
      <xdr:rowOff>19050</xdr:rowOff>
    </xdr:from>
    <xdr:to>
      <xdr:col>5</xdr:col>
      <xdr:colOff>481255</xdr:colOff>
      <xdr:row>27</xdr:row>
      <xdr:rowOff>66675</xdr:rowOff>
    </xdr:to>
    <xdr:sp macro="" textlink="">
      <xdr:nvSpPr>
        <xdr:cNvPr id="54343" name="Text Box 71">
          <a:extLst>
            <a:ext uri="{FF2B5EF4-FFF2-40B4-BE49-F238E27FC236}">
              <a16:creationId xmlns:a16="http://schemas.microsoft.com/office/drawing/2014/main" id="{00000000-0008-0000-0900-000047D40000}"/>
            </a:ext>
          </a:extLst>
        </xdr:cNvPr>
        <xdr:cNvSpPr txBox="1">
          <a:spLocks noChangeArrowheads="1"/>
        </xdr:cNvSpPr>
      </xdr:nvSpPr>
      <xdr:spPr bwMode="auto">
        <a:xfrm>
          <a:off x="3491155" y="6145724"/>
          <a:ext cx="695164" cy="265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อ.ด่านขุนทด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2</xdr:col>
      <xdr:colOff>314325</xdr:colOff>
      <xdr:row>30</xdr:row>
      <xdr:rowOff>123825</xdr:rowOff>
    </xdr:from>
    <xdr:to>
      <xdr:col>3</xdr:col>
      <xdr:colOff>0</xdr:colOff>
      <xdr:row>31</xdr:row>
      <xdr:rowOff>171450</xdr:rowOff>
    </xdr:to>
    <xdr:sp macro="" textlink="">
      <xdr:nvSpPr>
        <xdr:cNvPr id="54344" name="Text Box 72">
          <a:extLst>
            <a:ext uri="{FF2B5EF4-FFF2-40B4-BE49-F238E27FC236}">
              <a16:creationId xmlns:a16="http://schemas.microsoft.com/office/drawing/2014/main" id="{00000000-0008-0000-0900-000048D40000}"/>
            </a:ext>
          </a:extLst>
        </xdr:cNvPr>
        <xdr:cNvSpPr txBox="1">
          <a:spLocks noChangeArrowheads="1"/>
        </xdr:cNvSpPr>
      </xdr:nvSpPr>
      <xdr:spPr bwMode="auto">
        <a:xfrm>
          <a:off x="1295400" y="7162800"/>
          <a:ext cx="647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อ.ปากช่อง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1</xdr:col>
      <xdr:colOff>523875</xdr:colOff>
      <xdr:row>23</xdr:row>
      <xdr:rowOff>104775</xdr:rowOff>
    </xdr:from>
    <xdr:to>
      <xdr:col>2</xdr:col>
      <xdr:colOff>619125</xdr:colOff>
      <xdr:row>24</xdr:row>
      <xdr:rowOff>152400</xdr:rowOff>
    </xdr:to>
    <xdr:sp macro="" textlink="">
      <xdr:nvSpPr>
        <xdr:cNvPr id="54345" name="Text Box 73">
          <a:extLst>
            <a:ext uri="{FF2B5EF4-FFF2-40B4-BE49-F238E27FC236}">
              <a16:creationId xmlns:a16="http://schemas.microsoft.com/office/drawing/2014/main" id="{00000000-0008-0000-0900-000049D40000}"/>
            </a:ext>
          </a:extLst>
        </xdr:cNvPr>
        <xdr:cNvSpPr txBox="1">
          <a:spLocks noChangeArrowheads="1"/>
        </xdr:cNvSpPr>
      </xdr:nvSpPr>
      <xdr:spPr bwMode="auto">
        <a:xfrm>
          <a:off x="962025" y="5038725"/>
          <a:ext cx="6381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อ.ลำสนธิ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2</xdr:col>
      <xdr:colOff>200025</xdr:colOff>
      <xdr:row>21</xdr:row>
      <xdr:rowOff>76200</xdr:rowOff>
    </xdr:from>
    <xdr:to>
      <xdr:col>2</xdr:col>
      <xdr:colOff>809625</xdr:colOff>
      <xdr:row>22</xdr:row>
      <xdr:rowOff>123825</xdr:rowOff>
    </xdr:to>
    <xdr:sp macro="" textlink="">
      <xdr:nvSpPr>
        <xdr:cNvPr id="54346" name="Text Box 74">
          <a:extLst>
            <a:ext uri="{FF2B5EF4-FFF2-40B4-BE49-F238E27FC236}">
              <a16:creationId xmlns:a16="http://schemas.microsoft.com/office/drawing/2014/main" id="{00000000-0008-0000-0900-00004AD40000}"/>
            </a:ext>
          </a:extLst>
        </xdr:cNvPr>
        <xdr:cNvSpPr txBox="1">
          <a:spLocks noChangeArrowheads="1"/>
        </xdr:cNvSpPr>
      </xdr:nvSpPr>
      <xdr:spPr bwMode="auto">
        <a:xfrm>
          <a:off x="1181100" y="4572000"/>
          <a:ext cx="609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อ.เทพสถิต 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5</xdr:col>
      <xdr:colOff>447675</xdr:colOff>
      <xdr:row>15</xdr:row>
      <xdr:rowOff>19050</xdr:rowOff>
    </xdr:from>
    <xdr:to>
      <xdr:col>6</xdr:col>
      <xdr:colOff>180975</xdr:colOff>
      <xdr:row>16</xdr:row>
      <xdr:rowOff>66675</xdr:rowOff>
    </xdr:to>
    <xdr:sp macro="" textlink="">
      <xdr:nvSpPr>
        <xdr:cNvPr id="54347" name="Text Box 75">
          <a:extLst>
            <a:ext uri="{FF2B5EF4-FFF2-40B4-BE49-F238E27FC236}">
              <a16:creationId xmlns:a16="http://schemas.microsoft.com/office/drawing/2014/main" id="{00000000-0008-0000-0900-00004BD40000}"/>
            </a:ext>
          </a:extLst>
        </xdr:cNvPr>
        <xdr:cNvSpPr txBox="1">
          <a:spLocks noChangeArrowheads="1"/>
        </xdr:cNvSpPr>
      </xdr:nvSpPr>
      <xdr:spPr bwMode="auto">
        <a:xfrm>
          <a:off x="4162425" y="3200400"/>
          <a:ext cx="581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อ.จัตุรัส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3</xdr:col>
      <xdr:colOff>904875</xdr:colOff>
      <xdr:row>32</xdr:row>
      <xdr:rowOff>95250</xdr:rowOff>
    </xdr:from>
    <xdr:to>
      <xdr:col>4</xdr:col>
      <xdr:colOff>495300</xdr:colOff>
      <xdr:row>33</xdr:row>
      <xdr:rowOff>152400</xdr:rowOff>
    </xdr:to>
    <xdr:sp macro="" textlink="">
      <xdr:nvSpPr>
        <xdr:cNvPr id="54348" name="Text Box 76">
          <a:extLst>
            <a:ext uri="{FF2B5EF4-FFF2-40B4-BE49-F238E27FC236}">
              <a16:creationId xmlns:a16="http://schemas.microsoft.com/office/drawing/2014/main" id="{00000000-0008-0000-0900-00004CD40000}"/>
            </a:ext>
          </a:extLst>
        </xdr:cNvPr>
        <xdr:cNvSpPr txBox="1">
          <a:spLocks noChangeArrowheads="1"/>
        </xdr:cNvSpPr>
      </xdr:nvSpPr>
      <xdr:spPr bwMode="auto">
        <a:xfrm>
          <a:off x="2847975" y="7000875"/>
          <a:ext cx="5143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อ.สีคิ้ว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5</xdr:col>
      <xdr:colOff>342900</xdr:colOff>
      <xdr:row>16</xdr:row>
      <xdr:rowOff>9525</xdr:rowOff>
    </xdr:from>
    <xdr:to>
      <xdr:col>5</xdr:col>
      <xdr:colOff>476250</xdr:colOff>
      <xdr:row>20</xdr:row>
      <xdr:rowOff>200025</xdr:rowOff>
    </xdr:to>
    <xdr:cxnSp macro="">
      <xdr:nvCxnSpPr>
        <xdr:cNvPr id="75871" name="AutoShape 77">
          <a:extLst>
            <a:ext uri="{FF2B5EF4-FFF2-40B4-BE49-F238E27FC236}">
              <a16:creationId xmlns:a16="http://schemas.microsoft.com/office/drawing/2014/main" id="{00000000-0008-0000-0900-00005F280100}"/>
            </a:ext>
          </a:extLst>
        </xdr:cNvPr>
        <xdr:cNvCxnSpPr>
          <a:cxnSpLocks noChangeShapeType="1"/>
          <a:stCxn id="75844" idx="1"/>
          <a:endCxn id="75836" idx="4"/>
        </xdr:cNvCxnSpPr>
      </xdr:nvCxnSpPr>
      <xdr:spPr bwMode="auto">
        <a:xfrm flipV="1">
          <a:off x="4057650" y="3981450"/>
          <a:ext cx="133350" cy="10668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66675</xdr:colOff>
      <xdr:row>10</xdr:row>
      <xdr:rowOff>114300</xdr:rowOff>
    </xdr:from>
    <xdr:to>
      <xdr:col>5</xdr:col>
      <xdr:colOff>238125</xdr:colOff>
      <xdr:row>11</xdr:row>
      <xdr:rowOff>142875</xdr:rowOff>
    </xdr:to>
    <xdr:sp macro="" textlink="">
      <xdr:nvSpPr>
        <xdr:cNvPr id="54350" name="Text Box 78">
          <a:extLst>
            <a:ext uri="{FF2B5EF4-FFF2-40B4-BE49-F238E27FC236}">
              <a16:creationId xmlns:a16="http://schemas.microsoft.com/office/drawing/2014/main" id="{00000000-0008-0000-0900-00004ED40000}"/>
            </a:ext>
          </a:extLst>
        </xdr:cNvPr>
        <xdr:cNvSpPr txBox="1">
          <a:spLocks noChangeArrowheads="1"/>
        </xdr:cNvSpPr>
      </xdr:nvSpPr>
      <xdr:spPr bwMode="auto">
        <a:xfrm>
          <a:off x="2933700" y="2771775"/>
          <a:ext cx="10191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อ.หนองบัวระเหว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3</xdr:col>
      <xdr:colOff>247650</xdr:colOff>
      <xdr:row>13</xdr:row>
      <xdr:rowOff>19050</xdr:rowOff>
    </xdr:from>
    <xdr:to>
      <xdr:col>4</xdr:col>
      <xdr:colOff>85725</xdr:colOff>
      <xdr:row>14</xdr:row>
      <xdr:rowOff>66675</xdr:rowOff>
    </xdr:to>
    <xdr:sp macro="" textlink="">
      <xdr:nvSpPr>
        <xdr:cNvPr id="54351" name="Text Box 79">
          <a:extLst>
            <a:ext uri="{FF2B5EF4-FFF2-40B4-BE49-F238E27FC236}">
              <a16:creationId xmlns:a16="http://schemas.microsoft.com/office/drawing/2014/main" id="{00000000-0008-0000-0900-00004FD40000}"/>
            </a:ext>
          </a:extLst>
        </xdr:cNvPr>
        <xdr:cNvSpPr txBox="1">
          <a:spLocks noChangeArrowheads="1"/>
        </xdr:cNvSpPr>
      </xdr:nvSpPr>
      <xdr:spPr bwMode="auto">
        <a:xfrm>
          <a:off x="2190750" y="2762250"/>
          <a:ext cx="762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อ.ซับใหญ่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3</xdr:col>
      <xdr:colOff>323042</xdr:colOff>
      <xdr:row>19</xdr:row>
      <xdr:rowOff>112686</xdr:rowOff>
    </xdr:from>
    <xdr:to>
      <xdr:col>4</xdr:col>
      <xdr:colOff>296727</xdr:colOff>
      <xdr:row>20</xdr:row>
      <xdr:rowOff>159181</xdr:rowOff>
    </xdr:to>
    <xdr:sp macro="" textlink="">
      <xdr:nvSpPr>
        <xdr:cNvPr id="54352" name="Text Box 80">
          <a:extLst>
            <a:ext uri="{FF2B5EF4-FFF2-40B4-BE49-F238E27FC236}">
              <a16:creationId xmlns:a16="http://schemas.microsoft.com/office/drawing/2014/main" id="{00000000-0008-0000-0900-000050D40000}"/>
            </a:ext>
          </a:extLst>
        </xdr:cNvPr>
        <xdr:cNvSpPr txBox="1">
          <a:spLocks noChangeArrowheads="1"/>
        </xdr:cNvSpPr>
      </xdr:nvSpPr>
      <xdr:spPr bwMode="auto">
        <a:xfrm>
          <a:off x="2260330" y="4713745"/>
          <a:ext cx="893897" cy="26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อ.บำเหน็จณรงค์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2</xdr:col>
      <xdr:colOff>504825</xdr:colOff>
      <xdr:row>7</xdr:row>
      <xdr:rowOff>257175</xdr:rowOff>
    </xdr:from>
    <xdr:to>
      <xdr:col>3</xdr:col>
      <xdr:colOff>647700</xdr:colOff>
      <xdr:row>9</xdr:row>
      <xdr:rowOff>9525</xdr:rowOff>
    </xdr:to>
    <xdr:sp macro="" textlink="">
      <xdr:nvSpPr>
        <xdr:cNvPr id="54353" name="Text Box 81">
          <a:extLst>
            <a:ext uri="{FF2B5EF4-FFF2-40B4-BE49-F238E27FC236}">
              <a16:creationId xmlns:a16="http://schemas.microsoft.com/office/drawing/2014/main" id="{00000000-0008-0000-0900-000051D40000}"/>
            </a:ext>
          </a:extLst>
        </xdr:cNvPr>
        <xdr:cNvSpPr txBox="1">
          <a:spLocks noChangeArrowheads="1"/>
        </xdr:cNvSpPr>
      </xdr:nvSpPr>
      <xdr:spPr bwMode="auto">
        <a:xfrm>
          <a:off x="1485900" y="1647825"/>
          <a:ext cx="11049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อ.ภักดีชุมพล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5</xdr:col>
      <xdr:colOff>790575</xdr:colOff>
      <xdr:row>24</xdr:row>
      <xdr:rowOff>114300</xdr:rowOff>
    </xdr:from>
    <xdr:to>
      <xdr:col>6</xdr:col>
      <xdr:colOff>28575</xdr:colOff>
      <xdr:row>24</xdr:row>
      <xdr:rowOff>200025</xdr:rowOff>
    </xdr:to>
    <xdr:sp macro="" textlink="">
      <xdr:nvSpPr>
        <xdr:cNvPr id="75876" name="AutoShape 82">
          <a:extLst>
            <a:ext uri="{FF2B5EF4-FFF2-40B4-BE49-F238E27FC236}">
              <a16:creationId xmlns:a16="http://schemas.microsoft.com/office/drawing/2014/main" id="{00000000-0008-0000-0900-000064280100}"/>
            </a:ext>
          </a:extLst>
        </xdr:cNvPr>
        <xdr:cNvSpPr>
          <a:spLocks noChangeArrowheads="1"/>
        </xdr:cNvSpPr>
      </xdr:nvSpPr>
      <xdr:spPr bwMode="auto">
        <a:xfrm>
          <a:off x="4505325" y="583882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352425</xdr:colOff>
      <xdr:row>27</xdr:row>
      <xdr:rowOff>152400</xdr:rowOff>
    </xdr:from>
    <xdr:to>
      <xdr:col>6</xdr:col>
      <xdr:colOff>438150</xdr:colOff>
      <xdr:row>28</xdr:row>
      <xdr:rowOff>28575</xdr:rowOff>
    </xdr:to>
    <xdr:sp macro="" textlink="">
      <xdr:nvSpPr>
        <xdr:cNvPr id="75877" name="AutoShape 83">
          <a:extLst>
            <a:ext uri="{FF2B5EF4-FFF2-40B4-BE49-F238E27FC236}">
              <a16:creationId xmlns:a16="http://schemas.microsoft.com/office/drawing/2014/main" id="{00000000-0008-0000-0900-000065280100}"/>
            </a:ext>
          </a:extLst>
        </xdr:cNvPr>
        <xdr:cNvSpPr>
          <a:spLocks noChangeArrowheads="1"/>
        </xdr:cNvSpPr>
      </xdr:nvSpPr>
      <xdr:spPr bwMode="auto">
        <a:xfrm>
          <a:off x="4914900" y="6534150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409575</xdr:colOff>
      <xdr:row>21</xdr:row>
      <xdr:rowOff>95250</xdr:rowOff>
    </xdr:from>
    <xdr:to>
      <xdr:col>5</xdr:col>
      <xdr:colOff>800100</xdr:colOff>
      <xdr:row>24</xdr:row>
      <xdr:rowOff>104775</xdr:rowOff>
    </xdr:to>
    <xdr:cxnSp macro="">
      <xdr:nvCxnSpPr>
        <xdr:cNvPr id="75878" name="AutoShape 84">
          <a:extLst>
            <a:ext uri="{FF2B5EF4-FFF2-40B4-BE49-F238E27FC236}">
              <a16:creationId xmlns:a16="http://schemas.microsoft.com/office/drawing/2014/main" id="{00000000-0008-0000-0900-000066280100}"/>
            </a:ext>
          </a:extLst>
        </xdr:cNvPr>
        <xdr:cNvCxnSpPr>
          <a:cxnSpLocks noChangeShapeType="1"/>
          <a:stCxn id="75844" idx="5"/>
          <a:endCxn id="75876" idx="1"/>
        </xdr:cNvCxnSpPr>
      </xdr:nvCxnSpPr>
      <xdr:spPr bwMode="auto">
        <a:xfrm>
          <a:off x="4124325" y="5162550"/>
          <a:ext cx="390525" cy="6667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47625</xdr:colOff>
      <xdr:row>24</xdr:row>
      <xdr:rowOff>161925</xdr:rowOff>
    </xdr:from>
    <xdr:to>
      <xdr:col>6</xdr:col>
      <xdr:colOff>361950</xdr:colOff>
      <xdr:row>27</xdr:row>
      <xdr:rowOff>142875</xdr:rowOff>
    </xdr:to>
    <xdr:cxnSp macro="">
      <xdr:nvCxnSpPr>
        <xdr:cNvPr id="75879" name="AutoShape 85">
          <a:extLst>
            <a:ext uri="{FF2B5EF4-FFF2-40B4-BE49-F238E27FC236}">
              <a16:creationId xmlns:a16="http://schemas.microsoft.com/office/drawing/2014/main" id="{00000000-0008-0000-0900-000067280100}"/>
            </a:ext>
          </a:extLst>
        </xdr:cNvPr>
        <xdr:cNvCxnSpPr>
          <a:cxnSpLocks noChangeShapeType="1"/>
          <a:stCxn id="75876" idx="6"/>
          <a:endCxn id="75877" idx="1"/>
        </xdr:cNvCxnSpPr>
      </xdr:nvCxnSpPr>
      <xdr:spPr bwMode="auto">
        <a:xfrm>
          <a:off x="4610100" y="5886450"/>
          <a:ext cx="314325" cy="6381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428625</xdr:colOff>
      <xdr:row>28</xdr:row>
      <xdr:rowOff>38100</xdr:rowOff>
    </xdr:from>
    <xdr:to>
      <xdr:col>6</xdr:col>
      <xdr:colOff>504825</xdr:colOff>
      <xdr:row>31</xdr:row>
      <xdr:rowOff>152400</xdr:rowOff>
    </xdr:to>
    <xdr:cxnSp macro="">
      <xdr:nvCxnSpPr>
        <xdr:cNvPr id="75880" name="AutoShape 86">
          <a:extLst>
            <a:ext uri="{FF2B5EF4-FFF2-40B4-BE49-F238E27FC236}">
              <a16:creationId xmlns:a16="http://schemas.microsoft.com/office/drawing/2014/main" id="{00000000-0008-0000-0900-000068280100}"/>
            </a:ext>
          </a:extLst>
        </xdr:cNvPr>
        <xdr:cNvCxnSpPr>
          <a:cxnSpLocks noChangeShapeType="1"/>
          <a:stCxn id="75877" idx="5"/>
          <a:endCxn id="75840" idx="0"/>
        </xdr:cNvCxnSpPr>
      </xdr:nvCxnSpPr>
      <xdr:spPr bwMode="auto">
        <a:xfrm>
          <a:off x="4991100" y="6638925"/>
          <a:ext cx="76200" cy="7715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11624</xdr:colOff>
      <xdr:row>23</xdr:row>
      <xdr:rowOff>30674</xdr:rowOff>
    </xdr:from>
    <xdr:to>
      <xdr:col>7</xdr:col>
      <xdr:colOff>144974</xdr:colOff>
      <xdr:row>24</xdr:row>
      <xdr:rowOff>78299</xdr:rowOff>
    </xdr:to>
    <xdr:sp macro="" textlink="">
      <xdr:nvSpPr>
        <xdr:cNvPr id="54359" name="Text Box 87">
          <a:extLst>
            <a:ext uri="{FF2B5EF4-FFF2-40B4-BE49-F238E27FC236}">
              <a16:creationId xmlns:a16="http://schemas.microsoft.com/office/drawing/2014/main" id="{00000000-0008-0000-0900-000057D40000}"/>
            </a:ext>
          </a:extLst>
        </xdr:cNvPr>
        <xdr:cNvSpPr txBox="1">
          <a:spLocks noChangeArrowheads="1"/>
        </xdr:cNvSpPr>
      </xdr:nvSpPr>
      <xdr:spPr bwMode="auto">
        <a:xfrm>
          <a:off x="4564251" y="5503513"/>
          <a:ext cx="811401" cy="265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อ.พระทองคำ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5</xdr:col>
      <xdr:colOff>609600</xdr:colOff>
      <xdr:row>27</xdr:row>
      <xdr:rowOff>47625</xdr:rowOff>
    </xdr:from>
    <xdr:to>
      <xdr:col>6</xdr:col>
      <xdr:colOff>342900</xdr:colOff>
      <xdr:row>28</xdr:row>
      <xdr:rowOff>95250</xdr:rowOff>
    </xdr:to>
    <xdr:sp macro="" textlink="">
      <xdr:nvSpPr>
        <xdr:cNvPr id="54360" name="Text Box 88">
          <a:extLst>
            <a:ext uri="{FF2B5EF4-FFF2-40B4-BE49-F238E27FC236}">
              <a16:creationId xmlns:a16="http://schemas.microsoft.com/office/drawing/2014/main" id="{00000000-0008-0000-0900-000058D40000}"/>
            </a:ext>
          </a:extLst>
        </xdr:cNvPr>
        <xdr:cNvSpPr txBox="1">
          <a:spLocks noChangeArrowheads="1"/>
        </xdr:cNvSpPr>
      </xdr:nvSpPr>
      <xdr:spPr bwMode="auto">
        <a:xfrm>
          <a:off x="4324350" y="5857875"/>
          <a:ext cx="581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อ.โนนไทย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1</xdr:col>
      <xdr:colOff>28575</xdr:colOff>
      <xdr:row>25</xdr:row>
      <xdr:rowOff>190500</xdr:rowOff>
    </xdr:from>
    <xdr:to>
      <xdr:col>1</xdr:col>
      <xdr:colOff>114300</xdr:colOff>
      <xdr:row>26</xdr:row>
      <xdr:rowOff>66675</xdr:rowOff>
    </xdr:to>
    <xdr:sp macro="" textlink="">
      <xdr:nvSpPr>
        <xdr:cNvPr id="75883" name="AutoShape 89">
          <a:extLst>
            <a:ext uri="{FF2B5EF4-FFF2-40B4-BE49-F238E27FC236}">
              <a16:creationId xmlns:a16="http://schemas.microsoft.com/office/drawing/2014/main" id="{00000000-0008-0000-0900-00006B280100}"/>
            </a:ext>
          </a:extLst>
        </xdr:cNvPr>
        <xdr:cNvSpPr>
          <a:spLocks noChangeArrowheads="1"/>
        </xdr:cNvSpPr>
      </xdr:nvSpPr>
      <xdr:spPr bwMode="auto">
        <a:xfrm>
          <a:off x="466725" y="6134100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24</xdr:row>
      <xdr:rowOff>76200</xdr:rowOff>
    </xdr:from>
    <xdr:to>
      <xdr:col>1</xdr:col>
      <xdr:colOff>381000</xdr:colOff>
      <xdr:row>25</xdr:row>
      <xdr:rowOff>123825</xdr:rowOff>
    </xdr:to>
    <xdr:sp macro="" textlink="">
      <xdr:nvSpPr>
        <xdr:cNvPr id="54362" name="Text Box 90">
          <a:extLst>
            <a:ext uri="{FF2B5EF4-FFF2-40B4-BE49-F238E27FC236}">
              <a16:creationId xmlns:a16="http://schemas.microsoft.com/office/drawing/2014/main" id="{00000000-0008-0000-0900-00005AD40000}"/>
            </a:ext>
          </a:extLst>
        </xdr:cNvPr>
        <xdr:cNvSpPr txBox="1">
          <a:spLocks noChangeArrowheads="1"/>
        </xdr:cNvSpPr>
      </xdr:nvSpPr>
      <xdr:spPr bwMode="auto">
        <a:xfrm>
          <a:off x="19050" y="5229225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อ.ชัยบาดาล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2</xdr:col>
      <xdr:colOff>561975</xdr:colOff>
      <xdr:row>42</xdr:row>
      <xdr:rowOff>104775</xdr:rowOff>
    </xdr:from>
    <xdr:to>
      <xdr:col>3</xdr:col>
      <xdr:colOff>314325</xdr:colOff>
      <xdr:row>43</xdr:row>
      <xdr:rowOff>180975</xdr:rowOff>
    </xdr:to>
    <xdr:sp macro="" textlink="">
      <xdr:nvSpPr>
        <xdr:cNvPr id="54365" name="Text Box 93">
          <a:extLst>
            <a:ext uri="{FF2B5EF4-FFF2-40B4-BE49-F238E27FC236}">
              <a16:creationId xmlns:a16="http://schemas.microsoft.com/office/drawing/2014/main" id="{00000000-0008-0000-0900-00005DD40000}"/>
            </a:ext>
          </a:extLst>
        </xdr:cNvPr>
        <xdr:cNvSpPr txBox="1">
          <a:spLocks noChangeArrowheads="1"/>
        </xdr:cNvSpPr>
      </xdr:nvSpPr>
      <xdr:spPr bwMode="auto">
        <a:xfrm>
          <a:off x="1543050" y="10058400"/>
          <a:ext cx="7143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Cordia New"/>
              <a:cs typeface="Cordia New"/>
            </a:rPr>
            <a:t>แหล่งยาง</a:t>
          </a:r>
        </a:p>
      </xdr:txBody>
    </xdr:sp>
    <xdr:clientData/>
  </xdr:twoCellAnchor>
  <xdr:twoCellAnchor>
    <xdr:from>
      <xdr:col>3</xdr:col>
      <xdr:colOff>800100</xdr:colOff>
      <xdr:row>24</xdr:row>
      <xdr:rowOff>133350</xdr:rowOff>
    </xdr:from>
    <xdr:to>
      <xdr:col>3</xdr:col>
      <xdr:colOff>800100</xdr:colOff>
      <xdr:row>24</xdr:row>
      <xdr:rowOff>133350</xdr:rowOff>
    </xdr:to>
    <xdr:cxnSp macro="">
      <xdr:nvCxnSpPr>
        <xdr:cNvPr id="75886" name="AutoShape 94">
          <a:extLst>
            <a:ext uri="{FF2B5EF4-FFF2-40B4-BE49-F238E27FC236}">
              <a16:creationId xmlns:a16="http://schemas.microsoft.com/office/drawing/2014/main" id="{00000000-0008-0000-0900-00006E280100}"/>
            </a:ext>
          </a:extLst>
        </xdr:cNvPr>
        <xdr:cNvCxnSpPr>
          <a:cxnSpLocks noChangeShapeType="1"/>
        </xdr:cNvCxnSpPr>
      </xdr:nvCxnSpPr>
      <xdr:spPr bwMode="auto">
        <a:xfrm>
          <a:off x="2743200" y="5857875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5</xdr:col>
      <xdr:colOff>742950</xdr:colOff>
      <xdr:row>25</xdr:row>
      <xdr:rowOff>104775</xdr:rowOff>
    </xdr:from>
    <xdr:to>
      <xdr:col>6</xdr:col>
      <xdr:colOff>133350</xdr:colOff>
      <xdr:row>26</xdr:row>
      <xdr:rowOff>123825</xdr:rowOff>
    </xdr:to>
    <xdr:sp macro="" textlink="">
      <xdr:nvSpPr>
        <xdr:cNvPr id="54367" name="Text Box 95">
          <a:extLst>
            <a:ext uri="{FF2B5EF4-FFF2-40B4-BE49-F238E27FC236}">
              <a16:creationId xmlns:a16="http://schemas.microsoft.com/office/drawing/2014/main" id="{00000000-0008-0000-0900-00005FD40000}"/>
            </a:ext>
          </a:extLst>
        </xdr:cNvPr>
        <xdr:cNvSpPr txBox="1">
          <a:spLocks noChangeArrowheads="1"/>
        </xdr:cNvSpPr>
      </xdr:nvSpPr>
      <xdr:spPr bwMode="auto">
        <a:xfrm>
          <a:off x="4457700" y="54768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17</a:t>
          </a:r>
        </a:p>
      </xdr:txBody>
    </xdr:sp>
    <xdr:clientData/>
  </xdr:twoCellAnchor>
  <xdr:twoCellAnchor editAs="oneCell">
    <xdr:from>
      <xdr:col>5</xdr:col>
      <xdr:colOff>323850</xdr:colOff>
      <xdr:row>29</xdr:row>
      <xdr:rowOff>19050</xdr:rowOff>
    </xdr:from>
    <xdr:to>
      <xdr:col>5</xdr:col>
      <xdr:colOff>561975</xdr:colOff>
      <xdr:row>30</xdr:row>
      <xdr:rowOff>38100</xdr:rowOff>
    </xdr:to>
    <xdr:sp macro="" textlink="">
      <xdr:nvSpPr>
        <xdr:cNvPr id="54368" name="Text Box 96">
          <a:extLst>
            <a:ext uri="{FF2B5EF4-FFF2-40B4-BE49-F238E27FC236}">
              <a16:creationId xmlns:a16="http://schemas.microsoft.com/office/drawing/2014/main" id="{00000000-0008-0000-0900-000060D40000}"/>
            </a:ext>
          </a:extLst>
        </xdr:cNvPr>
        <xdr:cNvSpPr txBox="1">
          <a:spLocks noChangeArrowheads="1"/>
        </xdr:cNvSpPr>
      </xdr:nvSpPr>
      <xdr:spPr bwMode="auto">
        <a:xfrm>
          <a:off x="4038600" y="68389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10</a:t>
          </a:r>
        </a:p>
      </xdr:txBody>
    </xdr:sp>
    <xdr:clientData/>
  </xdr:twoCellAnchor>
  <xdr:twoCellAnchor editAs="oneCell">
    <xdr:from>
      <xdr:col>6</xdr:col>
      <xdr:colOff>466725</xdr:colOff>
      <xdr:row>29</xdr:row>
      <xdr:rowOff>114300</xdr:rowOff>
    </xdr:from>
    <xdr:to>
      <xdr:col>7</xdr:col>
      <xdr:colOff>28575</xdr:colOff>
      <xdr:row>30</xdr:row>
      <xdr:rowOff>133350</xdr:rowOff>
    </xdr:to>
    <xdr:sp macro="" textlink="">
      <xdr:nvSpPr>
        <xdr:cNvPr id="54369" name="Text Box 97">
          <a:extLst>
            <a:ext uri="{FF2B5EF4-FFF2-40B4-BE49-F238E27FC236}">
              <a16:creationId xmlns:a16="http://schemas.microsoft.com/office/drawing/2014/main" id="{00000000-0008-0000-0900-000061D40000}"/>
            </a:ext>
          </a:extLst>
        </xdr:cNvPr>
        <xdr:cNvSpPr txBox="1">
          <a:spLocks noChangeArrowheads="1"/>
        </xdr:cNvSpPr>
      </xdr:nvSpPr>
      <xdr:spPr bwMode="auto">
        <a:xfrm>
          <a:off x="5029200" y="63627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26</a:t>
          </a:r>
        </a:p>
      </xdr:txBody>
    </xdr:sp>
    <xdr:clientData/>
  </xdr:twoCellAnchor>
  <xdr:twoCellAnchor editAs="oneCell">
    <xdr:from>
      <xdr:col>6</xdr:col>
      <xdr:colOff>76200</xdr:colOff>
      <xdr:row>30</xdr:row>
      <xdr:rowOff>190500</xdr:rowOff>
    </xdr:from>
    <xdr:to>
      <xdr:col>6</xdr:col>
      <xdr:colOff>314325</xdr:colOff>
      <xdr:row>31</xdr:row>
      <xdr:rowOff>209550</xdr:rowOff>
    </xdr:to>
    <xdr:sp macro="" textlink="">
      <xdr:nvSpPr>
        <xdr:cNvPr id="54370" name="Text Box 98">
          <a:extLst>
            <a:ext uri="{FF2B5EF4-FFF2-40B4-BE49-F238E27FC236}">
              <a16:creationId xmlns:a16="http://schemas.microsoft.com/office/drawing/2014/main" id="{00000000-0008-0000-0900-000062D40000}"/>
            </a:ext>
          </a:extLst>
        </xdr:cNvPr>
        <xdr:cNvSpPr txBox="1">
          <a:spLocks noChangeArrowheads="1"/>
        </xdr:cNvSpPr>
      </xdr:nvSpPr>
      <xdr:spPr bwMode="auto">
        <a:xfrm>
          <a:off x="4638675" y="66579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15</a:t>
          </a:r>
        </a:p>
      </xdr:txBody>
    </xdr:sp>
    <xdr:clientData/>
  </xdr:twoCellAnchor>
  <xdr:twoCellAnchor editAs="oneCell">
    <xdr:from>
      <xdr:col>4</xdr:col>
      <xdr:colOff>805772</xdr:colOff>
      <xdr:row>30</xdr:row>
      <xdr:rowOff>201202</xdr:rowOff>
    </xdr:from>
    <xdr:to>
      <xdr:col>5</xdr:col>
      <xdr:colOff>198419</xdr:colOff>
      <xdr:row>32</xdr:row>
      <xdr:rowOff>6207</xdr:rowOff>
    </xdr:to>
    <xdr:sp macro="" textlink="">
      <xdr:nvSpPr>
        <xdr:cNvPr id="54371" name="Text Box 99">
          <a:extLst>
            <a:ext uri="{FF2B5EF4-FFF2-40B4-BE49-F238E27FC236}">
              <a16:creationId xmlns:a16="http://schemas.microsoft.com/office/drawing/2014/main" id="{00000000-0008-0000-0900-000063D40000}"/>
            </a:ext>
          </a:extLst>
        </xdr:cNvPr>
        <xdr:cNvSpPr txBox="1">
          <a:spLocks noChangeArrowheads="1"/>
        </xdr:cNvSpPr>
      </xdr:nvSpPr>
      <xdr:spPr bwMode="auto">
        <a:xfrm>
          <a:off x="3673974" y="7125556"/>
          <a:ext cx="238125" cy="23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29</a:t>
          </a:r>
        </a:p>
      </xdr:txBody>
    </xdr:sp>
    <xdr:clientData/>
  </xdr:twoCellAnchor>
  <xdr:twoCellAnchor editAs="oneCell">
    <xdr:from>
      <xdr:col>4</xdr:col>
      <xdr:colOff>381000</xdr:colOff>
      <xdr:row>41</xdr:row>
      <xdr:rowOff>200025</xdr:rowOff>
    </xdr:from>
    <xdr:to>
      <xdr:col>4</xdr:col>
      <xdr:colOff>704850</xdr:colOff>
      <xdr:row>43</xdr:row>
      <xdr:rowOff>9525</xdr:rowOff>
    </xdr:to>
    <xdr:sp macro="" textlink="">
      <xdr:nvSpPr>
        <xdr:cNvPr id="54372" name="Text Box 100">
          <a:extLst>
            <a:ext uri="{FF2B5EF4-FFF2-40B4-BE49-F238E27FC236}">
              <a16:creationId xmlns:a16="http://schemas.microsoft.com/office/drawing/2014/main" id="{00000000-0008-0000-0900-000064D40000}"/>
            </a:ext>
          </a:extLst>
        </xdr:cNvPr>
        <xdr:cNvSpPr txBox="1">
          <a:spLocks noChangeArrowheads="1"/>
        </xdr:cNvSpPr>
      </xdr:nvSpPr>
      <xdr:spPr bwMode="auto">
        <a:xfrm>
          <a:off x="3248025" y="9934575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229</a:t>
          </a:r>
        </a:p>
      </xdr:txBody>
    </xdr:sp>
    <xdr:clientData/>
  </xdr:twoCellAnchor>
  <xdr:twoCellAnchor editAs="oneCell">
    <xdr:from>
      <xdr:col>5</xdr:col>
      <xdr:colOff>619125</xdr:colOff>
      <xdr:row>22</xdr:row>
      <xdr:rowOff>38100</xdr:rowOff>
    </xdr:from>
    <xdr:to>
      <xdr:col>6</xdr:col>
      <xdr:colOff>9525</xdr:colOff>
      <xdr:row>23</xdr:row>
      <xdr:rowOff>57150</xdr:rowOff>
    </xdr:to>
    <xdr:sp macro="" textlink="">
      <xdr:nvSpPr>
        <xdr:cNvPr id="54373" name="Text Box 101">
          <a:extLst>
            <a:ext uri="{FF2B5EF4-FFF2-40B4-BE49-F238E27FC236}">
              <a16:creationId xmlns:a16="http://schemas.microsoft.com/office/drawing/2014/main" id="{00000000-0008-0000-0900-000065D40000}"/>
            </a:ext>
          </a:extLst>
        </xdr:cNvPr>
        <xdr:cNvSpPr txBox="1">
          <a:spLocks noChangeArrowheads="1"/>
        </xdr:cNvSpPr>
      </xdr:nvSpPr>
      <xdr:spPr bwMode="auto">
        <a:xfrm>
          <a:off x="4333875" y="47529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18</a:t>
          </a:r>
        </a:p>
      </xdr:txBody>
    </xdr:sp>
    <xdr:clientData/>
  </xdr:twoCellAnchor>
  <xdr:twoCellAnchor editAs="oneCell">
    <xdr:from>
      <xdr:col>5</xdr:col>
      <xdr:colOff>200025</xdr:colOff>
      <xdr:row>17</xdr:row>
      <xdr:rowOff>190500</xdr:rowOff>
    </xdr:from>
    <xdr:to>
      <xdr:col>5</xdr:col>
      <xdr:colOff>438150</xdr:colOff>
      <xdr:row>18</xdr:row>
      <xdr:rowOff>209550</xdr:rowOff>
    </xdr:to>
    <xdr:sp macro="" textlink="">
      <xdr:nvSpPr>
        <xdr:cNvPr id="54374" name="Text Box 102">
          <a:extLst>
            <a:ext uri="{FF2B5EF4-FFF2-40B4-BE49-F238E27FC236}">
              <a16:creationId xmlns:a16="http://schemas.microsoft.com/office/drawing/2014/main" id="{00000000-0008-0000-0900-000066D40000}"/>
            </a:ext>
          </a:extLst>
        </xdr:cNvPr>
        <xdr:cNvSpPr txBox="1">
          <a:spLocks noChangeArrowheads="1"/>
        </xdr:cNvSpPr>
      </xdr:nvSpPr>
      <xdr:spPr bwMode="auto">
        <a:xfrm>
          <a:off x="3914775" y="43815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14</a:t>
          </a:r>
          <a:endParaRPr lang="th-TH" sz="16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5</xdr:col>
      <xdr:colOff>0</xdr:colOff>
      <xdr:row>23</xdr:row>
      <xdr:rowOff>190500</xdr:rowOff>
    </xdr:from>
    <xdr:to>
      <xdr:col>5</xdr:col>
      <xdr:colOff>238125</xdr:colOff>
      <xdr:row>24</xdr:row>
      <xdr:rowOff>209550</xdr:rowOff>
    </xdr:to>
    <xdr:sp macro="" textlink="">
      <xdr:nvSpPr>
        <xdr:cNvPr id="54375" name="Text Box 103">
          <a:extLst>
            <a:ext uri="{FF2B5EF4-FFF2-40B4-BE49-F238E27FC236}">
              <a16:creationId xmlns:a16="http://schemas.microsoft.com/office/drawing/2014/main" id="{00000000-0008-0000-0900-000067D40000}"/>
            </a:ext>
          </a:extLst>
        </xdr:cNvPr>
        <xdr:cNvSpPr txBox="1">
          <a:spLocks noChangeArrowheads="1"/>
        </xdr:cNvSpPr>
      </xdr:nvSpPr>
      <xdr:spPr bwMode="auto">
        <a:xfrm>
          <a:off x="3714750" y="51244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25</a:t>
          </a:r>
        </a:p>
      </xdr:txBody>
    </xdr:sp>
    <xdr:clientData/>
  </xdr:twoCellAnchor>
  <xdr:twoCellAnchor editAs="oneCell">
    <xdr:from>
      <xdr:col>4</xdr:col>
      <xdr:colOff>771525</xdr:colOff>
      <xdr:row>19</xdr:row>
      <xdr:rowOff>152400</xdr:rowOff>
    </xdr:from>
    <xdr:to>
      <xdr:col>5</xdr:col>
      <xdr:colOff>161925</xdr:colOff>
      <xdr:row>20</xdr:row>
      <xdr:rowOff>171450</xdr:rowOff>
    </xdr:to>
    <xdr:sp macro="" textlink="">
      <xdr:nvSpPr>
        <xdr:cNvPr id="54376" name="Text Box 104">
          <a:extLst>
            <a:ext uri="{FF2B5EF4-FFF2-40B4-BE49-F238E27FC236}">
              <a16:creationId xmlns:a16="http://schemas.microsoft.com/office/drawing/2014/main" id="{00000000-0008-0000-0900-000068D40000}"/>
            </a:ext>
          </a:extLst>
        </xdr:cNvPr>
        <xdr:cNvSpPr txBox="1">
          <a:spLocks noChangeArrowheads="1"/>
        </xdr:cNvSpPr>
      </xdr:nvSpPr>
      <xdr:spPr bwMode="auto">
        <a:xfrm>
          <a:off x="3638550" y="47815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</a:t>
          </a:r>
          <a:r>
            <a:rPr lang="en-US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0</a:t>
          </a:r>
          <a:endParaRPr lang="th-TH" sz="16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4</xdr:col>
      <xdr:colOff>704850</xdr:colOff>
      <xdr:row>15</xdr:row>
      <xdr:rowOff>171450</xdr:rowOff>
    </xdr:from>
    <xdr:to>
      <xdr:col>5</xdr:col>
      <xdr:colOff>95250</xdr:colOff>
      <xdr:row>16</xdr:row>
      <xdr:rowOff>190500</xdr:rowOff>
    </xdr:to>
    <xdr:sp macro="" textlink="">
      <xdr:nvSpPr>
        <xdr:cNvPr id="54377" name="Text Box 105">
          <a:extLst>
            <a:ext uri="{FF2B5EF4-FFF2-40B4-BE49-F238E27FC236}">
              <a16:creationId xmlns:a16="http://schemas.microsoft.com/office/drawing/2014/main" id="{00000000-0008-0000-0900-000069D40000}"/>
            </a:ext>
          </a:extLst>
        </xdr:cNvPr>
        <xdr:cNvSpPr txBox="1">
          <a:spLocks noChangeArrowheads="1"/>
        </xdr:cNvSpPr>
      </xdr:nvSpPr>
      <xdr:spPr bwMode="auto">
        <a:xfrm>
          <a:off x="3571875" y="33528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17</a:t>
          </a:r>
        </a:p>
      </xdr:txBody>
    </xdr:sp>
    <xdr:clientData/>
  </xdr:twoCellAnchor>
  <xdr:twoCellAnchor editAs="oneCell">
    <xdr:from>
      <xdr:col>5</xdr:col>
      <xdr:colOff>133350</xdr:colOff>
      <xdr:row>12</xdr:row>
      <xdr:rowOff>180975</xdr:rowOff>
    </xdr:from>
    <xdr:to>
      <xdr:col>5</xdr:col>
      <xdr:colOff>371475</xdr:colOff>
      <xdr:row>13</xdr:row>
      <xdr:rowOff>200025</xdr:rowOff>
    </xdr:to>
    <xdr:sp macro="" textlink="">
      <xdr:nvSpPr>
        <xdr:cNvPr id="54378" name="Text Box 106">
          <a:extLst>
            <a:ext uri="{FF2B5EF4-FFF2-40B4-BE49-F238E27FC236}">
              <a16:creationId xmlns:a16="http://schemas.microsoft.com/office/drawing/2014/main" id="{00000000-0008-0000-0900-00006AD40000}"/>
            </a:ext>
          </a:extLst>
        </xdr:cNvPr>
        <xdr:cNvSpPr txBox="1">
          <a:spLocks noChangeArrowheads="1"/>
        </xdr:cNvSpPr>
      </xdr:nvSpPr>
      <xdr:spPr bwMode="auto">
        <a:xfrm>
          <a:off x="3848100" y="32766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28</a:t>
          </a:r>
        </a:p>
      </xdr:txBody>
    </xdr:sp>
    <xdr:clientData/>
  </xdr:twoCellAnchor>
  <xdr:twoCellAnchor editAs="oneCell">
    <xdr:from>
      <xdr:col>4</xdr:col>
      <xdr:colOff>400050</xdr:colOff>
      <xdr:row>22</xdr:row>
      <xdr:rowOff>171450</xdr:rowOff>
    </xdr:from>
    <xdr:to>
      <xdr:col>4</xdr:col>
      <xdr:colOff>638175</xdr:colOff>
      <xdr:row>23</xdr:row>
      <xdr:rowOff>190500</xdr:rowOff>
    </xdr:to>
    <xdr:sp macro="" textlink="">
      <xdr:nvSpPr>
        <xdr:cNvPr id="54379" name="Text Box 107">
          <a:extLst>
            <a:ext uri="{FF2B5EF4-FFF2-40B4-BE49-F238E27FC236}">
              <a16:creationId xmlns:a16="http://schemas.microsoft.com/office/drawing/2014/main" id="{00000000-0008-0000-0900-00006BD40000}"/>
            </a:ext>
          </a:extLst>
        </xdr:cNvPr>
        <xdr:cNvSpPr txBox="1">
          <a:spLocks noChangeArrowheads="1"/>
        </xdr:cNvSpPr>
      </xdr:nvSpPr>
      <xdr:spPr bwMode="auto">
        <a:xfrm>
          <a:off x="3267075" y="48863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29</a:t>
          </a:r>
        </a:p>
      </xdr:txBody>
    </xdr:sp>
    <xdr:clientData/>
  </xdr:twoCellAnchor>
  <xdr:twoCellAnchor editAs="oneCell">
    <xdr:from>
      <xdr:col>4</xdr:col>
      <xdr:colOff>333375</xdr:colOff>
      <xdr:row>19</xdr:row>
      <xdr:rowOff>0</xdr:rowOff>
    </xdr:from>
    <xdr:to>
      <xdr:col>4</xdr:col>
      <xdr:colOff>571500</xdr:colOff>
      <xdr:row>20</xdr:row>
      <xdr:rowOff>19050</xdr:rowOff>
    </xdr:to>
    <xdr:sp macro="" textlink="">
      <xdr:nvSpPr>
        <xdr:cNvPr id="54380" name="Text Box 108">
          <a:extLst>
            <a:ext uri="{FF2B5EF4-FFF2-40B4-BE49-F238E27FC236}">
              <a16:creationId xmlns:a16="http://schemas.microsoft.com/office/drawing/2014/main" id="{00000000-0008-0000-0900-00006CD40000}"/>
            </a:ext>
          </a:extLst>
        </xdr:cNvPr>
        <xdr:cNvSpPr txBox="1">
          <a:spLocks noChangeArrowheads="1"/>
        </xdr:cNvSpPr>
      </xdr:nvSpPr>
      <xdr:spPr bwMode="auto">
        <a:xfrm>
          <a:off x="3200400" y="40576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7</a:t>
          </a:r>
        </a:p>
      </xdr:txBody>
    </xdr:sp>
    <xdr:clientData/>
  </xdr:twoCellAnchor>
  <xdr:twoCellAnchor editAs="oneCell">
    <xdr:from>
      <xdr:col>4</xdr:col>
      <xdr:colOff>200025</xdr:colOff>
      <xdr:row>15</xdr:row>
      <xdr:rowOff>104775</xdr:rowOff>
    </xdr:from>
    <xdr:to>
      <xdr:col>4</xdr:col>
      <xdr:colOff>438150</xdr:colOff>
      <xdr:row>16</xdr:row>
      <xdr:rowOff>123825</xdr:rowOff>
    </xdr:to>
    <xdr:sp macro="" textlink="">
      <xdr:nvSpPr>
        <xdr:cNvPr id="54381" name="Text Box 109">
          <a:extLst>
            <a:ext uri="{FF2B5EF4-FFF2-40B4-BE49-F238E27FC236}">
              <a16:creationId xmlns:a16="http://schemas.microsoft.com/office/drawing/2014/main" id="{00000000-0008-0000-0900-00006DD40000}"/>
            </a:ext>
          </a:extLst>
        </xdr:cNvPr>
        <xdr:cNvSpPr txBox="1">
          <a:spLocks noChangeArrowheads="1"/>
        </xdr:cNvSpPr>
      </xdr:nvSpPr>
      <xdr:spPr bwMode="auto">
        <a:xfrm>
          <a:off x="3067050" y="32861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19</a:t>
          </a:r>
        </a:p>
      </xdr:txBody>
    </xdr:sp>
    <xdr:clientData/>
  </xdr:twoCellAnchor>
  <xdr:twoCellAnchor editAs="oneCell">
    <xdr:from>
      <xdr:col>4</xdr:col>
      <xdr:colOff>171450</xdr:colOff>
      <xdr:row>12</xdr:row>
      <xdr:rowOff>152400</xdr:rowOff>
    </xdr:from>
    <xdr:to>
      <xdr:col>4</xdr:col>
      <xdr:colOff>409575</xdr:colOff>
      <xdr:row>13</xdr:row>
      <xdr:rowOff>171450</xdr:rowOff>
    </xdr:to>
    <xdr:sp macro="" textlink="">
      <xdr:nvSpPr>
        <xdr:cNvPr id="54382" name="Text Box 110">
          <a:extLst>
            <a:ext uri="{FF2B5EF4-FFF2-40B4-BE49-F238E27FC236}">
              <a16:creationId xmlns:a16="http://schemas.microsoft.com/office/drawing/2014/main" id="{00000000-0008-0000-0900-00006ED40000}"/>
            </a:ext>
          </a:extLst>
        </xdr:cNvPr>
        <xdr:cNvSpPr txBox="1">
          <a:spLocks noChangeArrowheads="1"/>
        </xdr:cNvSpPr>
      </xdr:nvSpPr>
      <xdr:spPr bwMode="auto">
        <a:xfrm>
          <a:off x="3038475" y="32480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25</a:t>
          </a:r>
        </a:p>
      </xdr:txBody>
    </xdr:sp>
    <xdr:clientData/>
  </xdr:twoCellAnchor>
  <xdr:twoCellAnchor editAs="oneCell">
    <xdr:from>
      <xdr:col>3</xdr:col>
      <xdr:colOff>723900</xdr:colOff>
      <xdr:row>9</xdr:row>
      <xdr:rowOff>142875</xdr:rowOff>
    </xdr:from>
    <xdr:to>
      <xdr:col>4</xdr:col>
      <xdr:colOff>38100</xdr:colOff>
      <xdr:row>11</xdr:row>
      <xdr:rowOff>19050</xdr:rowOff>
    </xdr:to>
    <xdr:sp macro="" textlink="">
      <xdr:nvSpPr>
        <xdr:cNvPr id="54383" name="Text Box 111">
          <a:extLst>
            <a:ext uri="{FF2B5EF4-FFF2-40B4-BE49-F238E27FC236}">
              <a16:creationId xmlns:a16="http://schemas.microsoft.com/office/drawing/2014/main" id="{00000000-0008-0000-0900-00006FD40000}"/>
            </a:ext>
          </a:extLst>
        </xdr:cNvPr>
        <xdr:cNvSpPr txBox="1">
          <a:spLocks noChangeArrowheads="1"/>
        </xdr:cNvSpPr>
      </xdr:nvSpPr>
      <xdr:spPr bwMode="auto">
        <a:xfrm>
          <a:off x="2667000" y="2581275"/>
          <a:ext cx="2381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56</a:t>
          </a:r>
        </a:p>
      </xdr:txBody>
    </xdr:sp>
    <xdr:clientData/>
  </xdr:twoCellAnchor>
  <xdr:twoCellAnchor editAs="oneCell">
    <xdr:from>
      <xdr:col>3</xdr:col>
      <xdr:colOff>257175</xdr:colOff>
      <xdr:row>20</xdr:row>
      <xdr:rowOff>133350</xdr:rowOff>
    </xdr:from>
    <xdr:to>
      <xdr:col>3</xdr:col>
      <xdr:colOff>495300</xdr:colOff>
      <xdr:row>21</xdr:row>
      <xdr:rowOff>152400</xdr:rowOff>
    </xdr:to>
    <xdr:sp macro="" textlink="">
      <xdr:nvSpPr>
        <xdr:cNvPr id="54384" name="Text Box 112">
          <a:extLst>
            <a:ext uri="{FF2B5EF4-FFF2-40B4-BE49-F238E27FC236}">
              <a16:creationId xmlns:a16="http://schemas.microsoft.com/office/drawing/2014/main" id="{00000000-0008-0000-0900-000070D40000}"/>
            </a:ext>
          </a:extLst>
        </xdr:cNvPr>
        <xdr:cNvSpPr txBox="1">
          <a:spLocks noChangeArrowheads="1"/>
        </xdr:cNvSpPr>
      </xdr:nvSpPr>
      <xdr:spPr bwMode="auto">
        <a:xfrm>
          <a:off x="2200275" y="49815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33</a:t>
          </a:r>
        </a:p>
      </xdr:txBody>
    </xdr:sp>
    <xdr:clientData/>
  </xdr:twoCellAnchor>
  <xdr:twoCellAnchor editAs="oneCell">
    <xdr:from>
      <xdr:col>1</xdr:col>
      <xdr:colOff>466725</xdr:colOff>
      <xdr:row>25</xdr:row>
      <xdr:rowOff>76200</xdr:rowOff>
    </xdr:from>
    <xdr:to>
      <xdr:col>2</xdr:col>
      <xdr:colOff>161925</xdr:colOff>
      <xdr:row>26</xdr:row>
      <xdr:rowOff>95250</xdr:rowOff>
    </xdr:to>
    <xdr:sp macro="" textlink="">
      <xdr:nvSpPr>
        <xdr:cNvPr id="54385" name="Text Box 113">
          <a:extLst>
            <a:ext uri="{FF2B5EF4-FFF2-40B4-BE49-F238E27FC236}">
              <a16:creationId xmlns:a16="http://schemas.microsoft.com/office/drawing/2014/main" id="{00000000-0008-0000-0900-000071D40000}"/>
            </a:ext>
          </a:extLst>
        </xdr:cNvPr>
        <xdr:cNvSpPr txBox="1">
          <a:spLocks noChangeArrowheads="1"/>
        </xdr:cNvSpPr>
      </xdr:nvSpPr>
      <xdr:spPr bwMode="auto">
        <a:xfrm>
          <a:off x="904875" y="60198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22</a:t>
          </a:r>
        </a:p>
      </xdr:txBody>
    </xdr:sp>
    <xdr:clientData/>
  </xdr:twoCellAnchor>
  <xdr:twoCellAnchor editAs="oneCell">
    <xdr:from>
      <xdr:col>2</xdr:col>
      <xdr:colOff>495300</xdr:colOff>
      <xdr:row>24</xdr:row>
      <xdr:rowOff>152400</xdr:rowOff>
    </xdr:from>
    <xdr:to>
      <xdr:col>2</xdr:col>
      <xdr:colOff>733425</xdr:colOff>
      <xdr:row>25</xdr:row>
      <xdr:rowOff>171450</xdr:rowOff>
    </xdr:to>
    <xdr:sp macro="" textlink="">
      <xdr:nvSpPr>
        <xdr:cNvPr id="54386" name="Text Box 114">
          <a:extLst>
            <a:ext uri="{FF2B5EF4-FFF2-40B4-BE49-F238E27FC236}">
              <a16:creationId xmlns:a16="http://schemas.microsoft.com/office/drawing/2014/main" id="{00000000-0008-0000-0900-000072D40000}"/>
            </a:ext>
          </a:extLst>
        </xdr:cNvPr>
        <xdr:cNvSpPr txBox="1">
          <a:spLocks noChangeArrowheads="1"/>
        </xdr:cNvSpPr>
      </xdr:nvSpPr>
      <xdr:spPr bwMode="auto">
        <a:xfrm>
          <a:off x="1476375" y="53054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9</a:t>
          </a:r>
        </a:p>
      </xdr:txBody>
    </xdr:sp>
    <xdr:clientData/>
  </xdr:twoCellAnchor>
  <xdr:twoCellAnchor editAs="oneCell">
    <xdr:from>
      <xdr:col>2</xdr:col>
      <xdr:colOff>723900</xdr:colOff>
      <xdr:row>22</xdr:row>
      <xdr:rowOff>152400</xdr:rowOff>
    </xdr:from>
    <xdr:to>
      <xdr:col>3</xdr:col>
      <xdr:colOff>0</xdr:colOff>
      <xdr:row>23</xdr:row>
      <xdr:rowOff>171450</xdr:rowOff>
    </xdr:to>
    <xdr:sp macro="" textlink="">
      <xdr:nvSpPr>
        <xdr:cNvPr id="54387" name="Text Box 115">
          <a:extLst>
            <a:ext uri="{FF2B5EF4-FFF2-40B4-BE49-F238E27FC236}">
              <a16:creationId xmlns:a16="http://schemas.microsoft.com/office/drawing/2014/main" id="{00000000-0008-0000-0900-000073D40000}"/>
            </a:ext>
          </a:extLst>
        </xdr:cNvPr>
        <xdr:cNvSpPr txBox="1">
          <a:spLocks noChangeArrowheads="1"/>
        </xdr:cNvSpPr>
      </xdr:nvSpPr>
      <xdr:spPr bwMode="auto">
        <a:xfrm>
          <a:off x="1704975" y="48672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14</a:t>
          </a:r>
        </a:p>
      </xdr:txBody>
    </xdr:sp>
    <xdr:clientData/>
  </xdr:twoCellAnchor>
  <xdr:twoCellAnchor>
    <xdr:from>
      <xdr:col>1</xdr:col>
      <xdr:colOff>114300</xdr:colOff>
      <xdr:row>26</xdr:row>
      <xdr:rowOff>19050</xdr:rowOff>
    </xdr:from>
    <xdr:to>
      <xdr:col>2</xdr:col>
      <xdr:colOff>323850</xdr:colOff>
      <xdr:row>26</xdr:row>
      <xdr:rowOff>200025</xdr:rowOff>
    </xdr:to>
    <xdr:cxnSp macro="">
      <xdr:nvCxnSpPr>
        <xdr:cNvPr id="75908" name="AutoShape 116">
          <a:extLst>
            <a:ext uri="{FF2B5EF4-FFF2-40B4-BE49-F238E27FC236}">
              <a16:creationId xmlns:a16="http://schemas.microsoft.com/office/drawing/2014/main" id="{00000000-0008-0000-0900-000084280100}"/>
            </a:ext>
          </a:extLst>
        </xdr:cNvPr>
        <xdr:cNvCxnSpPr>
          <a:cxnSpLocks noChangeShapeType="1"/>
          <a:stCxn id="75858" idx="2"/>
          <a:endCxn id="75883" idx="6"/>
        </xdr:cNvCxnSpPr>
      </xdr:nvCxnSpPr>
      <xdr:spPr bwMode="auto">
        <a:xfrm flipH="1" flipV="1">
          <a:off x="552450" y="6181725"/>
          <a:ext cx="752475" cy="1809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295275</xdr:colOff>
      <xdr:row>37</xdr:row>
      <xdr:rowOff>85725</xdr:rowOff>
    </xdr:from>
    <xdr:to>
      <xdr:col>6</xdr:col>
      <xdr:colOff>381000</xdr:colOff>
      <xdr:row>37</xdr:row>
      <xdr:rowOff>171450</xdr:rowOff>
    </xdr:to>
    <xdr:sp macro="" textlink="">
      <xdr:nvSpPr>
        <xdr:cNvPr id="75909" name="AutoShape 117">
          <a:extLst>
            <a:ext uri="{FF2B5EF4-FFF2-40B4-BE49-F238E27FC236}">
              <a16:creationId xmlns:a16="http://schemas.microsoft.com/office/drawing/2014/main" id="{00000000-0008-0000-0900-000085280100}"/>
            </a:ext>
          </a:extLst>
        </xdr:cNvPr>
        <xdr:cNvSpPr>
          <a:spLocks noChangeArrowheads="1"/>
        </xdr:cNvSpPr>
      </xdr:nvSpPr>
      <xdr:spPr bwMode="auto">
        <a:xfrm>
          <a:off x="4857750" y="865822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238125</xdr:colOff>
      <xdr:row>32</xdr:row>
      <xdr:rowOff>9525</xdr:rowOff>
    </xdr:from>
    <xdr:to>
      <xdr:col>6</xdr:col>
      <xdr:colOff>333375</xdr:colOff>
      <xdr:row>37</xdr:row>
      <xdr:rowOff>95250</xdr:rowOff>
    </xdr:to>
    <xdr:cxnSp macro="">
      <xdr:nvCxnSpPr>
        <xdr:cNvPr id="75910" name="AutoShape 118">
          <a:extLst>
            <a:ext uri="{FF2B5EF4-FFF2-40B4-BE49-F238E27FC236}">
              <a16:creationId xmlns:a16="http://schemas.microsoft.com/office/drawing/2014/main" id="{00000000-0008-0000-0900-0000862801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3409950" y="7181850"/>
          <a:ext cx="1181100" cy="17907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342900</xdr:colOff>
      <xdr:row>32</xdr:row>
      <xdr:rowOff>161925</xdr:rowOff>
    </xdr:from>
    <xdr:to>
      <xdr:col>6</xdr:col>
      <xdr:colOff>504825</xdr:colOff>
      <xdr:row>37</xdr:row>
      <xdr:rowOff>66675</xdr:rowOff>
    </xdr:to>
    <xdr:cxnSp macro="">
      <xdr:nvCxnSpPr>
        <xdr:cNvPr id="75911" name="AutoShape 119">
          <a:extLst>
            <a:ext uri="{FF2B5EF4-FFF2-40B4-BE49-F238E27FC236}">
              <a16:creationId xmlns:a16="http://schemas.microsoft.com/office/drawing/2014/main" id="{00000000-0008-0000-0900-000087280100}"/>
            </a:ext>
          </a:extLst>
        </xdr:cNvPr>
        <xdr:cNvCxnSpPr>
          <a:cxnSpLocks noChangeShapeType="1"/>
          <a:stCxn id="75840" idx="4"/>
          <a:endCxn id="75909" idx="0"/>
        </xdr:cNvCxnSpPr>
      </xdr:nvCxnSpPr>
      <xdr:spPr bwMode="auto">
        <a:xfrm flipH="1">
          <a:off x="4905375" y="7639050"/>
          <a:ext cx="161925" cy="10001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5</xdr:col>
      <xdr:colOff>781050</xdr:colOff>
      <xdr:row>37</xdr:row>
      <xdr:rowOff>95250</xdr:rowOff>
    </xdr:from>
    <xdr:to>
      <xdr:col>6</xdr:col>
      <xdr:colOff>304800</xdr:colOff>
      <xdr:row>41</xdr:row>
      <xdr:rowOff>76200</xdr:rowOff>
    </xdr:to>
    <xdr:cxnSp macro="">
      <xdr:nvCxnSpPr>
        <xdr:cNvPr id="75912" name="AutoShape 120">
          <a:extLst>
            <a:ext uri="{FF2B5EF4-FFF2-40B4-BE49-F238E27FC236}">
              <a16:creationId xmlns:a16="http://schemas.microsoft.com/office/drawing/2014/main" id="{00000000-0008-0000-0900-000088280100}"/>
            </a:ext>
          </a:extLst>
        </xdr:cNvPr>
        <xdr:cNvCxnSpPr>
          <a:cxnSpLocks noChangeShapeType="1"/>
          <a:stCxn id="75909" idx="1"/>
          <a:endCxn id="76056" idx="3"/>
        </xdr:cNvCxnSpPr>
      </xdr:nvCxnSpPr>
      <xdr:spPr bwMode="auto">
        <a:xfrm rot="-5400000" flipH="1" flipV="1">
          <a:off x="4252913" y="8910637"/>
          <a:ext cx="857250" cy="3714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6</xdr:col>
      <xdr:colOff>438150</xdr:colOff>
      <xdr:row>34</xdr:row>
      <xdr:rowOff>180975</xdr:rowOff>
    </xdr:from>
    <xdr:to>
      <xdr:col>7</xdr:col>
      <xdr:colOff>0</xdr:colOff>
      <xdr:row>35</xdr:row>
      <xdr:rowOff>200025</xdr:rowOff>
    </xdr:to>
    <xdr:sp macro="" textlink="">
      <xdr:nvSpPr>
        <xdr:cNvPr id="54393" name="Text Box 121">
          <a:extLst>
            <a:ext uri="{FF2B5EF4-FFF2-40B4-BE49-F238E27FC236}">
              <a16:creationId xmlns:a16="http://schemas.microsoft.com/office/drawing/2014/main" id="{00000000-0008-0000-0900-000079D40000}"/>
            </a:ext>
          </a:extLst>
        </xdr:cNvPr>
        <xdr:cNvSpPr txBox="1">
          <a:spLocks noChangeArrowheads="1"/>
        </xdr:cNvSpPr>
      </xdr:nvSpPr>
      <xdr:spPr bwMode="auto">
        <a:xfrm>
          <a:off x="5000625" y="75247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29</a:t>
          </a:r>
        </a:p>
      </xdr:txBody>
    </xdr:sp>
    <xdr:clientData/>
  </xdr:twoCellAnchor>
  <xdr:twoCellAnchor editAs="oneCell">
    <xdr:from>
      <xdr:col>5</xdr:col>
      <xdr:colOff>38100</xdr:colOff>
      <xdr:row>34</xdr:row>
      <xdr:rowOff>9525</xdr:rowOff>
    </xdr:from>
    <xdr:to>
      <xdr:col>5</xdr:col>
      <xdr:colOff>276225</xdr:colOff>
      <xdr:row>35</xdr:row>
      <xdr:rowOff>28575</xdr:rowOff>
    </xdr:to>
    <xdr:sp macro="" textlink="">
      <xdr:nvSpPr>
        <xdr:cNvPr id="54394" name="Text Box 122">
          <a:extLst>
            <a:ext uri="{FF2B5EF4-FFF2-40B4-BE49-F238E27FC236}">
              <a16:creationId xmlns:a16="http://schemas.microsoft.com/office/drawing/2014/main" id="{00000000-0008-0000-0900-00007AD40000}"/>
            </a:ext>
          </a:extLst>
        </xdr:cNvPr>
        <xdr:cNvSpPr txBox="1">
          <a:spLocks noChangeArrowheads="1"/>
        </xdr:cNvSpPr>
      </xdr:nvSpPr>
      <xdr:spPr bwMode="auto">
        <a:xfrm>
          <a:off x="3752850" y="79248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40</a:t>
          </a:r>
        </a:p>
      </xdr:txBody>
    </xdr:sp>
    <xdr:clientData/>
  </xdr:twoCellAnchor>
  <xdr:twoCellAnchor>
    <xdr:from>
      <xdr:col>1</xdr:col>
      <xdr:colOff>9525</xdr:colOff>
      <xdr:row>35</xdr:row>
      <xdr:rowOff>28575</xdr:rowOff>
    </xdr:from>
    <xdr:to>
      <xdr:col>2</xdr:col>
      <xdr:colOff>104775</xdr:colOff>
      <xdr:row>36</xdr:row>
      <xdr:rowOff>38100</xdr:rowOff>
    </xdr:to>
    <xdr:sp macro="" textlink="">
      <xdr:nvSpPr>
        <xdr:cNvPr id="54396" name="Text Box 124">
          <a:extLst>
            <a:ext uri="{FF2B5EF4-FFF2-40B4-BE49-F238E27FC236}">
              <a16:creationId xmlns:a16="http://schemas.microsoft.com/office/drawing/2014/main" id="{00000000-0008-0000-0900-00007CD40000}"/>
            </a:ext>
          </a:extLst>
        </xdr:cNvPr>
        <xdr:cNvSpPr txBox="1">
          <a:spLocks noChangeArrowheads="1"/>
        </xdr:cNvSpPr>
      </xdr:nvSpPr>
      <xdr:spPr bwMode="auto">
        <a:xfrm>
          <a:off x="447675" y="8448675"/>
          <a:ext cx="6381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จ.สระบุรี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7</xdr:col>
      <xdr:colOff>0</xdr:colOff>
      <xdr:row>31</xdr:row>
      <xdr:rowOff>38100</xdr:rowOff>
    </xdr:from>
    <xdr:to>
      <xdr:col>8</xdr:col>
      <xdr:colOff>123825</xdr:colOff>
      <xdr:row>32</xdr:row>
      <xdr:rowOff>85725</xdr:rowOff>
    </xdr:to>
    <xdr:sp macro="" textlink="">
      <xdr:nvSpPr>
        <xdr:cNvPr id="54397" name="Text Box 125">
          <a:extLst>
            <a:ext uri="{FF2B5EF4-FFF2-40B4-BE49-F238E27FC236}">
              <a16:creationId xmlns:a16="http://schemas.microsoft.com/office/drawing/2014/main" id="{00000000-0008-0000-0900-00007DD40000}"/>
            </a:ext>
          </a:extLst>
        </xdr:cNvPr>
        <xdr:cNvSpPr txBox="1">
          <a:spLocks noChangeArrowheads="1"/>
        </xdr:cNvSpPr>
      </xdr:nvSpPr>
      <xdr:spPr bwMode="auto">
        <a:xfrm>
          <a:off x="5238750" y="672465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จ.นครราชสีมา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0</xdr:col>
      <xdr:colOff>342900</xdr:colOff>
      <xdr:row>35</xdr:row>
      <xdr:rowOff>85725</xdr:rowOff>
    </xdr:from>
    <xdr:to>
      <xdr:col>0</xdr:col>
      <xdr:colOff>428625</xdr:colOff>
      <xdr:row>35</xdr:row>
      <xdr:rowOff>171450</xdr:rowOff>
    </xdr:to>
    <xdr:sp macro="" textlink="">
      <xdr:nvSpPr>
        <xdr:cNvPr id="75918" name="AutoShape 126">
          <a:extLst>
            <a:ext uri="{FF2B5EF4-FFF2-40B4-BE49-F238E27FC236}">
              <a16:creationId xmlns:a16="http://schemas.microsoft.com/office/drawing/2014/main" id="{00000000-0008-0000-0900-00008E280100}"/>
            </a:ext>
          </a:extLst>
        </xdr:cNvPr>
        <xdr:cNvSpPr>
          <a:spLocks noChangeArrowheads="1"/>
        </xdr:cNvSpPr>
      </xdr:nvSpPr>
      <xdr:spPr bwMode="auto">
        <a:xfrm>
          <a:off x="342900" y="822007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381000</xdr:colOff>
      <xdr:row>35</xdr:row>
      <xdr:rowOff>171450</xdr:rowOff>
    </xdr:from>
    <xdr:to>
      <xdr:col>0</xdr:col>
      <xdr:colOff>438150</xdr:colOff>
      <xdr:row>39</xdr:row>
      <xdr:rowOff>190500</xdr:rowOff>
    </xdr:to>
    <xdr:cxnSp macro="">
      <xdr:nvCxnSpPr>
        <xdr:cNvPr id="75919" name="AutoShape 127">
          <a:extLst>
            <a:ext uri="{FF2B5EF4-FFF2-40B4-BE49-F238E27FC236}">
              <a16:creationId xmlns:a16="http://schemas.microsoft.com/office/drawing/2014/main" id="{00000000-0008-0000-0900-00008F280100}"/>
            </a:ext>
          </a:extLst>
        </xdr:cNvPr>
        <xdr:cNvCxnSpPr>
          <a:cxnSpLocks noChangeShapeType="1"/>
          <a:stCxn id="75918" idx="4"/>
        </xdr:cNvCxnSpPr>
      </xdr:nvCxnSpPr>
      <xdr:spPr bwMode="auto">
        <a:xfrm rot="16200000" flipH="1">
          <a:off x="-38100" y="8724900"/>
          <a:ext cx="895350" cy="571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428625</xdr:colOff>
      <xdr:row>37</xdr:row>
      <xdr:rowOff>57150</xdr:rowOff>
    </xdr:from>
    <xdr:to>
      <xdr:col>1</xdr:col>
      <xdr:colOff>295275</xdr:colOff>
      <xdr:row>38</xdr:row>
      <xdr:rowOff>76200</xdr:rowOff>
    </xdr:to>
    <xdr:sp macro="" textlink="">
      <xdr:nvSpPr>
        <xdr:cNvPr id="54400" name="Text Box 128">
          <a:extLst>
            <a:ext uri="{FF2B5EF4-FFF2-40B4-BE49-F238E27FC236}">
              <a16:creationId xmlns:a16="http://schemas.microsoft.com/office/drawing/2014/main" id="{00000000-0008-0000-0900-000080D40000}"/>
            </a:ext>
          </a:extLst>
        </xdr:cNvPr>
        <xdr:cNvSpPr txBox="1">
          <a:spLocks noChangeArrowheads="1"/>
        </xdr:cNvSpPr>
      </xdr:nvSpPr>
      <xdr:spPr bwMode="auto">
        <a:xfrm>
          <a:off x="428625" y="8915400"/>
          <a:ext cx="3048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134</a:t>
          </a:r>
        </a:p>
      </xdr:txBody>
    </xdr:sp>
    <xdr:clientData/>
  </xdr:twoCellAnchor>
  <xdr:twoCellAnchor>
    <xdr:from>
      <xdr:col>6</xdr:col>
      <xdr:colOff>409575</xdr:colOff>
      <xdr:row>36</xdr:row>
      <xdr:rowOff>152400</xdr:rowOff>
    </xdr:from>
    <xdr:to>
      <xdr:col>7</xdr:col>
      <xdr:colOff>533400</xdr:colOff>
      <xdr:row>37</xdr:row>
      <xdr:rowOff>200025</xdr:rowOff>
    </xdr:to>
    <xdr:sp macro="" textlink="">
      <xdr:nvSpPr>
        <xdr:cNvPr id="54401" name="Text Box 129">
          <a:extLst>
            <a:ext uri="{FF2B5EF4-FFF2-40B4-BE49-F238E27FC236}">
              <a16:creationId xmlns:a16="http://schemas.microsoft.com/office/drawing/2014/main" id="{00000000-0008-0000-0900-000081D40000}"/>
            </a:ext>
          </a:extLst>
        </xdr:cNvPr>
        <xdr:cNvSpPr txBox="1">
          <a:spLocks noChangeArrowheads="1"/>
        </xdr:cNvSpPr>
      </xdr:nvSpPr>
      <xdr:spPr bwMode="auto">
        <a:xfrm>
          <a:off x="4972050" y="7934325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อ.ปักธงชัย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1</xdr:col>
      <xdr:colOff>333375</xdr:colOff>
      <xdr:row>33</xdr:row>
      <xdr:rowOff>85725</xdr:rowOff>
    </xdr:from>
    <xdr:to>
      <xdr:col>1</xdr:col>
      <xdr:colOff>419100</xdr:colOff>
      <xdr:row>33</xdr:row>
      <xdr:rowOff>171450</xdr:rowOff>
    </xdr:to>
    <xdr:sp macro="" textlink="">
      <xdr:nvSpPr>
        <xdr:cNvPr id="75922" name="AutoShape 130">
          <a:extLst>
            <a:ext uri="{FF2B5EF4-FFF2-40B4-BE49-F238E27FC236}">
              <a16:creationId xmlns:a16="http://schemas.microsoft.com/office/drawing/2014/main" id="{00000000-0008-0000-0900-000092280100}"/>
            </a:ext>
          </a:extLst>
        </xdr:cNvPr>
        <xdr:cNvSpPr>
          <a:spLocks noChangeArrowheads="1"/>
        </xdr:cNvSpPr>
      </xdr:nvSpPr>
      <xdr:spPr bwMode="auto">
        <a:xfrm>
          <a:off x="771525" y="778192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409575</xdr:colOff>
      <xdr:row>32</xdr:row>
      <xdr:rowOff>57150</xdr:rowOff>
    </xdr:from>
    <xdr:to>
      <xdr:col>2</xdr:col>
      <xdr:colOff>238125</xdr:colOff>
      <xdr:row>33</xdr:row>
      <xdr:rowOff>76200</xdr:rowOff>
    </xdr:to>
    <xdr:cxnSp macro="">
      <xdr:nvCxnSpPr>
        <xdr:cNvPr id="75923" name="AutoShape 131">
          <a:extLst>
            <a:ext uri="{FF2B5EF4-FFF2-40B4-BE49-F238E27FC236}">
              <a16:creationId xmlns:a16="http://schemas.microsoft.com/office/drawing/2014/main" id="{00000000-0008-0000-0900-000093280100}"/>
            </a:ext>
          </a:extLst>
        </xdr:cNvPr>
        <xdr:cNvCxnSpPr>
          <a:cxnSpLocks noChangeShapeType="1"/>
          <a:stCxn id="75860" idx="3"/>
          <a:endCxn id="75922" idx="7"/>
        </xdr:cNvCxnSpPr>
      </xdr:nvCxnSpPr>
      <xdr:spPr bwMode="auto">
        <a:xfrm flipH="1">
          <a:off x="847725" y="7534275"/>
          <a:ext cx="371475" cy="2381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0</xdr:col>
      <xdr:colOff>419100</xdr:colOff>
      <xdr:row>33</xdr:row>
      <xdr:rowOff>133350</xdr:rowOff>
    </xdr:from>
    <xdr:to>
      <xdr:col>1</xdr:col>
      <xdr:colOff>314325</xdr:colOff>
      <xdr:row>35</xdr:row>
      <xdr:rowOff>76200</xdr:rowOff>
    </xdr:to>
    <xdr:cxnSp macro="">
      <xdr:nvCxnSpPr>
        <xdr:cNvPr id="75924" name="AutoShape 132">
          <a:extLst>
            <a:ext uri="{FF2B5EF4-FFF2-40B4-BE49-F238E27FC236}">
              <a16:creationId xmlns:a16="http://schemas.microsoft.com/office/drawing/2014/main" id="{00000000-0008-0000-0900-000094280100}"/>
            </a:ext>
          </a:extLst>
        </xdr:cNvPr>
        <xdr:cNvCxnSpPr>
          <a:cxnSpLocks noChangeShapeType="1"/>
          <a:stCxn id="75922" idx="2"/>
          <a:endCxn id="75918" idx="7"/>
        </xdr:cNvCxnSpPr>
      </xdr:nvCxnSpPr>
      <xdr:spPr bwMode="auto">
        <a:xfrm flipH="1">
          <a:off x="419100" y="7829550"/>
          <a:ext cx="333375" cy="3810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</xdr:col>
      <xdr:colOff>409575</xdr:colOff>
      <xdr:row>33</xdr:row>
      <xdr:rowOff>161925</xdr:rowOff>
    </xdr:from>
    <xdr:to>
      <xdr:col>2</xdr:col>
      <xdr:colOff>9525</xdr:colOff>
      <xdr:row>34</xdr:row>
      <xdr:rowOff>95250</xdr:rowOff>
    </xdr:to>
    <xdr:cxnSp macro="">
      <xdr:nvCxnSpPr>
        <xdr:cNvPr id="75925" name="AutoShape 133">
          <a:extLst>
            <a:ext uri="{FF2B5EF4-FFF2-40B4-BE49-F238E27FC236}">
              <a16:creationId xmlns:a16="http://schemas.microsoft.com/office/drawing/2014/main" id="{00000000-0008-0000-0900-000095280100}"/>
            </a:ext>
          </a:extLst>
        </xdr:cNvPr>
        <xdr:cNvCxnSpPr>
          <a:cxnSpLocks noChangeShapeType="1"/>
          <a:stCxn id="75922" idx="5"/>
          <a:endCxn id="75823" idx="0"/>
        </xdr:cNvCxnSpPr>
      </xdr:nvCxnSpPr>
      <xdr:spPr bwMode="auto">
        <a:xfrm rot="16200000" flipH="1">
          <a:off x="842963" y="7862887"/>
          <a:ext cx="152400" cy="1428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9</xdr:col>
      <xdr:colOff>647700</xdr:colOff>
      <xdr:row>25</xdr:row>
      <xdr:rowOff>47625</xdr:rowOff>
    </xdr:from>
    <xdr:to>
      <xdr:col>10</xdr:col>
      <xdr:colOff>57150</xdr:colOff>
      <xdr:row>25</xdr:row>
      <xdr:rowOff>133350</xdr:rowOff>
    </xdr:to>
    <xdr:sp macro="" textlink="">
      <xdr:nvSpPr>
        <xdr:cNvPr id="75926" name="AutoShape 134">
          <a:extLst>
            <a:ext uri="{FF2B5EF4-FFF2-40B4-BE49-F238E27FC236}">
              <a16:creationId xmlns:a16="http://schemas.microsoft.com/office/drawing/2014/main" id="{00000000-0008-0000-0900-000096280100}"/>
            </a:ext>
          </a:extLst>
        </xdr:cNvPr>
        <xdr:cNvSpPr>
          <a:spLocks noChangeArrowheads="1"/>
        </xdr:cNvSpPr>
      </xdr:nvSpPr>
      <xdr:spPr bwMode="auto">
        <a:xfrm>
          <a:off x="7239000" y="599122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47625</xdr:colOff>
      <xdr:row>28</xdr:row>
      <xdr:rowOff>9525</xdr:rowOff>
    </xdr:from>
    <xdr:to>
      <xdr:col>8</xdr:col>
      <xdr:colOff>133350</xdr:colOff>
      <xdr:row>28</xdr:row>
      <xdr:rowOff>95250</xdr:rowOff>
    </xdr:to>
    <xdr:sp macro="" textlink="">
      <xdr:nvSpPr>
        <xdr:cNvPr id="75927" name="AutoShape 135">
          <a:extLst>
            <a:ext uri="{FF2B5EF4-FFF2-40B4-BE49-F238E27FC236}">
              <a16:creationId xmlns:a16="http://schemas.microsoft.com/office/drawing/2014/main" id="{00000000-0008-0000-0900-000097280100}"/>
            </a:ext>
          </a:extLst>
        </xdr:cNvPr>
        <xdr:cNvSpPr>
          <a:spLocks noChangeArrowheads="1"/>
        </xdr:cNvSpPr>
      </xdr:nvSpPr>
      <xdr:spPr bwMode="auto">
        <a:xfrm>
          <a:off x="5962650" y="661035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25</xdr:row>
      <xdr:rowOff>95250</xdr:rowOff>
    </xdr:from>
    <xdr:to>
      <xdr:col>8</xdr:col>
      <xdr:colOff>381000</xdr:colOff>
      <xdr:row>25</xdr:row>
      <xdr:rowOff>180975</xdr:rowOff>
    </xdr:to>
    <xdr:sp macro="" textlink="">
      <xdr:nvSpPr>
        <xdr:cNvPr id="75928" name="AutoShape 136">
          <a:extLst>
            <a:ext uri="{FF2B5EF4-FFF2-40B4-BE49-F238E27FC236}">
              <a16:creationId xmlns:a16="http://schemas.microsoft.com/office/drawing/2014/main" id="{00000000-0008-0000-0900-000098280100}"/>
            </a:ext>
          </a:extLst>
        </xdr:cNvPr>
        <xdr:cNvSpPr>
          <a:spLocks noChangeArrowheads="1"/>
        </xdr:cNvSpPr>
      </xdr:nvSpPr>
      <xdr:spPr bwMode="auto">
        <a:xfrm>
          <a:off x="6210300" y="603885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571500</xdr:colOff>
      <xdr:row>28</xdr:row>
      <xdr:rowOff>104775</xdr:rowOff>
    </xdr:from>
    <xdr:to>
      <xdr:col>8</xdr:col>
      <xdr:colOff>57150</xdr:colOff>
      <xdr:row>31</xdr:row>
      <xdr:rowOff>180975</xdr:rowOff>
    </xdr:to>
    <xdr:cxnSp macro="">
      <xdr:nvCxnSpPr>
        <xdr:cNvPr id="75929" name="AutoShape 137">
          <a:extLst>
            <a:ext uri="{FF2B5EF4-FFF2-40B4-BE49-F238E27FC236}">
              <a16:creationId xmlns:a16="http://schemas.microsoft.com/office/drawing/2014/main" id="{00000000-0008-0000-0900-000099280100}"/>
            </a:ext>
          </a:extLst>
        </xdr:cNvPr>
        <xdr:cNvCxnSpPr>
          <a:cxnSpLocks noChangeShapeType="1"/>
          <a:stCxn id="75840" idx="7"/>
          <a:endCxn id="75927" idx="3"/>
        </xdr:cNvCxnSpPr>
      </xdr:nvCxnSpPr>
      <xdr:spPr bwMode="auto">
        <a:xfrm flipV="1">
          <a:off x="5133975" y="6705600"/>
          <a:ext cx="838200" cy="7334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8</xdr:col>
      <xdr:colOff>123825</xdr:colOff>
      <xdr:row>25</xdr:row>
      <xdr:rowOff>190500</xdr:rowOff>
    </xdr:from>
    <xdr:to>
      <xdr:col>8</xdr:col>
      <xdr:colOff>304800</xdr:colOff>
      <xdr:row>28</xdr:row>
      <xdr:rowOff>0</xdr:rowOff>
    </xdr:to>
    <xdr:cxnSp macro="">
      <xdr:nvCxnSpPr>
        <xdr:cNvPr id="75930" name="AutoShape 138">
          <a:extLst>
            <a:ext uri="{FF2B5EF4-FFF2-40B4-BE49-F238E27FC236}">
              <a16:creationId xmlns:a16="http://schemas.microsoft.com/office/drawing/2014/main" id="{00000000-0008-0000-0900-00009A280100}"/>
            </a:ext>
          </a:extLst>
        </xdr:cNvPr>
        <xdr:cNvCxnSpPr>
          <a:cxnSpLocks noChangeShapeType="1"/>
          <a:stCxn id="75927" idx="7"/>
          <a:endCxn id="75928" idx="3"/>
        </xdr:cNvCxnSpPr>
      </xdr:nvCxnSpPr>
      <xdr:spPr bwMode="auto">
        <a:xfrm flipV="1">
          <a:off x="6038850" y="6134100"/>
          <a:ext cx="180975" cy="4667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8</xdr:col>
      <xdr:colOff>400050</xdr:colOff>
      <xdr:row>25</xdr:row>
      <xdr:rowOff>142875</xdr:rowOff>
    </xdr:from>
    <xdr:to>
      <xdr:col>9</xdr:col>
      <xdr:colOff>657225</xdr:colOff>
      <xdr:row>25</xdr:row>
      <xdr:rowOff>142875</xdr:rowOff>
    </xdr:to>
    <xdr:cxnSp macro="">
      <xdr:nvCxnSpPr>
        <xdr:cNvPr id="75931" name="AutoShape 139">
          <a:extLst>
            <a:ext uri="{FF2B5EF4-FFF2-40B4-BE49-F238E27FC236}">
              <a16:creationId xmlns:a16="http://schemas.microsoft.com/office/drawing/2014/main" id="{00000000-0008-0000-0900-00009B280100}"/>
            </a:ext>
          </a:extLst>
        </xdr:cNvPr>
        <xdr:cNvCxnSpPr>
          <a:cxnSpLocks noChangeShapeType="1"/>
          <a:stCxn id="75928" idx="6"/>
          <a:endCxn id="75926" idx="3"/>
        </xdr:cNvCxnSpPr>
      </xdr:nvCxnSpPr>
      <xdr:spPr bwMode="auto">
        <a:xfrm>
          <a:off x="6315075" y="6086475"/>
          <a:ext cx="93345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428625</xdr:colOff>
      <xdr:row>28</xdr:row>
      <xdr:rowOff>38100</xdr:rowOff>
    </xdr:from>
    <xdr:to>
      <xdr:col>8</xdr:col>
      <xdr:colOff>28575</xdr:colOff>
      <xdr:row>28</xdr:row>
      <xdr:rowOff>57150</xdr:rowOff>
    </xdr:to>
    <xdr:cxnSp macro="">
      <xdr:nvCxnSpPr>
        <xdr:cNvPr id="75932" name="AutoShape 140">
          <a:extLst>
            <a:ext uri="{FF2B5EF4-FFF2-40B4-BE49-F238E27FC236}">
              <a16:creationId xmlns:a16="http://schemas.microsoft.com/office/drawing/2014/main" id="{00000000-0008-0000-0900-00009C280100}"/>
            </a:ext>
          </a:extLst>
        </xdr:cNvPr>
        <xdr:cNvCxnSpPr>
          <a:cxnSpLocks noChangeShapeType="1"/>
          <a:stCxn id="75877" idx="5"/>
          <a:endCxn id="75927" idx="2"/>
        </xdr:cNvCxnSpPr>
      </xdr:nvCxnSpPr>
      <xdr:spPr bwMode="auto">
        <a:xfrm>
          <a:off x="4991100" y="6638925"/>
          <a:ext cx="952500" cy="190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9</xdr:col>
      <xdr:colOff>476250</xdr:colOff>
      <xdr:row>25</xdr:row>
      <xdr:rowOff>133350</xdr:rowOff>
    </xdr:from>
    <xdr:to>
      <xdr:col>10</xdr:col>
      <xdr:colOff>381000</xdr:colOff>
      <xdr:row>26</xdr:row>
      <xdr:rowOff>180975</xdr:rowOff>
    </xdr:to>
    <xdr:sp macro="" textlink="">
      <xdr:nvSpPr>
        <xdr:cNvPr id="54413" name="Text Box 141">
          <a:extLst>
            <a:ext uri="{FF2B5EF4-FFF2-40B4-BE49-F238E27FC236}">
              <a16:creationId xmlns:a16="http://schemas.microsoft.com/office/drawing/2014/main" id="{00000000-0008-0000-0900-00008DD40000}"/>
            </a:ext>
          </a:extLst>
        </xdr:cNvPr>
        <xdr:cNvSpPr txBox="1">
          <a:spLocks noChangeArrowheads="1"/>
        </xdr:cNvSpPr>
      </xdr:nvSpPr>
      <xdr:spPr bwMode="auto">
        <a:xfrm>
          <a:off x="7067550" y="5505450"/>
          <a:ext cx="581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อ.พิมาย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8</xdr:col>
      <xdr:colOff>228600</xdr:colOff>
      <xdr:row>26</xdr:row>
      <xdr:rowOff>85725</xdr:rowOff>
    </xdr:from>
    <xdr:to>
      <xdr:col>8</xdr:col>
      <xdr:colOff>466725</xdr:colOff>
      <xdr:row>27</xdr:row>
      <xdr:rowOff>104775</xdr:rowOff>
    </xdr:to>
    <xdr:sp macro="" textlink="">
      <xdr:nvSpPr>
        <xdr:cNvPr id="54414" name="Text Box 142">
          <a:extLst>
            <a:ext uri="{FF2B5EF4-FFF2-40B4-BE49-F238E27FC236}">
              <a16:creationId xmlns:a16="http://schemas.microsoft.com/office/drawing/2014/main" id="{00000000-0008-0000-0900-00008ED40000}"/>
            </a:ext>
          </a:extLst>
        </xdr:cNvPr>
        <xdr:cNvSpPr txBox="1">
          <a:spLocks noChangeArrowheads="1"/>
        </xdr:cNvSpPr>
      </xdr:nvSpPr>
      <xdr:spPr bwMode="auto">
        <a:xfrm>
          <a:off x="6143625" y="56769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28</a:t>
          </a:r>
        </a:p>
      </xdr:txBody>
    </xdr:sp>
    <xdr:clientData/>
  </xdr:twoCellAnchor>
  <xdr:twoCellAnchor editAs="oneCell">
    <xdr:from>
      <xdr:col>7</xdr:col>
      <xdr:colOff>409575</xdr:colOff>
      <xdr:row>29</xdr:row>
      <xdr:rowOff>142875</xdr:rowOff>
    </xdr:from>
    <xdr:to>
      <xdr:col>7</xdr:col>
      <xdr:colOff>647700</xdr:colOff>
      <xdr:row>30</xdr:row>
      <xdr:rowOff>161925</xdr:rowOff>
    </xdr:to>
    <xdr:sp macro="" textlink="">
      <xdr:nvSpPr>
        <xdr:cNvPr id="54415" name="Text Box 143">
          <a:extLst>
            <a:ext uri="{FF2B5EF4-FFF2-40B4-BE49-F238E27FC236}">
              <a16:creationId xmlns:a16="http://schemas.microsoft.com/office/drawing/2014/main" id="{00000000-0008-0000-0900-00008FD40000}"/>
            </a:ext>
          </a:extLst>
        </xdr:cNvPr>
        <xdr:cNvSpPr txBox="1">
          <a:spLocks noChangeArrowheads="1"/>
        </xdr:cNvSpPr>
      </xdr:nvSpPr>
      <xdr:spPr bwMode="auto">
        <a:xfrm>
          <a:off x="5648325" y="63912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36</a:t>
          </a:r>
        </a:p>
      </xdr:txBody>
    </xdr:sp>
    <xdr:clientData/>
  </xdr:twoCellAnchor>
  <xdr:twoCellAnchor editAs="oneCell">
    <xdr:from>
      <xdr:col>9</xdr:col>
      <xdr:colOff>180975</xdr:colOff>
      <xdr:row>24</xdr:row>
      <xdr:rowOff>76200</xdr:rowOff>
    </xdr:from>
    <xdr:to>
      <xdr:col>9</xdr:col>
      <xdr:colOff>419100</xdr:colOff>
      <xdr:row>25</xdr:row>
      <xdr:rowOff>95250</xdr:rowOff>
    </xdr:to>
    <xdr:sp macro="" textlink="">
      <xdr:nvSpPr>
        <xdr:cNvPr id="54416" name="Text Box 144">
          <a:extLst>
            <a:ext uri="{FF2B5EF4-FFF2-40B4-BE49-F238E27FC236}">
              <a16:creationId xmlns:a16="http://schemas.microsoft.com/office/drawing/2014/main" id="{00000000-0008-0000-0900-000090D40000}"/>
            </a:ext>
          </a:extLst>
        </xdr:cNvPr>
        <xdr:cNvSpPr txBox="1">
          <a:spLocks noChangeArrowheads="1"/>
        </xdr:cNvSpPr>
      </xdr:nvSpPr>
      <xdr:spPr bwMode="auto">
        <a:xfrm>
          <a:off x="6772275" y="52292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14</a:t>
          </a:r>
        </a:p>
      </xdr:txBody>
    </xdr:sp>
    <xdr:clientData/>
  </xdr:twoCellAnchor>
  <xdr:twoCellAnchor editAs="oneCell">
    <xdr:from>
      <xdr:col>7</xdr:col>
      <xdr:colOff>85725</xdr:colOff>
      <xdr:row>26</xdr:row>
      <xdr:rowOff>200025</xdr:rowOff>
    </xdr:from>
    <xdr:to>
      <xdr:col>7</xdr:col>
      <xdr:colOff>323850</xdr:colOff>
      <xdr:row>28</xdr:row>
      <xdr:rowOff>0</xdr:rowOff>
    </xdr:to>
    <xdr:sp macro="" textlink="">
      <xdr:nvSpPr>
        <xdr:cNvPr id="54417" name="Text Box 145">
          <a:extLst>
            <a:ext uri="{FF2B5EF4-FFF2-40B4-BE49-F238E27FC236}">
              <a16:creationId xmlns:a16="http://schemas.microsoft.com/office/drawing/2014/main" id="{00000000-0008-0000-0900-000091D40000}"/>
            </a:ext>
          </a:extLst>
        </xdr:cNvPr>
        <xdr:cNvSpPr txBox="1">
          <a:spLocks noChangeArrowheads="1"/>
        </xdr:cNvSpPr>
      </xdr:nvSpPr>
      <xdr:spPr bwMode="auto">
        <a:xfrm>
          <a:off x="5324475" y="57912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28</a:t>
          </a:r>
        </a:p>
      </xdr:txBody>
    </xdr:sp>
    <xdr:clientData/>
  </xdr:twoCellAnchor>
  <xdr:twoCellAnchor>
    <xdr:from>
      <xdr:col>0</xdr:col>
      <xdr:colOff>266700</xdr:colOff>
      <xdr:row>27</xdr:row>
      <xdr:rowOff>161925</xdr:rowOff>
    </xdr:from>
    <xdr:to>
      <xdr:col>1</xdr:col>
      <xdr:colOff>95250</xdr:colOff>
      <xdr:row>28</xdr:row>
      <xdr:rowOff>123825</xdr:rowOff>
    </xdr:to>
    <xdr:sp macro="" textlink="">
      <xdr:nvSpPr>
        <xdr:cNvPr id="75938" name="AutoShape 146">
          <a:extLst>
            <a:ext uri="{FF2B5EF4-FFF2-40B4-BE49-F238E27FC236}">
              <a16:creationId xmlns:a16="http://schemas.microsoft.com/office/drawing/2014/main" id="{00000000-0008-0000-0900-0000A2280100}"/>
            </a:ext>
          </a:extLst>
        </xdr:cNvPr>
        <xdr:cNvSpPr>
          <a:spLocks noChangeArrowheads="1"/>
        </xdr:cNvSpPr>
      </xdr:nvSpPr>
      <xdr:spPr bwMode="auto">
        <a:xfrm>
          <a:off x="266700" y="6543675"/>
          <a:ext cx="266700" cy="180975"/>
        </a:xfrm>
        <a:prstGeom prst="flowChartProcess">
          <a:avLst/>
        </a:prstGeom>
        <a:solidFill>
          <a:srgbClr val="3366FF"/>
        </a:solidFill>
        <a:ln w="381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419100</xdr:colOff>
      <xdr:row>31</xdr:row>
      <xdr:rowOff>133350</xdr:rowOff>
    </xdr:from>
    <xdr:to>
      <xdr:col>2</xdr:col>
      <xdr:colOff>117724</xdr:colOff>
      <xdr:row>32</xdr:row>
      <xdr:rowOff>181938</xdr:rowOff>
    </xdr:to>
    <xdr:sp macro="" textlink="">
      <xdr:nvSpPr>
        <xdr:cNvPr id="54419" name="Text Box 147">
          <a:extLst>
            <a:ext uri="{FF2B5EF4-FFF2-40B4-BE49-F238E27FC236}">
              <a16:creationId xmlns:a16="http://schemas.microsoft.com/office/drawing/2014/main" id="{00000000-0008-0000-0900-000093D40000}"/>
            </a:ext>
          </a:extLst>
        </xdr:cNvPr>
        <xdr:cNvSpPr txBox="1">
          <a:spLocks noChangeArrowheads="1"/>
        </xdr:cNvSpPr>
      </xdr:nvSpPr>
      <xdr:spPr bwMode="auto">
        <a:xfrm>
          <a:off x="857892" y="7271749"/>
          <a:ext cx="244439" cy="262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5</a:t>
          </a:r>
        </a:p>
      </xdr:txBody>
    </xdr:sp>
    <xdr:clientData/>
  </xdr:twoCellAnchor>
  <xdr:twoCellAnchor>
    <xdr:from>
      <xdr:col>0</xdr:col>
      <xdr:colOff>400050</xdr:colOff>
      <xdr:row>26</xdr:row>
      <xdr:rowOff>76200</xdr:rowOff>
    </xdr:from>
    <xdr:to>
      <xdr:col>1</xdr:col>
      <xdr:colOff>38100</xdr:colOff>
      <xdr:row>27</xdr:row>
      <xdr:rowOff>142875</xdr:rowOff>
    </xdr:to>
    <xdr:cxnSp macro="">
      <xdr:nvCxnSpPr>
        <xdr:cNvPr id="75940" name="AutoShape 148">
          <a:extLst>
            <a:ext uri="{FF2B5EF4-FFF2-40B4-BE49-F238E27FC236}">
              <a16:creationId xmlns:a16="http://schemas.microsoft.com/office/drawing/2014/main" id="{00000000-0008-0000-0900-0000A4280100}"/>
            </a:ext>
          </a:extLst>
        </xdr:cNvPr>
        <xdr:cNvCxnSpPr>
          <a:cxnSpLocks noChangeShapeType="1"/>
          <a:stCxn id="75883" idx="3"/>
          <a:endCxn id="75938" idx="0"/>
        </xdr:cNvCxnSpPr>
      </xdr:nvCxnSpPr>
      <xdr:spPr bwMode="auto">
        <a:xfrm flipH="1">
          <a:off x="400050" y="6238875"/>
          <a:ext cx="76200" cy="2857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209550</xdr:colOff>
      <xdr:row>26</xdr:row>
      <xdr:rowOff>66675</xdr:rowOff>
    </xdr:from>
    <xdr:to>
      <xdr:col>1</xdr:col>
      <xdr:colOff>9525</xdr:colOff>
      <xdr:row>27</xdr:row>
      <xdr:rowOff>85725</xdr:rowOff>
    </xdr:to>
    <xdr:sp macro="" textlink="">
      <xdr:nvSpPr>
        <xdr:cNvPr id="54421" name="Text Box 149">
          <a:extLst>
            <a:ext uri="{FF2B5EF4-FFF2-40B4-BE49-F238E27FC236}">
              <a16:creationId xmlns:a16="http://schemas.microsoft.com/office/drawing/2014/main" id="{00000000-0008-0000-0900-000095D40000}"/>
            </a:ext>
          </a:extLst>
        </xdr:cNvPr>
        <xdr:cNvSpPr txBox="1">
          <a:spLocks noChangeArrowheads="1"/>
        </xdr:cNvSpPr>
      </xdr:nvSpPr>
      <xdr:spPr bwMode="auto">
        <a:xfrm>
          <a:off x="209550" y="56578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14</a:t>
          </a:r>
        </a:p>
      </xdr:txBody>
    </xdr:sp>
    <xdr:clientData/>
  </xdr:twoCellAnchor>
  <xdr:twoCellAnchor editAs="oneCell">
    <xdr:from>
      <xdr:col>3</xdr:col>
      <xdr:colOff>57150</xdr:colOff>
      <xdr:row>30</xdr:row>
      <xdr:rowOff>209550</xdr:rowOff>
    </xdr:from>
    <xdr:to>
      <xdr:col>3</xdr:col>
      <xdr:colOff>295275</xdr:colOff>
      <xdr:row>32</xdr:row>
      <xdr:rowOff>9525</xdr:rowOff>
    </xdr:to>
    <xdr:sp macro="" textlink="">
      <xdr:nvSpPr>
        <xdr:cNvPr id="54422" name="Text Box 150">
          <a:extLst>
            <a:ext uri="{FF2B5EF4-FFF2-40B4-BE49-F238E27FC236}">
              <a16:creationId xmlns:a16="http://schemas.microsoft.com/office/drawing/2014/main" id="{00000000-0008-0000-0900-000096D40000}"/>
            </a:ext>
          </a:extLst>
        </xdr:cNvPr>
        <xdr:cNvSpPr txBox="1">
          <a:spLocks noChangeArrowheads="1"/>
        </xdr:cNvSpPr>
      </xdr:nvSpPr>
      <xdr:spPr bwMode="auto">
        <a:xfrm>
          <a:off x="2000250" y="72485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45</a:t>
          </a:r>
        </a:p>
      </xdr:txBody>
    </xdr:sp>
    <xdr:clientData/>
  </xdr:twoCellAnchor>
  <xdr:twoCellAnchor editAs="oneCell">
    <xdr:from>
      <xdr:col>4</xdr:col>
      <xdr:colOff>130283</xdr:colOff>
      <xdr:row>29</xdr:row>
      <xdr:rowOff>111395</xdr:rowOff>
    </xdr:from>
    <xdr:to>
      <xdr:col>4</xdr:col>
      <xdr:colOff>368408</xdr:colOff>
      <xdr:row>30</xdr:row>
      <xdr:rowOff>130444</xdr:rowOff>
    </xdr:to>
    <xdr:sp macro="" textlink="">
      <xdr:nvSpPr>
        <xdr:cNvPr id="54423" name="Text Box 151">
          <a:extLst>
            <a:ext uri="{FF2B5EF4-FFF2-40B4-BE49-F238E27FC236}">
              <a16:creationId xmlns:a16="http://schemas.microsoft.com/office/drawing/2014/main" id="{00000000-0008-0000-0900-000097D40000}"/>
            </a:ext>
          </a:extLst>
        </xdr:cNvPr>
        <xdr:cNvSpPr txBox="1">
          <a:spLocks noChangeArrowheads="1"/>
        </xdr:cNvSpPr>
      </xdr:nvSpPr>
      <xdr:spPr bwMode="auto">
        <a:xfrm>
          <a:off x="2987783" y="6891903"/>
          <a:ext cx="238125" cy="2369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16</a:t>
          </a:r>
        </a:p>
      </xdr:txBody>
    </xdr:sp>
    <xdr:clientData/>
  </xdr:twoCellAnchor>
  <xdr:twoCellAnchor editAs="oneCell">
    <xdr:from>
      <xdr:col>0</xdr:col>
      <xdr:colOff>295275</xdr:colOff>
      <xdr:row>33</xdr:row>
      <xdr:rowOff>85725</xdr:rowOff>
    </xdr:from>
    <xdr:to>
      <xdr:col>1</xdr:col>
      <xdr:colOff>161925</xdr:colOff>
      <xdr:row>34</xdr:row>
      <xdr:rowOff>104775</xdr:rowOff>
    </xdr:to>
    <xdr:sp macro="" textlink="">
      <xdr:nvSpPr>
        <xdr:cNvPr id="54424" name="Text Box 152">
          <a:extLst>
            <a:ext uri="{FF2B5EF4-FFF2-40B4-BE49-F238E27FC236}">
              <a16:creationId xmlns:a16="http://schemas.microsoft.com/office/drawing/2014/main" id="{00000000-0008-0000-0900-000098D40000}"/>
            </a:ext>
          </a:extLst>
        </xdr:cNvPr>
        <xdr:cNvSpPr txBox="1">
          <a:spLocks noChangeArrowheads="1"/>
        </xdr:cNvSpPr>
      </xdr:nvSpPr>
      <xdr:spPr bwMode="auto">
        <a:xfrm>
          <a:off x="295275" y="7210425"/>
          <a:ext cx="3048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55</a:t>
          </a:r>
        </a:p>
      </xdr:txBody>
    </xdr:sp>
    <xdr:clientData/>
  </xdr:twoCellAnchor>
  <xdr:twoCellAnchor>
    <xdr:from>
      <xdr:col>5</xdr:col>
      <xdr:colOff>152400</xdr:colOff>
      <xdr:row>29</xdr:row>
      <xdr:rowOff>38100</xdr:rowOff>
    </xdr:from>
    <xdr:to>
      <xdr:col>5</xdr:col>
      <xdr:colOff>238125</xdr:colOff>
      <xdr:row>29</xdr:row>
      <xdr:rowOff>123825</xdr:rowOff>
    </xdr:to>
    <xdr:sp macro="" textlink="">
      <xdr:nvSpPr>
        <xdr:cNvPr id="75945" name="AutoShape 153">
          <a:extLst>
            <a:ext uri="{FF2B5EF4-FFF2-40B4-BE49-F238E27FC236}">
              <a16:creationId xmlns:a16="http://schemas.microsoft.com/office/drawing/2014/main" id="{00000000-0008-0000-0900-0000A9280100}"/>
            </a:ext>
          </a:extLst>
        </xdr:cNvPr>
        <xdr:cNvSpPr>
          <a:spLocks noChangeArrowheads="1"/>
        </xdr:cNvSpPr>
      </xdr:nvSpPr>
      <xdr:spPr bwMode="auto">
        <a:xfrm>
          <a:off x="3867150" y="685800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600075</xdr:colOff>
      <xdr:row>27</xdr:row>
      <xdr:rowOff>76200</xdr:rowOff>
    </xdr:from>
    <xdr:to>
      <xdr:col>5</xdr:col>
      <xdr:colOff>161925</xdr:colOff>
      <xdr:row>29</xdr:row>
      <xdr:rowOff>28575</xdr:rowOff>
    </xdr:to>
    <xdr:cxnSp macro="">
      <xdr:nvCxnSpPr>
        <xdr:cNvPr id="75946" name="AutoShape 154">
          <a:extLst>
            <a:ext uri="{FF2B5EF4-FFF2-40B4-BE49-F238E27FC236}">
              <a16:creationId xmlns:a16="http://schemas.microsoft.com/office/drawing/2014/main" id="{00000000-0008-0000-0900-0000AA280100}"/>
            </a:ext>
          </a:extLst>
        </xdr:cNvPr>
        <xdr:cNvCxnSpPr>
          <a:cxnSpLocks noChangeShapeType="1"/>
          <a:stCxn id="75839" idx="5"/>
          <a:endCxn id="75945" idx="1"/>
        </xdr:cNvCxnSpPr>
      </xdr:nvCxnSpPr>
      <xdr:spPr bwMode="auto">
        <a:xfrm>
          <a:off x="3467100" y="6457950"/>
          <a:ext cx="409575" cy="3905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5</xdr:col>
      <xdr:colOff>228600</xdr:colOff>
      <xdr:row>29</xdr:row>
      <xdr:rowOff>133350</xdr:rowOff>
    </xdr:from>
    <xdr:to>
      <xdr:col>5</xdr:col>
      <xdr:colOff>657225</xdr:colOff>
      <xdr:row>31</xdr:row>
      <xdr:rowOff>161925</xdr:rowOff>
    </xdr:to>
    <xdr:cxnSp macro="">
      <xdr:nvCxnSpPr>
        <xdr:cNvPr id="75947" name="AutoShape 155">
          <a:extLst>
            <a:ext uri="{FF2B5EF4-FFF2-40B4-BE49-F238E27FC236}">
              <a16:creationId xmlns:a16="http://schemas.microsoft.com/office/drawing/2014/main" id="{00000000-0008-0000-0900-0000AB280100}"/>
            </a:ext>
          </a:extLst>
        </xdr:cNvPr>
        <xdr:cNvCxnSpPr>
          <a:cxnSpLocks noChangeShapeType="1"/>
          <a:stCxn id="75945" idx="5"/>
          <a:endCxn id="75841" idx="1"/>
        </xdr:cNvCxnSpPr>
      </xdr:nvCxnSpPr>
      <xdr:spPr bwMode="auto">
        <a:xfrm>
          <a:off x="3943350" y="6953250"/>
          <a:ext cx="428625" cy="4667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5</xdr:col>
      <xdr:colOff>228600</xdr:colOff>
      <xdr:row>28</xdr:row>
      <xdr:rowOff>38100</xdr:rowOff>
    </xdr:from>
    <xdr:to>
      <xdr:col>6</xdr:col>
      <xdr:colOff>428625</xdr:colOff>
      <xdr:row>29</xdr:row>
      <xdr:rowOff>28575</xdr:rowOff>
    </xdr:to>
    <xdr:cxnSp macro="">
      <xdr:nvCxnSpPr>
        <xdr:cNvPr id="75948" name="AutoShape 156">
          <a:extLst>
            <a:ext uri="{FF2B5EF4-FFF2-40B4-BE49-F238E27FC236}">
              <a16:creationId xmlns:a16="http://schemas.microsoft.com/office/drawing/2014/main" id="{00000000-0008-0000-0900-0000AC280100}"/>
            </a:ext>
          </a:extLst>
        </xdr:cNvPr>
        <xdr:cNvCxnSpPr>
          <a:cxnSpLocks noChangeShapeType="1"/>
          <a:stCxn id="75945" idx="7"/>
          <a:endCxn id="75877" idx="5"/>
        </xdr:cNvCxnSpPr>
      </xdr:nvCxnSpPr>
      <xdr:spPr bwMode="auto">
        <a:xfrm flipV="1">
          <a:off x="3943350" y="6638925"/>
          <a:ext cx="1047750" cy="2095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5</xdr:col>
      <xdr:colOff>390525</xdr:colOff>
      <xdr:row>27</xdr:row>
      <xdr:rowOff>123825</xdr:rowOff>
    </xdr:from>
    <xdr:to>
      <xdr:col>5</xdr:col>
      <xdr:colOff>628650</xdr:colOff>
      <xdr:row>28</xdr:row>
      <xdr:rowOff>142875</xdr:rowOff>
    </xdr:to>
    <xdr:sp macro="" textlink="">
      <xdr:nvSpPr>
        <xdr:cNvPr id="54429" name="Text Box 157">
          <a:extLst>
            <a:ext uri="{FF2B5EF4-FFF2-40B4-BE49-F238E27FC236}">
              <a16:creationId xmlns:a16="http://schemas.microsoft.com/office/drawing/2014/main" id="{00000000-0008-0000-0900-00009DD40000}"/>
            </a:ext>
          </a:extLst>
        </xdr:cNvPr>
        <xdr:cNvSpPr txBox="1">
          <a:spLocks noChangeArrowheads="1"/>
        </xdr:cNvSpPr>
      </xdr:nvSpPr>
      <xdr:spPr bwMode="auto">
        <a:xfrm>
          <a:off x="4105275" y="59340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23</a:t>
          </a:r>
        </a:p>
      </xdr:txBody>
    </xdr:sp>
    <xdr:clientData/>
  </xdr:twoCellAnchor>
  <xdr:twoCellAnchor editAs="oneCell">
    <xdr:from>
      <xdr:col>5</xdr:col>
      <xdr:colOff>19050</xdr:colOff>
      <xdr:row>27</xdr:row>
      <xdr:rowOff>76200</xdr:rowOff>
    </xdr:from>
    <xdr:to>
      <xdr:col>5</xdr:col>
      <xdr:colOff>257175</xdr:colOff>
      <xdr:row>28</xdr:row>
      <xdr:rowOff>95250</xdr:rowOff>
    </xdr:to>
    <xdr:sp macro="" textlink="">
      <xdr:nvSpPr>
        <xdr:cNvPr id="54430" name="Text Box 158">
          <a:extLst>
            <a:ext uri="{FF2B5EF4-FFF2-40B4-BE49-F238E27FC236}">
              <a16:creationId xmlns:a16="http://schemas.microsoft.com/office/drawing/2014/main" id="{00000000-0008-0000-0900-00009ED40000}"/>
            </a:ext>
          </a:extLst>
        </xdr:cNvPr>
        <xdr:cNvSpPr txBox="1">
          <a:spLocks noChangeArrowheads="1"/>
        </xdr:cNvSpPr>
      </xdr:nvSpPr>
      <xdr:spPr bwMode="auto">
        <a:xfrm>
          <a:off x="3733800" y="58864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21</a:t>
          </a:r>
        </a:p>
      </xdr:txBody>
    </xdr:sp>
    <xdr:clientData/>
  </xdr:twoCellAnchor>
  <xdr:twoCellAnchor>
    <xdr:from>
      <xdr:col>6</xdr:col>
      <xdr:colOff>19050</xdr:colOff>
      <xdr:row>13</xdr:row>
      <xdr:rowOff>200025</xdr:rowOff>
    </xdr:from>
    <xdr:to>
      <xdr:col>6</xdr:col>
      <xdr:colOff>104775</xdr:colOff>
      <xdr:row>14</xdr:row>
      <xdr:rowOff>76200</xdr:rowOff>
    </xdr:to>
    <xdr:sp macro="" textlink="">
      <xdr:nvSpPr>
        <xdr:cNvPr id="75951" name="AutoShape 159">
          <a:extLst>
            <a:ext uri="{FF2B5EF4-FFF2-40B4-BE49-F238E27FC236}">
              <a16:creationId xmlns:a16="http://schemas.microsoft.com/office/drawing/2014/main" id="{00000000-0008-0000-0900-0000AF280100}"/>
            </a:ext>
          </a:extLst>
        </xdr:cNvPr>
        <xdr:cNvSpPr>
          <a:spLocks noChangeArrowheads="1"/>
        </xdr:cNvSpPr>
      </xdr:nvSpPr>
      <xdr:spPr bwMode="auto">
        <a:xfrm>
          <a:off x="4581525" y="3514725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161925</xdr:colOff>
      <xdr:row>14</xdr:row>
      <xdr:rowOff>104775</xdr:rowOff>
    </xdr:from>
    <xdr:to>
      <xdr:col>7</xdr:col>
      <xdr:colOff>247650</xdr:colOff>
      <xdr:row>14</xdr:row>
      <xdr:rowOff>190500</xdr:rowOff>
    </xdr:to>
    <xdr:sp macro="" textlink="">
      <xdr:nvSpPr>
        <xdr:cNvPr id="75952" name="AutoShape 160">
          <a:extLst>
            <a:ext uri="{FF2B5EF4-FFF2-40B4-BE49-F238E27FC236}">
              <a16:creationId xmlns:a16="http://schemas.microsoft.com/office/drawing/2014/main" id="{00000000-0008-0000-0900-0000B0280100}"/>
            </a:ext>
          </a:extLst>
        </xdr:cNvPr>
        <xdr:cNvSpPr>
          <a:spLocks noChangeArrowheads="1"/>
        </xdr:cNvSpPr>
      </xdr:nvSpPr>
      <xdr:spPr bwMode="auto">
        <a:xfrm>
          <a:off x="5400675" y="363855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561975</xdr:colOff>
      <xdr:row>11</xdr:row>
      <xdr:rowOff>19050</xdr:rowOff>
    </xdr:from>
    <xdr:to>
      <xdr:col>6</xdr:col>
      <xdr:colOff>647700</xdr:colOff>
      <xdr:row>11</xdr:row>
      <xdr:rowOff>104775</xdr:rowOff>
    </xdr:to>
    <xdr:sp macro="" textlink="">
      <xdr:nvSpPr>
        <xdr:cNvPr id="75953" name="AutoShape 161">
          <a:extLst>
            <a:ext uri="{FF2B5EF4-FFF2-40B4-BE49-F238E27FC236}">
              <a16:creationId xmlns:a16="http://schemas.microsoft.com/office/drawing/2014/main" id="{00000000-0008-0000-0900-0000B1280100}"/>
            </a:ext>
          </a:extLst>
        </xdr:cNvPr>
        <xdr:cNvSpPr>
          <a:spLocks noChangeArrowheads="1"/>
        </xdr:cNvSpPr>
      </xdr:nvSpPr>
      <xdr:spPr bwMode="auto">
        <a:xfrm>
          <a:off x="5124450" y="289560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76200</xdr:colOff>
      <xdr:row>8</xdr:row>
      <xdr:rowOff>161925</xdr:rowOff>
    </xdr:from>
    <xdr:to>
      <xdr:col>7</xdr:col>
      <xdr:colOff>161925</xdr:colOff>
      <xdr:row>9</xdr:row>
      <xdr:rowOff>28575</xdr:rowOff>
    </xdr:to>
    <xdr:sp macro="" textlink="">
      <xdr:nvSpPr>
        <xdr:cNvPr id="75954" name="AutoShape 162">
          <a:extLst>
            <a:ext uri="{FF2B5EF4-FFF2-40B4-BE49-F238E27FC236}">
              <a16:creationId xmlns:a16="http://schemas.microsoft.com/office/drawing/2014/main" id="{00000000-0008-0000-0900-0000B2280100}"/>
            </a:ext>
          </a:extLst>
        </xdr:cNvPr>
        <xdr:cNvSpPr>
          <a:spLocks noChangeArrowheads="1"/>
        </xdr:cNvSpPr>
      </xdr:nvSpPr>
      <xdr:spPr bwMode="auto">
        <a:xfrm>
          <a:off x="5314950" y="238125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361950</xdr:colOff>
      <xdr:row>4</xdr:row>
      <xdr:rowOff>266700</xdr:rowOff>
    </xdr:from>
    <xdr:to>
      <xdr:col>7</xdr:col>
      <xdr:colOff>447675</xdr:colOff>
      <xdr:row>5</xdr:row>
      <xdr:rowOff>47625</xdr:rowOff>
    </xdr:to>
    <xdr:sp macro="" textlink="">
      <xdr:nvSpPr>
        <xdr:cNvPr id="75955" name="AutoShape 163">
          <a:extLst>
            <a:ext uri="{FF2B5EF4-FFF2-40B4-BE49-F238E27FC236}">
              <a16:creationId xmlns:a16="http://schemas.microsoft.com/office/drawing/2014/main" id="{00000000-0008-0000-0900-0000B3280100}"/>
            </a:ext>
          </a:extLst>
        </xdr:cNvPr>
        <xdr:cNvSpPr>
          <a:spLocks noChangeArrowheads="1"/>
        </xdr:cNvSpPr>
      </xdr:nvSpPr>
      <xdr:spPr bwMode="auto">
        <a:xfrm>
          <a:off x="5600700" y="1428750"/>
          <a:ext cx="85725" cy="11430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228600</xdr:colOff>
      <xdr:row>12</xdr:row>
      <xdr:rowOff>95250</xdr:rowOff>
    </xdr:from>
    <xdr:to>
      <xdr:col>7</xdr:col>
      <xdr:colOff>314325</xdr:colOff>
      <xdr:row>12</xdr:row>
      <xdr:rowOff>180975</xdr:rowOff>
    </xdr:to>
    <xdr:sp macro="" textlink="">
      <xdr:nvSpPr>
        <xdr:cNvPr id="75957" name="AutoShape 165">
          <a:extLst>
            <a:ext uri="{FF2B5EF4-FFF2-40B4-BE49-F238E27FC236}">
              <a16:creationId xmlns:a16="http://schemas.microsoft.com/office/drawing/2014/main" id="{00000000-0008-0000-0900-0000B5280100}"/>
            </a:ext>
          </a:extLst>
        </xdr:cNvPr>
        <xdr:cNvSpPr>
          <a:spLocks noChangeArrowheads="1"/>
        </xdr:cNvSpPr>
      </xdr:nvSpPr>
      <xdr:spPr bwMode="auto">
        <a:xfrm>
          <a:off x="5467350" y="319087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438150</xdr:colOff>
      <xdr:row>14</xdr:row>
      <xdr:rowOff>38100</xdr:rowOff>
    </xdr:from>
    <xdr:to>
      <xdr:col>6</xdr:col>
      <xdr:colOff>0</xdr:colOff>
      <xdr:row>15</xdr:row>
      <xdr:rowOff>104775</xdr:rowOff>
    </xdr:to>
    <xdr:cxnSp macro="">
      <xdr:nvCxnSpPr>
        <xdr:cNvPr id="75958" name="AutoShape 166">
          <a:extLst>
            <a:ext uri="{FF2B5EF4-FFF2-40B4-BE49-F238E27FC236}">
              <a16:creationId xmlns:a16="http://schemas.microsoft.com/office/drawing/2014/main" id="{00000000-0008-0000-0900-0000B6280100}"/>
            </a:ext>
          </a:extLst>
        </xdr:cNvPr>
        <xdr:cNvCxnSpPr>
          <a:cxnSpLocks noChangeShapeType="1"/>
          <a:stCxn id="75836" idx="1"/>
          <a:endCxn id="75951" idx="2"/>
        </xdr:cNvCxnSpPr>
      </xdr:nvCxnSpPr>
      <xdr:spPr bwMode="auto">
        <a:xfrm flipV="1">
          <a:off x="4152900" y="3571875"/>
          <a:ext cx="409575" cy="2857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123825</xdr:colOff>
      <xdr:row>14</xdr:row>
      <xdr:rowOff>38100</xdr:rowOff>
    </xdr:from>
    <xdr:to>
      <xdr:col>7</xdr:col>
      <xdr:colOff>142875</xdr:colOff>
      <xdr:row>14</xdr:row>
      <xdr:rowOff>152400</xdr:rowOff>
    </xdr:to>
    <xdr:cxnSp macro="">
      <xdr:nvCxnSpPr>
        <xdr:cNvPr id="75959" name="AutoShape 167">
          <a:extLst>
            <a:ext uri="{FF2B5EF4-FFF2-40B4-BE49-F238E27FC236}">
              <a16:creationId xmlns:a16="http://schemas.microsoft.com/office/drawing/2014/main" id="{00000000-0008-0000-0900-0000B7280100}"/>
            </a:ext>
          </a:extLst>
        </xdr:cNvPr>
        <xdr:cNvCxnSpPr>
          <a:cxnSpLocks noChangeShapeType="1"/>
          <a:stCxn id="75951" idx="6"/>
          <a:endCxn id="75952" idx="2"/>
        </xdr:cNvCxnSpPr>
      </xdr:nvCxnSpPr>
      <xdr:spPr bwMode="auto">
        <a:xfrm>
          <a:off x="4686300" y="3571875"/>
          <a:ext cx="695325" cy="1143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66675</xdr:colOff>
      <xdr:row>11</xdr:row>
      <xdr:rowOff>66675</xdr:rowOff>
    </xdr:from>
    <xdr:to>
      <xdr:col>6</xdr:col>
      <xdr:colOff>542925</xdr:colOff>
      <xdr:row>13</xdr:row>
      <xdr:rowOff>180975</xdr:rowOff>
    </xdr:to>
    <xdr:cxnSp macro="">
      <xdr:nvCxnSpPr>
        <xdr:cNvPr id="75960" name="AutoShape 168">
          <a:extLst>
            <a:ext uri="{FF2B5EF4-FFF2-40B4-BE49-F238E27FC236}">
              <a16:creationId xmlns:a16="http://schemas.microsoft.com/office/drawing/2014/main" id="{00000000-0008-0000-0900-0000B8280100}"/>
            </a:ext>
          </a:extLst>
        </xdr:cNvPr>
        <xdr:cNvCxnSpPr>
          <a:cxnSpLocks noChangeShapeType="1"/>
          <a:stCxn id="75951" idx="0"/>
          <a:endCxn id="75953" idx="2"/>
        </xdr:cNvCxnSpPr>
      </xdr:nvCxnSpPr>
      <xdr:spPr bwMode="auto">
        <a:xfrm flipV="1">
          <a:off x="4629150" y="2943225"/>
          <a:ext cx="476250" cy="5524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7</xdr:col>
      <xdr:colOff>209550</xdr:colOff>
      <xdr:row>12</xdr:row>
      <xdr:rowOff>200025</xdr:rowOff>
    </xdr:from>
    <xdr:to>
      <xdr:col>7</xdr:col>
      <xdr:colOff>276225</xdr:colOff>
      <xdr:row>14</xdr:row>
      <xdr:rowOff>85725</xdr:rowOff>
    </xdr:to>
    <xdr:cxnSp macro="">
      <xdr:nvCxnSpPr>
        <xdr:cNvPr id="75961" name="AutoShape 169">
          <a:extLst>
            <a:ext uri="{FF2B5EF4-FFF2-40B4-BE49-F238E27FC236}">
              <a16:creationId xmlns:a16="http://schemas.microsoft.com/office/drawing/2014/main" id="{00000000-0008-0000-0900-0000B9280100}"/>
            </a:ext>
          </a:extLst>
        </xdr:cNvPr>
        <xdr:cNvCxnSpPr>
          <a:cxnSpLocks noChangeShapeType="1"/>
          <a:stCxn id="75952" idx="0"/>
          <a:endCxn id="75957" idx="4"/>
        </xdr:cNvCxnSpPr>
      </xdr:nvCxnSpPr>
      <xdr:spPr bwMode="auto">
        <a:xfrm flipV="1">
          <a:off x="5448300" y="3295650"/>
          <a:ext cx="66675" cy="3238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666750</xdr:colOff>
      <xdr:row>11</xdr:row>
      <xdr:rowOff>66675</xdr:rowOff>
    </xdr:from>
    <xdr:to>
      <xdr:col>7</xdr:col>
      <xdr:colOff>238125</xdr:colOff>
      <xdr:row>12</xdr:row>
      <xdr:rowOff>85725</xdr:rowOff>
    </xdr:to>
    <xdr:cxnSp macro="">
      <xdr:nvCxnSpPr>
        <xdr:cNvPr id="75962" name="AutoShape 170">
          <a:extLst>
            <a:ext uri="{FF2B5EF4-FFF2-40B4-BE49-F238E27FC236}">
              <a16:creationId xmlns:a16="http://schemas.microsoft.com/office/drawing/2014/main" id="{00000000-0008-0000-0900-0000BA280100}"/>
            </a:ext>
          </a:extLst>
        </xdr:cNvPr>
        <xdr:cNvCxnSpPr>
          <a:cxnSpLocks noChangeShapeType="1"/>
          <a:stCxn id="75957" idx="1"/>
          <a:endCxn id="75953" idx="6"/>
        </xdr:cNvCxnSpPr>
      </xdr:nvCxnSpPr>
      <xdr:spPr bwMode="auto">
        <a:xfrm flipH="1" flipV="1">
          <a:off x="5229225" y="2943225"/>
          <a:ext cx="247650" cy="2381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609600</xdr:colOff>
      <xdr:row>9</xdr:row>
      <xdr:rowOff>38100</xdr:rowOff>
    </xdr:from>
    <xdr:to>
      <xdr:col>7</xdr:col>
      <xdr:colOff>85725</xdr:colOff>
      <xdr:row>11</xdr:row>
      <xdr:rowOff>0</xdr:rowOff>
    </xdr:to>
    <xdr:cxnSp macro="">
      <xdr:nvCxnSpPr>
        <xdr:cNvPr id="75963" name="AutoShape 171">
          <a:extLst>
            <a:ext uri="{FF2B5EF4-FFF2-40B4-BE49-F238E27FC236}">
              <a16:creationId xmlns:a16="http://schemas.microsoft.com/office/drawing/2014/main" id="{00000000-0008-0000-0900-0000BB280100}"/>
            </a:ext>
          </a:extLst>
        </xdr:cNvPr>
        <xdr:cNvCxnSpPr>
          <a:cxnSpLocks noChangeShapeType="1"/>
          <a:stCxn id="75953" idx="0"/>
          <a:endCxn id="75954" idx="3"/>
        </xdr:cNvCxnSpPr>
      </xdr:nvCxnSpPr>
      <xdr:spPr bwMode="auto">
        <a:xfrm flipV="1">
          <a:off x="5172075" y="2476500"/>
          <a:ext cx="152400" cy="4000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7</xdr:col>
      <xdr:colOff>123825</xdr:colOff>
      <xdr:row>5</xdr:row>
      <xdr:rowOff>57150</xdr:rowOff>
    </xdr:from>
    <xdr:to>
      <xdr:col>7</xdr:col>
      <xdr:colOff>371475</xdr:colOff>
      <xdr:row>8</xdr:row>
      <xdr:rowOff>142875</xdr:rowOff>
    </xdr:to>
    <xdr:cxnSp macro="">
      <xdr:nvCxnSpPr>
        <xdr:cNvPr id="75964" name="AutoShape 172">
          <a:extLst>
            <a:ext uri="{FF2B5EF4-FFF2-40B4-BE49-F238E27FC236}">
              <a16:creationId xmlns:a16="http://schemas.microsoft.com/office/drawing/2014/main" id="{00000000-0008-0000-0900-0000BC280100}"/>
            </a:ext>
          </a:extLst>
        </xdr:cNvPr>
        <xdr:cNvCxnSpPr>
          <a:cxnSpLocks noChangeShapeType="1"/>
          <a:stCxn id="75954" idx="0"/>
          <a:endCxn id="75955" idx="3"/>
        </xdr:cNvCxnSpPr>
      </xdr:nvCxnSpPr>
      <xdr:spPr bwMode="auto">
        <a:xfrm flipV="1">
          <a:off x="5362575" y="1552575"/>
          <a:ext cx="247650" cy="8096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85725</xdr:colOff>
      <xdr:row>28</xdr:row>
      <xdr:rowOff>200025</xdr:rowOff>
    </xdr:from>
    <xdr:to>
      <xdr:col>1</xdr:col>
      <xdr:colOff>276225</xdr:colOff>
      <xdr:row>30</xdr:row>
      <xdr:rowOff>28575</xdr:rowOff>
    </xdr:to>
    <xdr:sp macro="" textlink="">
      <xdr:nvSpPr>
        <xdr:cNvPr id="54447" name="Text Box 175">
          <a:extLst>
            <a:ext uri="{FF2B5EF4-FFF2-40B4-BE49-F238E27FC236}">
              <a16:creationId xmlns:a16="http://schemas.microsoft.com/office/drawing/2014/main" id="{00000000-0008-0000-0900-0000AFD40000}"/>
            </a:ext>
          </a:extLst>
        </xdr:cNvPr>
        <xdr:cNvSpPr txBox="1">
          <a:spLocks noChangeArrowheads="1"/>
        </xdr:cNvSpPr>
      </xdr:nvSpPr>
      <xdr:spPr bwMode="auto">
        <a:xfrm>
          <a:off x="85725" y="6229350"/>
          <a:ext cx="6286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โรงโม่หิน</a:t>
          </a:r>
        </a:p>
      </xdr:txBody>
    </xdr:sp>
    <xdr:clientData/>
  </xdr:twoCellAnchor>
  <xdr:twoCellAnchor editAs="oneCell">
    <xdr:from>
      <xdr:col>6</xdr:col>
      <xdr:colOff>552450</xdr:colOff>
      <xdr:row>3</xdr:row>
      <xdr:rowOff>266700</xdr:rowOff>
    </xdr:from>
    <xdr:to>
      <xdr:col>7</xdr:col>
      <xdr:colOff>95250</xdr:colOff>
      <xdr:row>4</xdr:row>
      <xdr:rowOff>219075</xdr:rowOff>
    </xdr:to>
    <xdr:sp macro="" textlink="">
      <xdr:nvSpPr>
        <xdr:cNvPr id="54449" name="Text Box 177">
          <a:extLst>
            <a:ext uri="{FF2B5EF4-FFF2-40B4-BE49-F238E27FC236}">
              <a16:creationId xmlns:a16="http://schemas.microsoft.com/office/drawing/2014/main" id="{00000000-0008-0000-0900-0000B1D40000}"/>
            </a:ext>
          </a:extLst>
        </xdr:cNvPr>
        <xdr:cNvSpPr txBox="1">
          <a:spLocks noChangeArrowheads="1"/>
        </xdr:cNvSpPr>
      </xdr:nvSpPr>
      <xdr:spPr bwMode="auto">
        <a:xfrm>
          <a:off x="5114925" y="1143000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14</a:t>
          </a:r>
        </a:p>
      </xdr:txBody>
    </xdr:sp>
    <xdr:clientData/>
  </xdr:twoCellAnchor>
  <xdr:twoCellAnchor>
    <xdr:from>
      <xdr:col>4</xdr:col>
      <xdr:colOff>704850</xdr:colOff>
      <xdr:row>8</xdr:row>
      <xdr:rowOff>209550</xdr:rowOff>
    </xdr:from>
    <xdr:to>
      <xdr:col>7</xdr:col>
      <xdr:colOff>76200</xdr:colOff>
      <xdr:row>12</xdr:row>
      <xdr:rowOff>76200</xdr:rowOff>
    </xdr:to>
    <xdr:cxnSp macro="">
      <xdr:nvCxnSpPr>
        <xdr:cNvPr id="75970" name="AutoShape 178">
          <a:extLst>
            <a:ext uri="{FF2B5EF4-FFF2-40B4-BE49-F238E27FC236}">
              <a16:creationId xmlns:a16="http://schemas.microsoft.com/office/drawing/2014/main" id="{00000000-0008-0000-0900-0000C2280100}"/>
            </a:ext>
          </a:extLst>
        </xdr:cNvPr>
        <xdr:cNvCxnSpPr>
          <a:cxnSpLocks noChangeShapeType="1"/>
          <a:stCxn id="75835" idx="6"/>
          <a:endCxn id="75954" idx="2"/>
        </xdr:cNvCxnSpPr>
      </xdr:nvCxnSpPr>
      <xdr:spPr bwMode="auto">
        <a:xfrm flipV="1">
          <a:off x="3571875" y="2428875"/>
          <a:ext cx="1743075" cy="7429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5</xdr:col>
      <xdr:colOff>523875</xdr:colOff>
      <xdr:row>13</xdr:row>
      <xdr:rowOff>114300</xdr:rowOff>
    </xdr:from>
    <xdr:to>
      <xdr:col>5</xdr:col>
      <xdr:colOff>742950</xdr:colOff>
      <xdr:row>14</xdr:row>
      <xdr:rowOff>133350</xdr:rowOff>
    </xdr:to>
    <xdr:sp macro="" textlink="">
      <xdr:nvSpPr>
        <xdr:cNvPr id="54451" name="Text Box 179">
          <a:extLst>
            <a:ext uri="{FF2B5EF4-FFF2-40B4-BE49-F238E27FC236}">
              <a16:creationId xmlns:a16="http://schemas.microsoft.com/office/drawing/2014/main" id="{00000000-0008-0000-0900-0000B3D40000}"/>
            </a:ext>
          </a:extLst>
        </xdr:cNvPr>
        <xdr:cNvSpPr txBox="1">
          <a:spLocks noChangeArrowheads="1"/>
        </xdr:cNvSpPr>
      </xdr:nvSpPr>
      <xdr:spPr bwMode="auto">
        <a:xfrm>
          <a:off x="4238625" y="2857500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6</a:t>
          </a:r>
        </a:p>
      </xdr:txBody>
    </xdr:sp>
    <xdr:clientData/>
  </xdr:twoCellAnchor>
  <xdr:twoCellAnchor editAs="oneCell">
    <xdr:from>
      <xdr:col>7</xdr:col>
      <xdr:colOff>247650</xdr:colOff>
      <xdr:row>13</xdr:row>
      <xdr:rowOff>19050</xdr:rowOff>
    </xdr:from>
    <xdr:to>
      <xdr:col>7</xdr:col>
      <xdr:colOff>466725</xdr:colOff>
      <xdr:row>14</xdr:row>
      <xdr:rowOff>38100</xdr:rowOff>
    </xdr:to>
    <xdr:sp macro="" textlink="">
      <xdr:nvSpPr>
        <xdr:cNvPr id="54452" name="Text Box 180">
          <a:extLst>
            <a:ext uri="{FF2B5EF4-FFF2-40B4-BE49-F238E27FC236}">
              <a16:creationId xmlns:a16="http://schemas.microsoft.com/office/drawing/2014/main" id="{00000000-0008-0000-0900-0000B4D40000}"/>
            </a:ext>
          </a:extLst>
        </xdr:cNvPr>
        <xdr:cNvSpPr txBox="1">
          <a:spLocks noChangeArrowheads="1"/>
        </xdr:cNvSpPr>
      </xdr:nvSpPr>
      <xdr:spPr bwMode="auto">
        <a:xfrm>
          <a:off x="5486400" y="2762250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5</a:t>
          </a:r>
        </a:p>
      </xdr:txBody>
    </xdr:sp>
    <xdr:clientData/>
  </xdr:twoCellAnchor>
  <xdr:twoCellAnchor editAs="oneCell">
    <xdr:from>
      <xdr:col>7</xdr:col>
      <xdr:colOff>85725</xdr:colOff>
      <xdr:row>10</xdr:row>
      <xdr:rowOff>180975</xdr:rowOff>
    </xdr:from>
    <xdr:to>
      <xdr:col>7</xdr:col>
      <xdr:colOff>304800</xdr:colOff>
      <xdr:row>11</xdr:row>
      <xdr:rowOff>200025</xdr:rowOff>
    </xdr:to>
    <xdr:sp macro="" textlink="">
      <xdr:nvSpPr>
        <xdr:cNvPr id="54453" name="Text Box 181">
          <a:extLst>
            <a:ext uri="{FF2B5EF4-FFF2-40B4-BE49-F238E27FC236}">
              <a16:creationId xmlns:a16="http://schemas.microsoft.com/office/drawing/2014/main" id="{00000000-0008-0000-0900-0000B5D40000}"/>
            </a:ext>
          </a:extLst>
        </xdr:cNvPr>
        <xdr:cNvSpPr txBox="1">
          <a:spLocks noChangeArrowheads="1"/>
        </xdr:cNvSpPr>
      </xdr:nvSpPr>
      <xdr:spPr bwMode="auto">
        <a:xfrm>
          <a:off x="5324475" y="2266950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8</a:t>
          </a:r>
        </a:p>
      </xdr:txBody>
    </xdr:sp>
    <xdr:clientData/>
  </xdr:twoCellAnchor>
  <xdr:twoCellAnchor editAs="oneCell">
    <xdr:from>
      <xdr:col>6</xdr:col>
      <xdr:colOff>333375</xdr:colOff>
      <xdr:row>14</xdr:row>
      <xdr:rowOff>9525</xdr:rowOff>
    </xdr:from>
    <xdr:to>
      <xdr:col>6</xdr:col>
      <xdr:colOff>552450</xdr:colOff>
      <xdr:row>15</xdr:row>
      <xdr:rowOff>57150</xdr:rowOff>
    </xdr:to>
    <xdr:sp macro="" textlink="">
      <xdr:nvSpPr>
        <xdr:cNvPr id="54454" name="Text Box 182">
          <a:extLst>
            <a:ext uri="{FF2B5EF4-FFF2-40B4-BE49-F238E27FC236}">
              <a16:creationId xmlns:a16="http://schemas.microsoft.com/office/drawing/2014/main" id="{00000000-0008-0000-0900-0000B6D40000}"/>
            </a:ext>
          </a:extLst>
        </xdr:cNvPr>
        <xdr:cNvSpPr txBox="1">
          <a:spLocks noChangeArrowheads="1"/>
        </xdr:cNvSpPr>
      </xdr:nvSpPr>
      <xdr:spPr bwMode="auto">
        <a:xfrm>
          <a:off x="4895850" y="3543300"/>
          <a:ext cx="2190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15</a:t>
          </a:r>
          <a:endParaRPr lang="th-TH" sz="16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6</xdr:col>
      <xdr:colOff>95250</xdr:colOff>
      <xdr:row>11</xdr:row>
      <xdr:rowOff>123825</xdr:rowOff>
    </xdr:from>
    <xdr:to>
      <xdr:col>6</xdr:col>
      <xdr:colOff>314325</xdr:colOff>
      <xdr:row>12</xdr:row>
      <xdr:rowOff>142875</xdr:rowOff>
    </xdr:to>
    <xdr:sp macro="" textlink="">
      <xdr:nvSpPr>
        <xdr:cNvPr id="54455" name="Text Box 183">
          <a:extLst>
            <a:ext uri="{FF2B5EF4-FFF2-40B4-BE49-F238E27FC236}">
              <a16:creationId xmlns:a16="http://schemas.microsoft.com/office/drawing/2014/main" id="{00000000-0008-0000-0900-0000B7D40000}"/>
            </a:ext>
          </a:extLst>
        </xdr:cNvPr>
        <xdr:cNvSpPr txBox="1">
          <a:spLocks noChangeArrowheads="1"/>
        </xdr:cNvSpPr>
      </xdr:nvSpPr>
      <xdr:spPr bwMode="auto">
        <a:xfrm>
          <a:off x="4657725" y="2428875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16</a:t>
          </a:r>
        </a:p>
      </xdr:txBody>
    </xdr:sp>
    <xdr:clientData/>
  </xdr:twoCellAnchor>
  <xdr:twoCellAnchor editAs="oneCell">
    <xdr:from>
      <xdr:col>7</xdr:col>
      <xdr:colOff>19050</xdr:colOff>
      <xdr:row>9</xdr:row>
      <xdr:rowOff>114300</xdr:rowOff>
    </xdr:from>
    <xdr:to>
      <xdr:col>7</xdr:col>
      <xdr:colOff>238125</xdr:colOff>
      <xdr:row>10</xdr:row>
      <xdr:rowOff>133350</xdr:rowOff>
    </xdr:to>
    <xdr:sp macro="" textlink="">
      <xdr:nvSpPr>
        <xdr:cNvPr id="54456" name="Text Box 184">
          <a:extLst>
            <a:ext uri="{FF2B5EF4-FFF2-40B4-BE49-F238E27FC236}">
              <a16:creationId xmlns:a16="http://schemas.microsoft.com/office/drawing/2014/main" id="{00000000-0008-0000-0900-0000B8D40000}"/>
            </a:ext>
          </a:extLst>
        </xdr:cNvPr>
        <xdr:cNvSpPr txBox="1">
          <a:spLocks noChangeArrowheads="1"/>
        </xdr:cNvSpPr>
      </xdr:nvSpPr>
      <xdr:spPr bwMode="auto">
        <a:xfrm>
          <a:off x="5257800" y="1981200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15</a:t>
          </a:r>
        </a:p>
      </xdr:txBody>
    </xdr:sp>
    <xdr:clientData/>
  </xdr:twoCellAnchor>
  <xdr:twoCellAnchor editAs="oneCell">
    <xdr:from>
      <xdr:col>5</xdr:col>
      <xdr:colOff>523875</xdr:colOff>
      <xdr:row>9</xdr:row>
      <xdr:rowOff>180975</xdr:rowOff>
    </xdr:from>
    <xdr:to>
      <xdr:col>5</xdr:col>
      <xdr:colOff>742950</xdr:colOff>
      <xdr:row>10</xdr:row>
      <xdr:rowOff>200025</xdr:rowOff>
    </xdr:to>
    <xdr:sp macro="" textlink="">
      <xdr:nvSpPr>
        <xdr:cNvPr id="54457" name="Text Box 185">
          <a:extLst>
            <a:ext uri="{FF2B5EF4-FFF2-40B4-BE49-F238E27FC236}">
              <a16:creationId xmlns:a16="http://schemas.microsoft.com/office/drawing/2014/main" id="{00000000-0008-0000-0900-0000B9D40000}"/>
            </a:ext>
          </a:extLst>
        </xdr:cNvPr>
        <xdr:cNvSpPr txBox="1">
          <a:spLocks noChangeArrowheads="1"/>
        </xdr:cNvSpPr>
      </xdr:nvSpPr>
      <xdr:spPr bwMode="auto">
        <a:xfrm>
          <a:off x="4238625" y="2619375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29</a:t>
          </a:r>
        </a:p>
      </xdr:txBody>
    </xdr:sp>
    <xdr:clientData/>
  </xdr:twoCellAnchor>
  <xdr:twoCellAnchor>
    <xdr:from>
      <xdr:col>7</xdr:col>
      <xdr:colOff>228600</xdr:colOff>
      <xdr:row>14</xdr:row>
      <xdr:rowOff>19050</xdr:rowOff>
    </xdr:from>
    <xdr:to>
      <xdr:col>8</xdr:col>
      <xdr:colOff>133350</xdr:colOff>
      <xdr:row>15</xdr:row>
      <xdr:rowOff>66675</xdr:rowOff>
    </xdr:to>
    <xdr:sp macro="" textlink="">
      <xdr:nvSpPr>
        <xdr:cNvPr id="54458" name="Text Box 186">
          <a:extLst>
            <a:ext uri="{FF2B5EF4-FFF2-40B4-BE49-F238E27FC236}">
              <a16:creationId xmlns:a16="http://schemas.microsoft.com/office/drawing/2014/main" id="{00000000-0008-0000-0900-0000BAD40000}"/>
            </a:ext>
          </a:extLst>
        </xdr:cNvPr>
        <xdr:cNvSpPr txBox="1">
          <a:spLocks noChangeArrowheads="1"/>
        </xdr:cNvSpPr>
      </xdr:nvSpPr>
      <xdr:spPr bwMode="auto">
        <a:xfrm>
          <a:off x="5467350" y="3552825"/>
          <a:ext cx="581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อ.เนินสง่า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7</xdr:col>
      <xdr:colOff>114300</xdr:colOff>
      <xdr:row>8</xdr:row>
      <xdr:rowOff>47625</xdr:rowOff>
    </xdr:from>
    <xdr:to>
      <xdr:col>8</xdr:col>
      <xdr:colOff>19050</xdr:colOff>
      <xdr:row>9</xdr:row>
      <xdr:rowOff>85725</xdr:rowOff>
    </xdr:to>
    <xdr:sp macro="" textlink="">
      <xdr:nvSpPr>
        <xdr:cNvPr id="54459" name="Text Box 187">
          <a:extLst>
            <a:ext uri="{FF2B5EF4-FFF2-40B4-BE49-F238E27FC236}">
              <a16:creationId xmlns:a16="http://schemas.microsoft.com/office/drawing/2014/main" id="{00000000-0008-0000-0900-0000BBD40000}"/>
            </a:ext>
          </a:extLst>
        </xdr:cNvPr>
        <xdr:cNvSpPr txBox="1">
          <a:spLocks noChangeArrowheads="1"/>
        </xdr:cNvSpPr>
      </xdr:nvSpPr>
      <xdr:spPr bwMode="auto">
        <a:xfrm>
          <a:off x="5353050" y="1695450"/>
          <a:ext cx="5810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FF0000"/>
              </a:solidFill>
              <a:latin typeface="Cordia New"/>
              <a:cs typeface="Cordia New"/>
            </a:rPr>
            <a:t>จ.ชัยภูมิ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FF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FF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2</xdr:col>
      <xdr:colOff>942975</xdr:colOff>
      <xdr:row>20</xdr:row>
      <xdr:rowOff>190500</xdr:rowOff>
    </xdr:from>
    <xdr:to>
      <xdr:col>4</xdr:col>
      <xdr:colOff>257175</xdr:colOff>
      <xdr:row>22</xdr:row>
      <xdr:rowOff>38100</xdr:rowOff>
    </xdr:to>
    <xdr:cxnSp macro="">
      <xdr:nvCxnSpPr>
        <xdr:cNvPr id="75980" name="AutoShape 188">
          <a:extLst>
            <a:ext uri="{FF2B5EF4-FFF2-40B4-BE49-F238E27FC236}">
              <a16:creationId xmlns:a16="http://schemas.microsoft.com/office/drawing/2014/main" id="{00000000-0008-0000-0900-0000CC280100}"/>
            </a:ext>
          </a:extLst>
        </xdr:cNvPr>
        <xdr:cNvCxnSpPr>
          <a:cxnSpLocks noChangeShapeType="1"/>
          <a:stCxn id="75855" idx="6"/>
          <a:endCxn id="75838" idx="2"/>
        </xdr:cNvCxnSpPr>
      </xdr:nvCxnSpPr>
      <xdr:spPr bwMode="auto">
        <a:xfrm flipV="1">
          <a:off x="1924050" y="5038725"/>
          <a:ext cx="1200150" cy="2857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7</xdr:col>
      <xdr:colOff>333375</xdr:colOff>
      <xdr:row>12</xdr:row>
      <xdr:rowOff>104775</xdr:rowOff>
    </xdr:from>
    <xdr:to>
      <xdr:col>8</xdr:col>
      <xdr:colOff>57150</xdr:colOff>
      <xdr:row>12</xdr:row>
      <xdr:rowOff>142875</xdr:rowOff>
    </xdr:to>
    <xdr:cxnSp macro="">
      <xdr:nvCxnSpPr>
        <xdr:cNvPr id="75981" name="AutoShape 189">
          <a:extLst>
            <a:ext uri="{FF2B5EF4-FFF2-40B4-BE49-F238E27FC236}">
              <a16:creationId xmlns:a16="http://schemas.microsoft.com/office/drawing/2014/main" id="{00000000-0008-0000-0900-0000CD280100}"/>
            </a:ext>
          </a:extLst>
        </xdr:cNvPr>
        <xdr:cNvCxnSpPr>
          <a:cxnSpLocks noChangeShapeType="1"/>
          <a:stCxn id="75957" idx="6"/>
          <a:endCxn id="75828" idx="1"/>
        </xdr:cNvCxnSpPr>
      </xdr:nvCxnSpPr>
      <xdr:spPr bwMode="auto">
        <a:xfrm flipV="1">
          <a:off x="5572125" y="3200400"/>
          <a:ext cx="400050" cy="381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7</xdr:col>
      <xdr:colOff>400050</xdr:colOff>
      <xdr:row>11</xdr:row>
      <xdr:rowOff>76200</xdr:rowOff>
    </xdr:from>
    <xdr:to>
      <xdr:col>7</xdr:col>
      <xdr:colOff>619125</xdr:colOff>
      <xdr:row>12</xdr:row>
      <xdr:rowOff>95250</xdr:rowOff>
    </xdr:to>
    <xdr:sp macro="" textlink="">
      <xdr:nvSpPr>
        <xdr:cNvPr id="54462" name="Text Box 190">
          <a:extLst>
            <a:ext uri="{FF2B5EF4-FFF2-40B4-BE49-F238E27FC236}">
              <a16:creationId xmlns:a16="http://schemas.microsoft.com/office/drawing/2014/main" id="{00000000-0008-0000-0900-0000BED40000}"/>
            </a:ext>
          </a:extLst>
        </xdr:cNvPr>
        <xdr:cNvSpPr txBox="1">
          <a:spLocks noChangeArrowheads="1"/>
        </xdr:cNvSpPr>
      </xdr:nvSpPr>
      <xdr:spPr bwMode="auto">
        <a:xfrm>
          <a:off x="5638800" y="2381250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</a:t>
          </a:r>
        </a:p>
      </xdr:txBody>
    </xdr:sp>
    <xdr:clientData/>
  </xdr:twoCellAnchor>
  <xdr:twoCellAnchor>
    <xdr:from>
      <xdr:col>7</xdr:col>
      <xdr:colOff>257175</xdr:colOff>
      <xdr:row>4</xdr:row>
      <xdr:rowOff>104775</xdr:rowOff>
    </xdr:from>
    <xdr:to>
      <xdr:col>8</xdr:col>
      <xdr:colOff>571500</xdr:colOff>
      <xdr:row>5</xdr:row>
      <xdr:rowOff>171450</xdr:rowOff>
    </xdr:to>
    <xdr:sp macro="" textlink="">
      <xdr:nvSpPr>
        <xdr:cNvPr id="54463" name="Text Box 191">
          <a:extLst>
            <a:ext uri="{FF2B5EF4-FFF2-40B4-BE49-F238E27FC236}">
              <a16:creationId xmlns:a16="http://schemas.microsoft.com/office/drawing/2014/main" id="{00000000-0008-0000-0900-0000BFD40000}"/>
            </a:ext>
          </a:extLst>
        </xdr:cNvPr>
        <xdr:cNvSpPr txBox="1">
          <a:spLocks noChangeArrowheads="1"/>
        </xdr:cNvSpPr>
      </xdr:nvSpPr>
      <xdr:spPr bwMode="auto">
        <a:xfrm>
          <a:off x="5495925" y="1266825"/>
          <a:ext cx="9906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อ.ชุมแพ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7</xdr:col>
      <xdr:colOff>114300</xdr:colOff>
      <xdr:row>8</xdr:row>
      <xdr:rowOff>180975</xdr:rowOff>
    </xdr:from>
    <xdr:to>
      <xdr:col>8</xdr:col>
      <xdr:colOff>438150</xdr:colOff>
      <xdr:row>20</xdr:row>
      <xdr:rowOff>152400</xdr:rowOff>
    </xdr:to>
    <xdr:cxnSp macro="">
      <xdr:nvCxnSpPr>
        <xdr:cNvPr id="75988" name="AutoShape 196">
          <a:extLst>
            <a:ext uri="{FF2B5EF4-FFF2-40B4-BE49-F238E27FC236}">
              <a16:creationId xmlns:a16="http://schemas.microsoft.com/office/drawing/2014/main" id="{00000000-0008-0000-0900-0000D4280100}"/>
            </a:ext>
          </a:extLst>
        </xdr:cNvPr>
        <xdr:cNvCxnSpPr>
          <a:cxnSpLocks noChangeShapeType="1"/>
          <a:endCxn id="54459" idx="1"/>
        </xdr:cNvCxnSpPr>
      </xdr:nvCxnSpPr>
      <xdr:spPr bwMode="auto">
        <a:xfrm flipH="1" flipV="1">
          <a:off x="5353050" y="2400300"/>
          <a:ext cx="1000125" cy="26003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6</xdr:col>
      <xdr:colOff>66675</xdr:colOff>
      <xdr:row>10</xdr:row>
      <xdr:rowOff>95250</xdr:rowOff>
    </xdr:from>
    <xdr:to>
      <xdr:col>6</xdr:col>
      <xdr:colOff>647700</xdr:colOff>
      <xdr:row>11</xdr:row>
      <xdr:rowOff>161925</xdr:rowOff>
    </xdr:to>
    <xdr:sp macro="" textlink="">
      <xdr:nvSpPr>
        <xdr:cNvPr id="54471" name="Text Box 199">
          <a:extLst>
            <a:ext uri="{FF2B5EF4-FFF2-40B4-BE49-F238E27FC236}">
              <a16:creationId xmlns:a16="http://schemas.microsoft.com/office/drawing/2014/main" id="{00000000-0008-0000-0900-0000C7D40000}"/>
            </a:ext>
          </a:extLst>
        </xdr:cNvPr>
        <xdr:cNvSpPr txBox="1">
          <a:spLocks noChangeArrowheads="1"/>
        </xdr:cNvSpPr>
      </xdr:nvSpPr>
      <xdr:spPr bwMode="auto">
        <a:xfrm>
          <a:off x="4629150" y="2181225"/>
          <a:ext cx="5810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บ. ค่าย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5</xdr:col>
      <xdr:colOff>457200</xdr:colOff>
      <xdr:row>20</xdr:row>
      <xdr:rowOff>152400</xdr:rowOff>
    </xdr:from>
    <xdr:to>
      <xdr:col>6</xdr:col>
      <xdr:colOff>381000</xdr:colOff>
      <xdr:row>21</xdr:row>
      <xdr:rowOff>171450</xdr:rowOff>
    </xdr:to>
    <xdr:sp macro="" textlink="">
      <xdr:nvSpPr>
        <xdr:cNvPr id="54473" name="Text Box 201">
          <a:extLst>
            <a:ext uri="{FF2B5EF4-FFF2-40B4-BE49-F238E27FC236}">
              <a16:creationId xmlns:a16="http://schemas.microsoft.com/office/drawing/2014/main" id="{00000000-0008-0000-0900-0000C9D40000}"/>
            </a:ext>
          </a:extLst>
        </xdr:cNvPr>
        <xdr:cNvSpPr txBox="1">
          <a:spLocks noChangeArrowheads="1"/>
        </xdr:cNvSpPr>
      </xdr:nvSpPr>
      <xdr:spPr bwMode="auto">
        <a:xfrm>
          <a:off x="4171950" y="5000625"/>
          <a:ext cx="7715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หนองบัวโคก</a:t>
          </a:r>
        </a:p>
      </xdr:txBody>
    </xdr:sp>
    <xdr:clientData/>
  </xdr:twoCellAnchor>
  <xdr:twoCellAnchor editAs="oneCell">
    <xdr:from>
      <xdr:col>8</xdr:col>
      <xdr:colOff>9525</xdr:colOff>
      <xdr:row>14</xdr:row>
      <xdr:rowOff>180975</xdr:rowOff>
    </xdr:from>
    <xdr:to>
      <xdr:col>8</xdr:col>
      <xdr:colOff>247650</xdr:colOff>
      <xdr:row>15</xdr:row>
      <xdr:rowOff>200025</xdr:rowOff>
    </xdr:to>
    <xdr:sp macro="" textlink="">
      <xdr:nvSpPr>
        <xdr:cNvPr id="54474" name="Text Box 202">
          <a:extLst>
            <a:ext uri="{FF2B5EF4-FFF2-40B4-BE49-F238E27FC236}">
              <a16:creationId xmlns:a16="http://schemas.microsoft.com/office/drawing/2014/main" id="{00000000-0008-0000-0900-0000CAD40000}"/>
            </a:ext>
          </a:extLst>
        </xdr:cNvPr>
        <xdr:cNvSpPr txBox="1">
          <a:spLocks noChangeArrowheads="1"/>
        </xdr:cNvSpPr>
      </xdr:nvSpPr>
      <xdr:spPr bwMode="auto">
        <a:xfrm>
          <a:off x="5924550" y="31432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64</a:t>
          </a:r>
        </a:p>
      </xdr:txBody>
    </xdr:sp>
    <xdr:clientData/>
  </xdr:twoCellAnchor>
  <xdr:twoCellAnchor>
    <xdr:from>
      <xdr:col>7</xdr:col>
      <xdr:colOff>628650</xdr:colOff>
      <xdr:row>33</xdr:row>
      <xdr:rowOff>95250</xdr:rowOff>
    </xdr:from>
    <xdr:to>
      <xdr:col>8</xdr:col>
      <xdr:colOff>38100</xdr:colOff>
      <xdr:row>33</xdr:row>
      <xdr:rowOff>180975</xdr:rowOff>
    </xdr:to>
    <xdr:sp macro="" textlink="">
      <xdr:nvSpPr>
        <xdr:cNvPr id="75996" name="AutoShape 204">
          <a:extLst>
            <a:ext uri="{FF2B5EF4-FFF2-40B4-BE49-F238E27FC236}">
              <a16:creationId xmlns:a16="http://schemas.microsoft.com/office/drawing/2014/main" id="{00000000-0008-0000-0900-0000DC280100}"/>
            </a:ext>
          </a:extLst>
        </xdr:cNvPr>
        <xdr:cNvSpPr>
          <a:spLocks noChangeArrowheads="1"/>
        </xdr:cNvSpPr>
      </xdr:nvSpPr>
      <xdr:spPr bwMode="auto">
        <a:xfrm>
          <a:off x="5867400" y="779145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47625</xdr:colOff>
      <xdr:row>33</xdr:row>
      <xdr:rowOff>190500</xdr:rowOff>
    </xdr:from>
    <xdr:to>
      <xdr:col>9</xdr:col>
      <xdr:colOff>133350</xdr:colOff>
      <xdr:row>34</xdr:row>
      <xdr:rowOff>57150</xdr:rowOff>
    </xdr:to>
    <xdr:sp macro="" textlink="">
      <xdr:nvSpPr>
        <xdr:cNvPr id="75997" name="AutoShape 205">
          <a:extLst>
            <a:ext uri="{FF2B5EF4-FFF2-40B4-BE49-F238E27FC236}">
              <a16:creationId xmlns:a16="http://schemas.microsoft.com/office/drawing/2014/main" id="{00000000-0008-0000-0900-0000DD280100}"/>
            </a:ext>
          </a:extLst>
        </xdr:cNvPr>
        <xdr:cNvSpPr>
          <a:spLocks noChangeArrowheads="1"/>
        </xdr:cNvSpPr>
      </xdr:nvSpPr>
      <xdr:spPr bwMode="auto">
        <a:xfrm>
          <a:off x="6638925" y="788670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571500</xdr:colOff>
      <xdr:row>32</xdr:row>
      <xdr:rowOff>133350</xdr:rowOff>
    </xdr:from>
    <xdr:to>
      <xdr:col>8</xdr:col>
      <xdr:colOff>28575</xdr:colOff>
      <xdr:row>33</xdr:row>
      <xdr:rowOff>190500</xdr:rowOff>
    </xdr:to>
    <xdr:cxnSp macro="">
      <xdr:nvCxnSpPr>
        <xdr:cNvPr id="75999" name="AutoShape 207">
          <a:extLst>
            <a:ext uri="{FF2B5EF4-FFF2-40B4-BE49-F238E27FC236}">
              <a16:creationId xmlns:a16="http://schemas.microsoft.com/office/drawing/2014/main" id="{00000000-0008-0000-0900-0000DF280100}"/>
            </a:ext>
          </a:extLst>
        </xdr:cNvPr>
        <xdr:cNvCxnSpPr>
          <a:cxnSpLocks noChangeShapeType="1"/>
          <a:stCxn id="75840" idx="5"/>
          <a:endCxn id="75996" idx="5"/>
        </xdr:cNvCxnSpPr>
      </xdr:nvCxnSpPr>
      <xdr:spPr bwMode="auto">
        <a:xfrm>
          <a:off x="5133975" y="7610475"/>
          <a:ext cx="809625" cy="2762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7</xdr:col>
      <xdr:colOff>609600</xdr:colOff>
      <xdr:row>33</xdr:row>
      <xdr:rowOff>142875</xdr:rowOff>
    </xdr:from>
    <xdr:to>
      <xdr:col>9</xdr:col>
      <xdr:colOff>28575</xdr:colOff>
      <xdr:row>34</xdr:row>
      <xdr:rowOff>19050</xdr:rowOff>
    </xdr:to>
    <xdr:cxnSp macro="">
      <xdr:nvCxnSpPr>
        <xdr:cNvPr id="76001" name="AutoShape 209">
          <a:extLst>
            <a:ext uri="{FF2B5EF4-FFF2-40B4-BE49-F238E27FC236}">
              <a16:creationId xmlns:a16="http://schemas.microsoft.com/office/drawing/2014/main" id="{00000000-0008-0000-0900-0000E1280100}"/>
            </a:ext>
          </a:extLst>
        </xdr:cNvPr>
        <xdr:cNvCxnSpPr>
          <a:cxnSpLocks noChangeShapeType="1"/>
          <a:stCxn id="75996" idx="2"/>
          <a:endCxn id="75997" idx="2"/>
        </xdr:cNvCxnSpPr>
      </xdr:nvCxnSpPr>
      <xdr:spPr bwMode="auto">
        <a:xfrm>
          <a:off x="5848350" y="7839075"/>
          <a:ext cx="771525" cy="952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7</xdr:col>
      <xdr:colOff>304800</xdr:colOff>
      <xdr:row>32</xdr:row>
      <xdr:rowOff>38100</xdr:rowOff>
    </xdr:from>
    <xdr:to>
      <xdr:col>7</xdr:col>
      <xdr:colOff>542925</xdr:colOff>
      <xdr:row>33</xdr:row>
      <xdr:rowOff>85725</xdr:rowOff>
    </xdr:to>
    <xdr:sp macro="" textlink="">
      <xdr:nvSpPr>
        <xdr:cNvPr id="54483" name="Text Box 211">
          <a:extLst>
            <a:ext uri="{FF2B5EF4-FFF2-40B4-BE49-F238E27FC236}">
              <a16:creationId xmlns:a16="http://schemas.microsoft.com/office/drawing/2014/main" id="{00000000-0008-0000-0900-0000D3D40000}"/>
            </a:ext>
          </a:extLst>
        </xdr:cNvPr>
        <xdr:cNvSpPr txBox="1">
          <a:spLocks noChangeArrowheads="1"/>
        </xdr:cNvSpPr>
      </xdr:nvSpPr>
      <xdr:spPr bwMode="auto">
        <a:xfrm>
          <a:off x="5543550" y="6943725"/>
          <a:ext cx="2381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28</a:t>
          </a:r>
        </a:p>
        <a:p>
          <a:pPr algn="l" rtl="0">
            <a:defRPr sz="1000"/>
          </a:pPr>
          <a:endParaRPr lang="th-TH" sz="16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8</xdr:col>
      <xdr:colOff>314325</xdr:colOff>
      <xdr:row>32</xdr:row>
      <xdr:rowOff>180975</xdr:rowOff>
    </xdr:from>
    <xdr:to>
      <xdr:col>8</xdr:col>
      <xdr:colOff>581025</xdr:colOff>
      <xdr:row>33</xdr:row>
      <xdr:rowOff>209550</xdr:rowOff>
    </xdr:to>
    <xdr:sp macro="" textlink="">
      <xdr:nvSpPr>
        <xdr:cNvPr id="54484" name="Text Box 212">
          <a:extLst>
            <a:ext uri="{FF2B5EF4-FFF2-40B4-BE49-F238E27FC236}">
              <a16:creationId xmlns:a16="http://schemas.microsoft.com/office/drawing/2014/main" id="{00000000-0008-0000-0900-0000D4D40000}"/>
            </a:ext>
          </a:extLst>
        </xdr:cNvPr>
        <xdr:cNvSpPr txBox="1">
          <a:spLocks noChangeArrowheads="1"/>
        </xdr:cNvSpPr>
      </xdr:nvSpPr>
      <xdr:spPr bwMode="auto">
        <a:xfrm>
          <a:off x="6229350" y="7086600"/>
          <a:ext cx="2667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14</a:t>
          </a:r>
        </a:p>
      </xdr:txBody>
    </xdr:sp>
    <xdr:clientData/>
  </xdr:twoCellAnchor>
  <xdr:twoCellAnchor>
    <xdr:from>
      <xdr:col>0</xdr:col>
      <xdr:colOff>135705</xdr:colOff>
      <xdr:row>38</xdr:row>
      <xdr:rowOff>195209</xdr:rowOff>
    </xdr:from>
    <xdr:to>
      <xdr:col>0</xdr:col>
      <xdr:colOff>392880</xdr:colOff>
      <xdr:row>40</xdr:row>
      <xdr:rowOff>80909</xdr:rowOff>
    </xdr:to>
    <xdr:sp macro="" textlink="">
      <xdr:nvSpPr>
        <xdr:cNvPr id="54494" name="AutoShape 222">
          <a:extLst>
            <a:ext uri="{FF2B5EF4-FFF2-40B4-BE49-F238E27FC236}">
              <a16:creationId xmlns:a16="http://schemas.microsoft.com/office/drawing/2014/main" id="{00000000-0008-0000-0900-0000DED40000}"/>
            </a:ext>
          </a:extLst>
        </xdr:cNvPr>
        <xdr:cNvSpPr>
          <a:spLocks noChangeArrowheads="1"/>
        </xdr:cNvSpPr>
      </xdr:nvSpPr>
      <xdr:spPr bwMode="auto">
        <a:xfrm>
          <a:off x="135705" y="8831922"/>
          <a:ext cx="257175" cy="313790"/>
        </a:xfrm>
        <a:prstGeom prst="star5">
          <a:avLst/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>
    <xdr:from>
      <xdr:col>7</xdr:col>
      <xdr:colOff>285750</xdr:colOff>
      <xdr:row>33</xdr:row>
      <xdr:rowOff>180975</xdr:rowOff>
    </xdr:from>
    <xdr:to>
      <xdr:col>8</xdr:col>
      <xdr:colOff>190500</xdr:colOff>
      <xdr:row>35</xdr:row>
      <xdr:rowOff>9525</xdr:rowOff>
    </xdr:to>
    <xdr:sp macro="" textlink="">
      <xdr:nvSpPr>
        <xdr:cNvPr id="54499" name="Text Box 227">
          <a:extLst>
            <a:ext uri="{FF2B5EF4-FFF2-40B4-BE49-F238E27FC236}">
              <a16:creationId xmlns:a16="http://schemas.microsoft.com/office/drawing/2014/main" id="{00000000-0008-0000-0900-0000E3D40000}"/>
            </a:ext>
          </a:extLst>
        </xdr:cNvPr>
        <xdr:cNvSpPr txBox="1">
          <a:spLocks noChangeArrowheads="1"/>
        </xdr:cNvSpPr>
      </xdr:nvSpPr>
      <xdr:spPr bwMode="auto">
        <a:xfrm>
          <a:off x="5524500" y="7305675"/>
          <a:ext cx="581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อ.โชคชัย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8</xdr:col>
      <xdr:colOff>323850</xdr:colOff>
      <xdr:row>21</xdr:row>
      <xdr:rowOff>19050</xdr:rowOff>
    </xdr:from>
    <xdr:to>
      <xdr:col>10</xdr:col>
      <xdr:colOff>104775</xdr:colOff>
      <xdr:row>25</xdr:row>
      <xdr:rowOff>133350</xdr:rowOff>
    </xdr:to>
    <xdr:sp macro="" textlink="">
      <xdr:nvSpPr>
        <xdr:cNvPr id="76020" name="Line 228">
          <a:extLst>
            <a:ext uri="{FF2B5EF4-FFF2-40B4-BE49-F238E27FC236}">
              <a16:creationId xmlns:a16="http://schemas.microsoft.com/office/drawing/2014/main" id="{00000000-0008-0000-0900-0000F4280100}"/>
            </a:ext>
          </a:extLst>
        </xdr:cNvPr>
        <xdr:cNvSpPr>
          <a:spLocks noChangeShapeType="1"/>
        </xdr:cNvSpPr>
      </xdr:nvSpPr>
      <xdr:spPr bwMode="auto">
        <a:xfrm flipV="1">
          <a:off x="6238875" y="5086350"/>
          <a:ext cx="1133475" cy="990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57150</xdr:colOff>
      <xdr:row>20</xdr:row>
      <xdr:rowOff>180975</xdr:rowOff>
    </xdr:from>
    <xdr:to>
      <xdr:col>10</xdr:col>
      <xdr:colOff>142875</xdr:colOff>
      <xdr:row>21</xdr:row>
      <xdr:rowOff>47625</xdr:rowOff>
    </xdr:to>
    <xdr:sp macro="" textlink="">
      <xdr:nvSpPr>
        <xdr:cNvPr id="76021" name="AutoShape 229">
          <a:extLst>
            <a:ext uri="{FF2B5EF4-FFF2-40B4-BE49-F238E27FC236}">
              <a16:creationId xmlns:a16="http://schemas.microsoft.com/office/drawing/2014/main" id="{00000000-0008-0000-0900-0000F5280100}"/>
            </a:ext>
          </a:extLst>
        </xdr:cNvPr>
        <xdr:cNvSpPr>
          <a:spLocks noChangeArrowheads="1"/>
        </xdr:cNvSpPr>
      </xdr:nvSpPr>
      <xdr:spPr bwMode="auto">
        <a:xfrm>
          <a:off x="7324725" y="502920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438150</xdr:colOff>
      <xdr:row>19</xdr:row>
      <xdr:rowOff>133350</xdr:rowOff>
    </xdr:from>
    <xdr:to>
      <xdr:col>10</xdr:col>
      <xdr:colOff>342900</xdr:colOff>
      <xdr:row>20</xdr:row>
      <xdr:rowOff>180975</xdr:rowOff>
    </xdr:to>
    <xdr:sp macro="" textlink="">
      <xdr:nvSpPr>
        <xdr:cNvPr id="54502" name="Text Box 230">
          <a:extLst>
            <a:ext uri="{FF2B5EF4-FFF2-40B4-BE49-F238E27FC236}">
              <a16:creationId xmlns:a16="http://schemas.microsoft.com/office/drawing/2014/main" id="{00000000-0008-0000-0900-0000E6D40000}"/>
            </a:ext>
          </a:extLst>
        </xdr:cNvPr>
        <xdr:cNvSpPr txBox="1">
          <a:spLocks noChangeArrowheads="1"/>
        </xdr:cNvSpPr>
      </xdr:nvSpPr>
      <xdr:spPr bwMode="auto">
        <a:xfrm>
          <a:off x="7029450" y="4762500"/>
          <a:ext cx="581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อ.สีดา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8</xdr:col>
      <xdr:colOff>419100</xdr:colOff>
      <xdr:row>20</xdr:row>
      <xdr:rowOff>161925</xdr:rowOff>
    </xdr:from>
    <xdr:to>
      <xdr:col>10</xdr:col>
      <xdr:colOff>104775</xdr:colOff>
      <xdr:row>21</xdr:row>
      <xdr:rowOff>19050</xdr:rowOff>
    </xdr:to>
    <xdr:sp macro="" textlink="">
      <xdr:nvSpPr>
        <xdr:cNvPr id="76023" name="Freeform 231">
          <a:extLst>
            <a:ext uri="{FF2B5EF4-FFF2-40B4-BE49-F238E27FC236}">
              <a16:creationId xmlns:a16="http://schemas.microsoft.com/office/drawing/2014/main" id="{00000000-0008-0000-0900-0000F7280100}"/>
            </a:ext>
          </a:extLst>
        </xdr:cNvPr>
        <xdr:cNvSpPr>
          <a:spLocks/>
        </xdr:cNvSpPr>
      </xdr:nvSpPr>
      <xdr:spPr bwMode="auto">
        <a:xfrm>
          <a:off x="6334125" y="5010150"/>
          <a:ext cx="1038225" cy="76200"/>
        </a:xfrm>
        <a:custGeom>
          <a:avLst/>
          <a:gdLst>
            <a:gd name="T0" fmla="*/ 2147483647 w 183"/>
            <a:gd name="T1" fmla="*/ 2147483647 h 8"/>
            <a:gd name="T2" fmla="*/ 2147483647 w 183"/>
            <a:gd name="T3" fmla="*/ 2147483647 h 8"/>
            <a:gd name="T4" fmla="*/ 2147483647 w 183"/>
            <a:gd name="T5" fmla="*/ 0 h 8"/>
            <a:gd name="T6" fmla="*/ 0 w 183"/>
            <a:gd name="T7" fmla="*/ 0 h 8"/>
            <a:gd name="T8" fmla="*/ 0 60000 65536"/>
            <a:gd name="T9" fmla="*/ 0 60000 65536"/>
            <a:gd name="T10" fmla="*/ 0 60000 65536"/>
            <a:gd name="T11" fmla="*/ 0 60000 65536"/>
            <a:gd name="T12" fmla="*/ 0 w 183"/>
            <a:gd name="T13" fmla="*/ 0 h 8"/>
            <a:gd name="T14" fmla="*/ 183 w 183"/>
            <a:gd name="T15" fmla="*/ 8 h 8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83" h="8">
              <a:moveTo>
                <a:pt x="183" y="8"/>
              </a:moveTo>
              <a:cubicBezTo>
                <a:pt x="145" y="6"/>
                <a:pt x="108" y="4"/>
                <a:pt x="81" y="3"/>
              </a:cubicBezTo>
              <a:cubicBezTo>
                <a:pt x="54" y="2"/>
                <a:pt x="35" y="0"/>
                <a:pt x="22" y="0"/>
              </a:cubicBezTo>
              <a:cubicBezTo>
                <a:pt x="9" y="0"/>
                <a:pt x="4" y="0"/>
                <a:pt x="0" y="0"/>
              </a:cubicBez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409575</xdr:colOff>
      <xdr:row>20</xdr:row>
      <xdr:rowOff>152400</xdr:rowOff>
    </xdr:from>
    <xdr:to>
      <xdr:col>8</xdr:col>
      <xdr:colOff>495300</xdr:colOff>
      <xdr:row>21</xdr:row>
      <xdr:rowOff>19050</xdr:rowOff>
    </xdr:to>
    <xdr:sp macro="" textlink="">
      <xdr:nvSpPr>
        <xdr:cNvPr id="76024" name="AutoShape 232">
          <a:extLst>
            <a:ext uri="{FF2B5EF4-FFF2-40B4-BE49-F238E27FC236}">
              <a16:creationId xmlns:a16="http://schemas.microsoft.com/office/drawing/2014/main" id="{00000000-0008-0000-0900-0000F8280100}"/>
            </a:ext>
          </a:extLst>
        </xdr:cNvPr>
        <xdr:cNvSpPr>
          <a:spLocks noChangeArrowheads="1"/>
        </xdr:cNvSpPr>
      </xdr:nvSpPr>
      <xdr:spPr bwMode="auto">
        <a:xfrm>
          <a:off x="6324600" y="500062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22</xdr:row>
      <xdr:rowOff>123825</xdr:rowOff>
    </xdr:from>
    <xdr:to>
      <xdr:col>8</xdr:col>
      <xdr:colOff>95250</xdr:colOff>
      <xdr:row>22</xdr:row>
      <xdr:rowOff>209550</xdr:rowOff>
    </xdr:to>
    <xdr:sp macro="" textlink="">
      <xdr:nvSpPr>
        <xdr:cNvPr id="76025" name="AutoShape 233">
          <a:extLst>
            <a:ext uri="{FF2B5EF4-FFF2-40B4-BE49-F238E27FC236}">
              <a16:creationId xmlns:a16="http://schemas.microsoft.com/office/drawing/2014/main" id="{00000000-0008-0000-0900-0000F9280100}"/>
            </a:ext>
          </a:extLst>
        </xdr:cNvPr>
        <xdr:cNvSpPr>
          <a:spLocks noChangeArrowheads="1"/>
        </xdr:cNvSpPr>
      </xdr:nvSpPr>
      <xdr:spPr bwMode="auto">
        <a:xfrm>
          <a:off x="5924550" y="541020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514350</xdr:colOff>
      <xdr:row>6</xdr:row>
      <xdr:rowOff>180976</xdr:rowOff>
    </xdr:from>
    <xdr:to>
      <xdr:col>5</xdr:col>
      <xdr:colOff>752475</xdr:colOff>
      <xdr:row>7</xdr:row>
      <xdr:rowOff>76200</xdr:rowOff>
    </xdr:to>
    <xdr:sp macro="" textlink="">
      <xdr:nvSpPr>
        <xdr:cNvPr id="76026" name="Line 235">
          <a:extLst>
            <a:ext uri="{FF2B5EF4-FFF2-40B4-BE49-F238E27FC236}">
              <a16:creationId xmlns:a16="http://schemas.microsoft.com/office/drawing/2014/main" id="{00000000-0008-0000-0900-0000FA280100}"/>
            </a:ext>
          </a:extLst>
        </xdr:cNvPr>
        <xdr:cNvSpPr>
          <a:spLocks noChangeShapeType="1"/>
        </xdr:cNvSpPr>
      </xdr:nvSpPr>
      <xdr:spPr bwMode="auto">
        <a:xfrm flipH="1">
          <a:off x="4229100" y="1962151"/>
          <a:ext cx="238125" cy="114299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666750</xdr:colOff>
      <xdr:row>19</xdr:row>
      <xdr:rowOff>85725</xdr:rowOff>
    </xdr:from>
    <xdr:to>
      <xdr:col>8</xdr:col>
      <xdr:colOff>571500</xdr:colOff>
      <xdr:row>20</xdr:row>
      <xdr:rowOff>133350</xdr:rowOff>
    </xdr:to>
    <xdr:sp macro="" textlink="">
      <xdr:nvSpPr>
        <xdr:cNvPr id="54508" name="Text Box 236">
          <a:extLst>
            <a:ext uri="{FF2B5EF4-FFF2-40B4-BE49-F238E27FC236}">
              <a16:creationId xmlns:a16="http://schemas.microsoft.com/office/drawing/2014/main" id="{00000000-0008-0000-0900-0000ECD40000}"/>
            </a:ext>
          </a:extLst>
        </xdr:cNvPr>
        <xdr:cNvSpPr txBox="1">
          <a:spLocks noChangeArrowheads="1"/>
        </xdr:cNvSpPr>
      </xdr:nvSpPr>
      <xdr:spPr bwMode="auto">
        <a:xfrm>
          <a:off x="5905500" y="4143375"/>
          <a:ext cx="581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อ.บัวใหญ่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7</xdr:col>
      <xdr:colOff>171450</xdr:colOff>
      <xdr:row>25</xdr:row>
      <xdr:rowOff>85725</xdr:rowOff>
    </xdr:from>
    <xdr:to>
      <xdr:col>7</xdr:col>
      <xdr:colOff>581025</xdr:colOff>
      <xdr:row>26</xdr:row>
      <xdr:rowOff>133350</xdr:rowOff>
    </xdr:to>
    <xdr:sp macro="" textlink="">
      <xdr:nvSpPr>
        <xdr:cNvPr id="54509" name="Text Box 237">
          <a:extLst>
            <a:ext uri="{FF2B5EF4-FFF2-40B4-BE49-F238E27FC236}">
              <a16:creationId xmlns:a16="http://schemas.microsoft.com/office/drawing/2014/main" id="{00000000-0008-0000-0900-0000EDD40000}"/>
            </a:ext>
          </a:extLst>
        </xdr:cNvPr>
        <xdr:cNvSpPr txBox="1">
          <a:spLocks noChangeArrowheads="1"/>
        </xdr:cNvSpPr>
      </xdr:nvSpPr>
      <xdr:spPr bwMode="auto">
        <a:xfrm>
          <a:off x="5410200" y="5457825"/>
          <a:ext cx="4095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อ.คง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7</xdr:col>
      <xdr:colOff>266700</xdr:colOff>
      <xdr:row>25</xdr:row>
      <xdr:rowOff>9525</xdr:rowOff>
    </xdr:from>
    <xdr:to>
      <xdr:col>8</xdr:col>
      <xdr:colOff>457200</xdr:colOff>
      <xdr:row>25</xdr:row>
      <xdr:rowOff>9525</xdr:rowOff>
    </xdr:to>
    <xdr:sp macro="" textlink="">
      <xdr:nvSpPr>
        <xdr:cNvPr id="76029" name="Line 238">
          <a:extLst>
            <a:ext uri="{FF2B5EF4-FFF2-40B4-BE49-F238E27FC236}">
              <a16:creationId xmlns:a16="http://schemas.microsoft.com/office/drawing/2014/main" id="{00000000-0008-0000-0900-0000FD280100}"/>
            </a:ext>
          </a:extLst>
        </xdr:cNvPr>
        <xdr:cNvSpPr>
          <a:spLocks noChangeShapeType="1"/>
        </xdr:cNvSpPr>
      </xdr:nvSpPr>
      <xdr:spPr bwMode="auto">
        <a:xfrm flipH="1">
          <a:off x="5505450" y="5953125"/>
          <a:ext cx="866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200025</xdr:colOff>
      <xdr:row>24</xdr:row>
      <xdr:rowOff>209550</xdr:rowOff>
    </xdr:from>
    <xdr:to>
      <xdr:col>7</xdr:col>
      <xdr:colOff>285750</xdr:colOff>
      <xdr:row>25</xdr:row>
      <xdr:rowOff>76200</xdr:rowOff>
    </xdr:to>
    <xdr:sp macro="" textlink="">
      <xdr:nvSpPr>
        <xdr:cNvPr id="76030" name="AutoShape 239">
          <a:extLst>
            <a:ext uri="{FF2B5EF4-FFF2-40B4-BE49-F238E27FC236}">
              <a16:creationId xmlns:a16="http://schemas.microsoft.com/office/drawing/2014/main" id="{00000000-0008-0000-0900-0000FE280100}"/>
            </a:ext>
          </a:extLst>
        </xdr:cNvPr>
        <xdr:cNvSpPr>
          <a:spLocks noChangeArrowheads="1"/>
        </xdr:cNvSpPr>
      </xdr:nvSpPr>
      <xdr:spPr bwMode="auto">
        <a:xfrm>
          <a:off x="5438775" y="5934075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7</xdr:col>
      <xdr:colOff>504825</xdr:colOff>
      <xdr:row>24</xdr:row>
      <xdr:rowOff>142875</xdr:rowOff>
    </xdr:from>
    <xdr:to>
      <xdr:col>8</xdr:col>
      <xdr:colOff>66675</xdr:colOff>
      <xdr:row>25</xdr:row>
      <xdr:rowOff>161925</xdr:rowOff>
    </xdr:to>
    <xdr:sp macro="" textlink="">
      <xdr:nvSpPr>
        <xdr:cNvPr id="54513" name="Text Box 241">
          <a:extLst>
            <a:ext uri="{FF2B5EF4-FFF2-40B4-BE49-F238E27FC236}">
              <a16:creationId xmlns:a16="http://schemas.microsoft.com/office/drawing/2014/main" id="{00000000-0008-0000-0900-0000F1D40000}"/>
            </a:ext>
          </a:extLst>
        </xdr:cNvPr>
        <xdr:cNvSpPr txBox="1">
          <a:spLocks noChangeArrowheads="1"/>
        </xdr:cNvSpPr>
      </xdr:nvSpPr>
      <xdr:spPr bwMode="auto">
        <a:xfrm>
          <a:off x="5743575" y="52959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25</a:t>
          </a:r>
        </a:p>
      </xdr:txBody>
    </xdr:sp>
    <xdr:clientData/>
  </xdr:twoCellAnchor>
  <xdr:twoCellAnchor editAs="oneCell">
    <xdr:from>
      <xdr:col>9</xdr:col>
      <xdr:colOff>180975</xdr:colOff>
      <xdr:row>20</xdr:row>
      <xdr:rowOff>76200</xdr:rowOff>
    </xdr:from>
    <xdr:to>
      <xdr:col>9</xdr:col>
      <xdr:colOff>419100</xdr:colOff>
      <xdr:row>21</xdr:row>
      <xdr:rowOff>95250</xdr:rowOff>
    </xdr:to>
    <xdr:sp macro="" textlink="">
      <xdr:nvSpPr>
        <xdr:cNvPr id="54514" name="Text Box 242">
          <a:extLst>
            <a:ext uri="{FF2B5EF4-FFF2-40B4-BE49-F238E27FC236}">
              <a16:creationId xmlns:a16="http://schemas.microsoft.com/office/drawing/2014/main" id="{00000000-0008-0000-0900-0000F2D40000}"/>
            </a:ext>
          </a:extLst>
        </xdr:cNvPr>
        <xdr:cNvSpPr txBox="1">
          <a:spLocks noChangeArrowheads="1"/>
        </xdr:cNvSpPr>
      </xdr:nvSpPr>
      <xdr:spPr bwMode="auto">
        <a:xfrm>
          <a:off x="6772275" y="43529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14</a:t>
          </a:r>
        </a:p>
      </xdr:txBody>
    </xdr:sp>
    <xdr:clientData/>
  </xdr:twoCellAnchor>
  <xdr:twoCellAnchor editAs="oneCell">
    <xdr:from>
      <xdr:col>8</xdr:col>
      <xdr:colOff>542925</xdr:colOff>
      <xdr:row>23</xdr:row>
      <xdr:rowOff>200025</xdr:rowOff>
    </xdr:from>
    <xdr:to>
      <xdr:col>9</xdr:col>
      <xdr:colOff>104775</xdr:colOff>
      <xdr:row>25</xdr:row>
      <xdr:rowOff>0</xdr:rowOff>
    </xdr:to>
    <xdr:sp macro="" textlink="">
      <xdr:nvSpPr>
        <xdr:cNvPr id="54515" name="Text Box 243">
          <a:extLst>
            <a:ext uri="{FF2B5EF4-FFF2-40B4-BE49-F238E27FC236}">
              <a16:creationId xmlns:a16="http://schemas.microsoft.com/office/drawing/2014/main" id="{00000000-0008-0000-0900-0000F3D40000}"/>
            </a:ext>
          </a:extLst>
        </xdr:cNvPr>
        <xdr:cNvSpPr txBox="1">
          <a:spLocks noChangeArrowheads="1"/>
        </xdr:cNvSpPr>
      </xdr:nvSpPr>
      <xdr:spPr bwMode="auto">
        <a:xfrm>
          <a:off x="6457950" y="51339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18</a:t>
          </a:r>
        </a:p>
      </xdr:txBody>
    </xdr:sp>
    <xdr:clientData/>
  </xdr:twoCellAnchor>
  <xdr:twoCellAnchor>
    <xdr:from>
      <xdr:col>7</xdr:col>
      <xdr:colOff>257175</xdr:colOff>
      <xdr:row>22</xdr:row>
      <xdr:rowOff>142875</xdr:rowOff>
    </xdr:from>
    <xdr:to>
      <xdr:col>8</xdr:col>
      <xdr:colOff>76200</xdr:colOff>
      <xdr:row>25</xdr:row>
      <xdr:rowOff>28575</xdr:rowOff>
    </xdr:to>
    <xdr:sp macro="" textlink="">
      <xdr:nvSpPr>
        <xdr:cNvPr id="76039" name="Line 249">
          <a:extLst>
            <a:ext uri="{FF2B5EF4-FFF2-40B4-BE49-F238E27FC236}">
              <a16:creationId xmlns:a16="http://schemas.microsoft.com/office/drawing/2014/main" id="{00000000-0008-0000-0900-000007290100}"/>
            </a:ext>
          </a:extLst>
        </xdr:cNvPr>
        <xdr:cNvSpPr>
          <a:spLocks noChangeShapeType="1"/>
        </xdr:cNvSpPr>
      </xdr:nvSpPr>
      <xdr:spPr bwMode="auto">
        <a:xfrm flipV="1">
          <a:off x="5495925" y="5429250"/>
          <a:ext cx="4953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7</xdr:col>
      <xdr:colOff>333375</xdr:colOff>
      <xdr:row>23</xdr:row>
      <xdr:rowOff>28575</xdr:rowOff>
    </xdr:from>
    <xdr:to>
      <xdr:col>7</xdr:col>
      <xdr:colOff>571500</xdr:colOff>
      <xdr:row>24</xdr:row>
      <xdr:rowOff>47625</xdr:rowOff>
    </xdr:to>
    <xdr:sp macro="" textlink="">
      <xdr:nvSpPr>
        <xdr:cNvPr id="54522" name="Text Box 250">
          <a:extLst>
            <a:ext uri="{FF2B5EF4-FFF2-40B4-BE49-F238E27FC236}">
              <a16:creationId xmlns:a16="http://schemas.microsoft.com/office/drawing/2014/main" id="{00000000-0008-0000-0900-0000FAD40000}"/>
            </a:ext>
          </a:extLst>
        </xdr:cNvPr>
        <xdr:cNvSpPr txBox="1">
          <a:spLocks noChangeArrowheads="1"/>
        </xdr:cNvSpPr>
      </xdr:nvSpPr>
      <xdr:spPr bwMode="auto">
        <a:xfrm>
          <a:off x="5572125" y="49625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15</a:t>
          </a:r>
        </a:p>
      </xdr:txBody>
    </xdr:sp>
    <xdr:clientData/>
  </xdr:twoCellAnchor>
  <xdr:twoCellAnchor>
    <xdr:from>
      <xdr:col>8</xdr:col>
      <xdr:colOff>28575</xdr:colOff>
      <xdr:row>20</xdr:row>
      <xdr:rowOff>180975</xdr:rowOff>
    </xdr:from>
    <xdr:to>
      <xdr:col>8</xdr:col>
      <xdr:colOff>457200</xdr:colOff>
      <xdr:row>22</xdr:row>
      <xdr:rowOff>133350</xdr:rowOff>
    </xdr:to>
    <xdr:sp macro="" textlink="">
      <xdr:nvSpPr>
        <xdr:cNvPr id="76041" name="Line 252">
          <a:extLst>
            <a:ext uri="{FF2B5EF4-FFF2-40B4-BE49-F238E27FC236}">
              <a16:creationId xmlns:a16="http://schemas.microsoft.com/office/drawing/2014/main" id="{00000000-0008-0000-0900-000009290100}"/>
            </a:ext>
          </a:extLst>
        </xdr:cNvPr>
        <xdr:cNvSpPr>
          <a:spLocks noChangeShapeType="1"/>
        </xdr:cNvSpPr>
      </xdr:nvSpPr>
      <xdr:spPr bwMode="auto">
        <a:xfrm flipV="1">
          <a:off x="5943600" y="5029200"/>
          <a:ext cx="428625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10</xdr:col>
      <xdr:colOff>200025</xdr:colOff>
      <xdr:row>19</xdr:row>
      <xdr:rowOff>180975</xdr:rowOff>
    </xdr:from>
    <xdr:to>
      <xdr:col>10</xdr:col>
      <xdr:colOff>438150</xdr:colOff>
      <xdr:row>20</xdr:row>
      <xdr:rowOff>200025</xdr:rowOff>
    </xdr:to>
    <xdr:sp macro="" textlink="">
      <xdr:nvSpPr>
        <xdr:cNvPr id="54525" name="Text Box 253">
          <a:extLst>
            <a:ext uri="{FF2B5EF4-FFF2-40B4-BE49-F238E27FC236}">
              <a16:creationId xmlns:a16="http://schemas.microsoft.com/office/drawing/2014/main" id="{00000000-0008-0000-0900-0000FDD40000}"/>
            </a:ext>
          </a:extLst>
        </xdr:cNvPr>
        <xdr:cNvSpPr txBox="1">
          <a:spLocks noChangeArrowheads="1"/>
        </xdr:cNvSpPr>
      </xdr:nvSpPr>
      <xdr:spPr bwMode="auto">
        <a:xfrm>
          <a:off x="7467600" y="48101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20</a:t>
          </a:r>
        </a:p>
      </xdr:txBody>
    </xdr:sp>
    <xdr:clientData/>
  </xdr:twoCellAnchor>
  <xdr:twoCellAnchor editAs="oneCell">
    <xdr:from>
      <xdr:col>8</xdr:col>
      <xdr:colOff>180975</xdr:colOff>
      <xdr:row>19</xdr:row>
      <xdr:rowOff>142875</xdr:rowOff>
    </xdr:from>
    <xdr:to>
      <xdr:col>8</xdr:col>
      <xdr:colOff>419100</xdr:colOff>
      <xdr:row>20</xdr:row>
      <xdr:rowOff>161925</xdr:rowOff>
    </xdr:to>
    <xdr:sp macro="" textlink="">
      <xdr:nvSpPr>
        <xdr:cNvPr id="54526" name="Text Box 254">
          <a:extLst>
            <a:ext uri="{FF2B5EF4-FFF2-40B4-BE49-F238E27FC236}">
              <a16:creationId xmlns:a16="http://schemas.microsoft.com/office/drawing/2014/main" id="{00000000-0008-0000-0900-0000FED40000}"/>
            </a:ext>
          </a:extLst>
        </xdr:cNvPr>
        <xdr:cNvSpPr txBox="1">
          <a:spLocks noChangeArrowheads="1"/>
        </xdr:cNvSpPr>
      </xdr:nvSpPr>
      <xdr:spPr bwMode="auto">
        <a:xfrm>
          <a:off x="6096000" y="42005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15</a:t>
          </a:r>
        </a:p>
      </xdr:txBody>
    </xdr:sp>
    <xdr:clientData/>
  </xdr:twoCellAnchor>
  <xdr:twoCellAnchor>
    <xdr:from>
      <xdr:col>4</xdr:col>
      <xdr:colOff>133350</xdr:colOff>
      <xdr:row>4</xdr:row>
      <xdr:rowOff>28575</xdr:rowOff>
    </xdr:from>
    <xdr:to>
      <xdr:col>4</xdr:col>
      <xdr:colOff>219075</xdr:colOff>
      <xdr:row>4</xdr:row>
      <xdr:rowOff>142875</xdr:rowOff>
    </xdr:to>
    <xdr:sp macro="" textlink="">
      <xdr:nvSpPr>
        <xdr:cNvPr id="76049" name="AutoShape 163">
          <a:extLst>
            <a:ext uri="{FF2B5EF4-FFF2-40B4-BE49-F238E27FC236}">
              <a16:creationId xmlns:a16="http://schemas.microsoft.com/office/drawing/2014/main" id="{00000000-0008-0000-0900-000011290100}"/>
            </a:ext>
          </a:extLst>
        </xdr:cNvPr>
        <xdr:cNvSpPr>
          <a:spLocks noChangeArrowheads="1"/>
        </xdr:cNvSpPr>
      </xdr:nvSpPr>
      <xdr:spPr bwMode="auto">
        <a:xfrm>
          <a:off x="3000375" y="1190625"/>
          <a:ext cx="85725" cy="11430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225571</xdr:colOff>
      <xdr:row>4</xdr:row>
      <xdr:rowOff>83417</xdr:rowOff>
    </xdr:from>
    <xdr:to>
      <xdr:col>7</xdr:col>
      <xdr:colOff>423863</xdr:colOff>
      <xdr:row>4</xdr:row>
      <xdr:rowOff>304803</xdr:rowOff>
    </xdr:to>
    <xdr:cxnSp macro="">
      <xdr:nvCxnSpPr>
        <xdr:cNvPr id="76050" name="ตัวเชื่อมต่อตรง 265">
          <a:extLst>
            <a:ext uri="{FF2B5EF4-FFF2-40B4-BE49-F238E27FC236}">
              <a16:creationId xmlns:a16="http://schemas.microsoft.com/office/drawing/2014/main" id="{00000000-0008-0000-0900-0000122901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266912" y="71151"/>
          <a:ext cx="221386" cy="2570017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285750</xdr:colOff>
      <xdr:row>32</xdr:row>
      <xdr:rowOff>9525</xdr:rowOff>
    </xdr:from>
    <xdr:to>
      <xdr:col>3</xdr:col>
      <xdr:colOff>257175</xdr:colOff>
      <xdr:row>38</xdr:row>
      <xdr:rowOff>209550</xdr:rowOff>
    </xdr:to>
    <xdr:cxnSp macro="">
      <xdr:nvCxnSpPr>
        <xdr:cNvPr id="76051" name="ตัวเชื่อมต่อตรง 285">
          <a:extLst>
            <a:ext uri="{FF2B5EF4-FFF2-40B4-BE49-F238E27FC236}">
              <a16:creationId xmlns:a16="http://schemas.microsoft.com/office/drawing/2014/main" id="{00000000-0008-0000-0900-000013290100}"/>
            </a:ext>
          </a:extLst>
        </xdr:cNvPr>
        <xdr:cNvCxnSpPr>
          <a:cxnSpLocks noChangeShapeType="1"/>
        </xdr:cNvCxnSpPr>
      </xdr:nvCxnSpPr>
      <xdr:spPr bwMode="auto">
        <a:xfrm rot="16200000" flipV="1">
          <a:off x="976312" y="7777163"/>
          <a:ext cx="1514475" cy="9334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4</xdr:col>
      <xdr:colOff>285750</xdr:colOff>
      <xdr:row>39</xdr:row>
      <xdr:rowOff>133351</xdr:rowOff>
    </xdr:from>
    <xdr:to>
      <xdr:col>4</xdr:col>
      <xdr:colOff>523875</xdr:colOff>
      <xdr:row>40</xdr:row>
      <xdr:rowOff>152401</xdr:rowOff>
    </xdr:to>
    <xdr:sp macro="" textlink="">
      <xdr:nvSpPr>
        <xdr:cNvPr id="266" name="Text Box 262">
          <a:extLst>
            <a:ext uri="{FF2B5EF4-FFF2-40B4-BE49-F238E27FC236}">
              <a16:creationId xmlns:a16="http://schemas.microsoft.com/office/drawing/2014/main" id="{00000000-0008-0000-0900-00000A010000}"/>
            </a:ext>
          </a:extLst>
        </xdr:cNvPr>
        <xdr:cNvSpPr txBox="1">
          <a:spLocks noChangeArrowheads="1"/>
        </xdr:cNvSpPr>
      </xdr:nvSpPr>
      <xdr:spPr bwMode="auto">
        <a:xfrm>
          <a:off x="3152775" y="9429751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60</a:t>
          </a:r>
        </a:p>
      </xdr:txBody>
    </xdr:sp>
    <xdr:clientData/>
  </xdr:twoCellAnchor>
  <xdr:twoCellAnchor editAs="oneCell">
    <xdr:from>
      <xdr:col>2</xdr:col>
      <xdr:colOff>819150</xdr:colOff>
      <xdr:row>34</xdr:row>
      <xdr:rowOff>200026</xdr:rowOff>
    </xdr:from>
    <xdr:to>
      <xdr:col>3</xdr:col>
      <xdr:colOff>95250</xdr:colOff>
      <xdr:row>36</xdr:row>
      <xdr:rowOff>47626</xdr:rowOff>
    </xdr:to>
    <xdr:sp macro="" textlink="">
      <xdr:nvSpPr>
        <xdr:cNvPr id="267" name="Text Box 262">
          <a:extLst>
            <a:ext uri="{FF2B5EF4-FFF2-40B4-BE49-F238E27FC236}">
              <a16:creationId xmlns:a16="http://schemas.microsoft.com/office/drawing/2014/main" id="{00000000-0008-0000-0900-00000B010000}"/>
            </a:ext>
          </a:extLst>
        </xdr:cNvPr>
        <xdr:cNvSpPr txBox="1">
          <a:spLocks noChangeArrowheads="1"/>
        </xdr:cNvSpPr>
      </xdr:nvSpPr>
      <xdr:spPr bwMode="auto">
        <a:xfrm>
          <a:off x="1800225" y="8401051"/>
          <a:ext cx="2381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20</a:t>
          </a:r>
        </a:p>
      </xdr:txBody>
    </xdr:sp>
    <xdr:clientData/>
  </xdr:twoCellAnchor>
  <xdr:twoCellAnchor>
    <xdr:from>
      <xdr:col>3</xdr:col>
      <xdr:colOff>266700</xdr:colOff>
      <xdr:row>38</xdr:row>
      <xdr:rowOff>200025</xdr:rowOff>
    </xdr:from>
    <xdr:to>
      <xdr:col>5</xdr:col>
      <xdr:colOff>809625</xdr:colOff>
      <xdr:row>41</xdr:row>
      <xdr:rowOff>19050</xdr:rowOff>
    </xdr:to>
    <xdr:cxnSp macro="">
      <xdr:nvCxnSpPr>
        <xdr:cNvPr id="76054" name="ตัวเชื่อมต่อตรง 280">
          <a:extLst>
            <a:ext uri="{FF2B5EF4-FFF2-40B4-BE49-F238E27FC236}">
              <a16:creationId xmlns:a16="http://schemas.microsoft.com/office/drawing/2014/main" id="{00000000-0008-0000-0900-000016290100}"/>
            </a:ext>
          </a:extLst>
        </xdr:cNvPr>
        <xdr:cNvCxnSpPr>
          <a:cxnSpLocks noChangeShapeType="1"/>
        </xdr:cNvCxnSpPr>
      </xdr:nvCxnSpPr>
      <xdr:spPr bwMode="auto">
        <a:xfrm rot="10800000">
          <a:off x="2209800" y="8991600"/>
          <a:ext cx="2314575" cy="4762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3</xdr:col>
      <xdr:colOff>209550</xdr:colOff>
      <xdr:row>38</xdr:row>
      <xdr:rowOff>152400</xdr:rowOff>
    </xdr:from>
    <xdr:to>
      <xdr:col>3</xdr:col>
      <xdr:colOff>295275</xdr:colOff>
      <xdr:row>39</xdr:row>
      <xdr:rowOff>28575</xdr:rowOff>
    </xdr:to>
    <xdr:sp macro="" textlink="">
      <xdr:nvSpPr>
        <xdr:cNvPr id="76055" name="AutoShape 240">
          <a:extLst>
            <a:ext uri="{FF2B5EF4-FFF2-40B4-BE49-F238E27FC236}">
              <a16:creationId xmlns:a16="http://schemas.microsoft.com/office/drawing/2014/main" id="{00000000-0008-0000-0900-000017290100}"/>
            </a:ext>
          </a:extLst>
        </xdr:cNvPr>
        <xdr:cNvSpPr>
          <a:spLocks noChangeArrowheads="1"/>
        </xdr:cNvSpPr>
      </xdr:nvSpPr>
      <xdr:spPr bwMode="auto">
        <a:xfrm>
          <a:off x="2152650" y="8943975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771525</xdr:colOff>
      <xdr:row>40</xdr:row>
      <xdr:rowOff>209550</xdr:rowOff>
    </xdr:from>
    <xdr:to>
      <xdr:col>6</xdr:col>
      <xdr:colOff>9525</xdr:colOff>
      <xdr:row>41</xdr:row>
      <xdr:rowOff>85725</xdr:rowOff>
    </xdr:to>
    <xdr:sp macro="" textlink="">
      <xdr:nvSpPr>
        <xdr:cNvPr id="76056" name="AutoShape 240">
          <a:extLst>
            <a:ext uri="{FF2B5EF4-FFF2-40B4-BE49-F238E27FC236}">
              <a16:creationId xmlns:a16="http://schemas.microsoft.com/office/drawing/2014/main" id="{00000000-0008-0000-0900-000018290100}"/>
            </a:ext>
          </a:extLst>
        </xdr:cNvPr>
        <xdr:cNvSpPr>
          <a:spLocks noChangeArrowheads="1"/>
        </xdr:cNvSpPr>
      </xdr:nvSpPr>
      <xdr:spPr bwMode="auto">
        <a:xfrm>
          <a:off x="4486275" y="9439275"/>
          <a:ext cx="85725" cy="9525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41</xdr:row>
      <xdr:rowOff>0</xdr:rowOff>
    </xdr:from>
    <xdr:to>
      <xdr:col>7</xdr:col>
      <xdr:colOff>123825</xdr:colOff>
      <xdr:row>42</xdr:row>
      <xdr:rowOff>47625</xdr:rowOff>
    </xdr:to>
    <xdr:sp macro="" textlink="">
      <xdr:nvSpPr>
        <xdr:cNvPr id="274" name="Text Box 129">
          <a:extLst>
            <a:ext uri="{FF2B5EF4-FFF2-40B4-BE49-F238E27FC236}">
              <a16:creationId xmlns:a16="http://schemas.microsoft.com/office/drawing/2014/main" id="{00000000-0008-0000-0900-000012010000}"/>
            </a:ext>
          </a:extLst>
        </xdr:cNvPr>
        <xdr:cNvSpPr txBox="1">
          <a:spLocks noChangeArrowheads="1"/>
        </xdr:cNvSpPr>
      </xdr:nvSpPr>
      <xdr:spPr bwMode="auto">
        <a:xfrm>
          <a:off x="4562475" y="973455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อ.วังน้ำเขียว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5</xdr:col>
      <xdr:colOff>762000</xdr:colOff>
      <xdr:row>38</xdr:row>
      <xdr:rowOff>19050</xdr:rowOff>
    </xdr:from>
    <xdr:to>
      <xdr:col>6</xdr:col>
      <xdr:colOff>152400</xdr:colOff>
      <xdr:row>39</xdr:row>
      <xdr:rowOff>38100</xdr:rowOff>
    </xdr:to>
    <xdr:sp macro="" textlink="">
      <xdr:nvSpPr>
        <xdr:cNvPr id="275" name="Text Box 262">
          <a:extLst>
            <a:ext uri="{FF2B5EF4-FFF2-40B4-BE49-F238E27FC236}">
              <a16:creationId xmlns:a16="http://schemas.microsoft.com/office/drawing/2014/main" id="{00000000-0008-0000-0900-000013010000}"/>
            </a:ext>
          </a:extLst>
        </xdr:cNvPr>
        <xdr:cNvSpPr txBox="1">
          <a:spLocks noChangeArrowheads="1"/>
        </xdr:cNvSpPr>
      </xdr:nvSpPr>
      <xdr:spPr bwMode="auto">
        <a:xfrm>
          <a:off x="4476750" y="90963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42</a:t>
          </a:r>
        </a:p>
      </xdr:txBody>
    </xdr:sp>
    <xdr:clientData/>
  </xdr:twoCellAnchor>
  <xdr:twoCellAnchor>
    <xdr:from>
      <xdr:col>2</xdr:col>
      <xdr:colOff>914400</xdr:colOff>
      <xdr:row>22</xdr:row>
      <xdr:rowOff>66675</xdr:rowOff>
    </xdr:from>
    <xdr:to>
      <xdr:col>4</xdr:col>
      <xdr:colOff>504825</xdr:colOff>
      <xdr:row>25</xdr:row>
      <xdr:rowOff>85725</xdr:rowOff>
    </xdr:to>
    <xdr:cxnSp macro="">
      <xdr:nvCxnSpPr>
        <xdr:cNvPr id="76059" name="AutoShape 118">
          <a:extLst>
            <a:ext uri="{FF2B5EF4-FFF2-40B4-BE49-F238E27FC236}">
              <a16:creationId xmlns:a16="http://schemas.microsoft.com/office/drawing/2014/main" id="{00000000-0008-0000-0900-00001B290100}"/>
            </a:ext>
          </a:extLst>
        </xdr:cNvPr>
        <xdr:cNvCxnSpPr>
          <a:cxnSpLocks noChangeShapeType="1"/>
          <a:stCxn id="75855" idx="5"/>
        </xdr:cNvCxnSpPr>
      </xdr:nvCxnSpPr>
      <xdr:spPr bwMode="auto">
        <a:xfrm>
          <a:off x="1895475" y="5353050"/>
          <a:ext cx="1476375" cy="6762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4</xdr:col>
      <xdr:colOff>295275</xdr:colOff>
      <xdr:row>27</xdr:row>
      <xdr:rowOff>57150</xdr:rowOff>
    </xdr:from>
    <xdr:to>
      <xdr:col>4</xdr:col>
      <xdr:colOff>533400</xdr:colOff>
      <xdr:row>28</xdr:row>
      <xdr:rowOff>76200</xdr:rowOff>
    </xdr:to>
    <xdr:sp macro="" textlink="">
      <xdr:nvSpPr>
        <xdr:cNvPr id="283" name="Text Box 151">
          <a:extLst>
            <a:ext uri="{FF2B5EF4-FFF2-40B4-BE49-F238E27FC236}">
              <a16:creationId xmlns:a16="http://schemas.microsoft.com/office/drawing/2014/main" id="{00000000-0008-0000-0900-00001B010000}"/>
            </a:ext>
          </a:extLst>
        </xdr:cNvPr>
        <xdr:cNvSpPr txBox="1">
          <a:spLocks noChangeArrowheads="1"/>
        </xdr:cNvSpPr>
      </xdr:nvSpPr>
      <xdr:spPr bwMode="auto">
        <a:xfrm>
          <a:off x="3162300" y="67246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16</a:t>
          </a:r>
        </a:p>
      </xdr:txBody>
    </xdr:sp>
    <xdr:clientData/>
  </xdr:twoCellAnchor>
  <xdr:twoCellAnchor editAs="oneCell">
    <xdr:from>
      <xdr:col>10</xdr:col>
      <xdr:colOff>98670</xdr:colOff>
      <xdr:row>30</xdr:row>
      <xdr:rowOff>15874</xdr:rowOff>
    </xdr:from>
    <xdr:to>
      <xdr:col>10</xdr:col>
      <xdr:colOff>810798</xdr:colOff>
      <xdr:row>31</xdr:row>
      <xdr:rowOff>78648</xdr:rowOff>
    </xdr:to>
    <xdr:sp macro="" textlink="">
      <xdr:nvSpPr>
        <xdr:cNvPr id="288" name="Text Box 988">
          <a:extLst>
            <a:ext uri="{FF2B5EF4-FFF2-40B4-BE49-F238E27FC236}">
              <a16:creationId xmlns:a16="http://schemas.microsoft.com/office/drawing/2014/main" id="{00000000-0008-0000-0900-000020010000}"/>
            </a:ext>
          </a:extLst>
        </xdr:cNvPr>
        <xdr:cNvSpPr txBox="1">
          <a:spLocks noChangeArrowheads="1"/>
        </xdr:cNvSpPr>
      </xdr:nvSpPr>
      <xdr:spPr bwMode="auto">
        <a:xfrm>
          <a:off x="7354794" y="6940228"/>
          <a:ext cx="712128" cy="276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1">
            <a:defRPr sz="1000"/>
          </a:pPr>
          <a:r>
            <a:rPr lang="th-TH" sz="1400" b="1" i="0" strike="noStrike">
              <a:solidFill>
                <a:srgbClr val="0000FF"/>
              </a:solidFill>
              <a:latin typeface="Cordia New"/>
              <a:cs typeface="Cordia New"/>
            </a:rPr>
            <a:t>แหล่งลูกรัง </a:t>
          </a:r>
        </a:p>
      </xdr:txBody>
    </xdr:sp>
    <xdr:clientData/>
  </xdr:twoCellAnchor>
  <xdr:twoCellAnchor>
    <xdr:from>
      <xdr:col>1</xdr:col>
      <xdr:colOff>0</xdr:colOff>
      <xdr:row>38</xdr:row>
      <xdr:rowOff>209550</xdr:rowOff>
    </xdr:from>
    <xdr:to>
      <xdr:col>2</xdr:col>
      <xdr:colOff>95250</xdr:colOff>
      <xdr:row>40</xdr:row>
      <xdr:rowOff>0</xdr:rowOff>
    </xdr:to>
    <xdr:sp macro="" textlink="">
      <xdr:nvSpPr>
        <xdr:cNvPr id="292" name="Text Box 124">
          <a:extLst>
            <a:ext uri="{FF2B5EF4-FFF2-40B4-BE49-F238E27FC236}">
              <a16:creationId xmlns:a16="http://schemas.microsoft.com/office/drawing/2014/main" id="{00000000-0008-0000-0900-000024010000}"/>
            </a:ext>
          </a:extLst>
        </xdr:cNvPr>
        <xdr:cNvSpPr txBox="1">
          <a:spLocks noChangeArrowheads="1"/>
        </xdr:cNvSpPr>
      </xdr:nvSpPr>
      <xdr:spPr bwMode="auto">
        <a:xfrm>
          <a:off x="438150" y="9286875"/>
          <a:ext cx="6381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กรุงเทพฯ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0</xdr:col>
      <xdr:colOff>390525</xdr:colOff>
      <xdr:row>39</xdr:row>
      <xdr:rowOff>152400</xdr:rowOff>
    </xdr:from>
    <xdr:to>
      <xdr:col>1</xdr:col>
      <xdr:colOff>38100</xdr:colOff>
      <xdr:row>40</xdr:row>
      <xdr:rowOff>19050</xdr:rowOff>
    </xdr:to>
    <xdr:sp macro="" textlink="">
      <xdr:nvSpPr>
        <xdr:cNvPr id="76068" name="AutoShape 126">
          <a:extLst>
            <a:ext uri="{FF2B5EF4-FFF2-40B4-BE49-F238E27FC236}">
              <a16:creationId xmlns:a16="http://schemas.microsoft.com/office/drawing/2014/main" id="{00000000-0008-0000-0900-000024290100}"/>
            </a:ext>
          </a:extLst>
        </xdr:cNvPr>
        <xdr:cNvSpPr>
          <a:spLocks noChangeArrowheads="1"/>
        </xdr:cNvSpPr>
      </xdr:nvSpPr>
      <xdr:spPr bwMode="auto">
        <a:xfrm>
          <a:off x="390525" y="916305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409575</xdr:colOff>
      <xdr:row>40</xdr:row>
      <xdr:rowOff>0</xdr:rowOff>
    </xdr:from>
    <xdr:to>
      <xdr:col>3</xdr:col>
      <xdr:colOff>285750</xdr:colOff>
      <xdr:row>42</xdr:row>
      <xdr:rowOff>142875</xdr:rowOff>
    </xdr:to>
    <xdr:cxnSp macro="">
      <xdr:nvCxnSpPr>
        <xdr:cNvPr id="76069" name="ตัวเชื่อมต่อตรง 280">
          <a:extLst>
            <a:ext uri="{FF2B5EF4-FFF2-40B4-BE49-F238E27FC236}">
              <a16:creationId xmlns:a16="http://schemas.microsoft.com/office/drawing/2014/main" id="{00000000-0008-0000-0900-000025290100}"/>
            </a:ext>
          </a:extLst>
        </xdr:cNvPr>
        <xdr:cNvCxnSpPr>
          <a:cxnSpLocks noChangeShapeType="1"/>
        </xdr:cNvCxnSpPr>
      </xdr:nvCxnSpPr>
      <xdr:spPr bwMode="auto">
        <a:xfrm rot="10800000">
          <a:off x="409575" y="9229725"/>
          <a:ext cx="1819275" cy="58102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3</xdr:col>
      <xdr:colOff>276225</xdr:colOff>
      <xdr:row>41</xdr:row>
      <xdr:rowOff>76200</xdr:rowOff>
    </xdr:from>
    <xdr:to>
      <xdr:col>5</xdr:col>
      <xdr:colOff>781050</xdr:colOff>
      <xdr:row>42</xdr:row>
      <xdr:rowOff>133350</xdr:rowOff>
    </xdr:to>
    <xdr:cxnSp macro="">
      <xdr:nvCxnSpPr>
        <xdr:cNvPr id="76070" name="ตัวเชื่อมต่อตรง 280">
          <a:extLst>
            <a:ext uri="{FF2B5EF4-FFF2-40B4-BE49-F238E27FC236}">
              <a16:creationId xmlns:a16="http://schemas.microsoft.com/office/drawing/2014/main" id="{00000000-0008-0000-0900-000026290100}"/>
            </a:ext>
          </a:extLst>
        </xdr:cNvPr>
        <xdr:cNvCxnSpPr>
          <a:cxnSpLocks noChangeShapeType="1"/>
          <a:stCxn id="76056" idx="3"/>
        </xdr:cNvCxnSpPr>
      </xdr:nvCxnSpPr>
      <xdr:spPr bwMode="auto">
        <a:xfrm rot="5400000">
          <a:off x="3219450" y="8524875"/>
          <a:ext cx="276225" cy="227647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2</xdr:col>
      <xdr:colOff>28575</xdr:colOff>
      <xdr:row>40</xdr:row>
      <xdr:rowOff>209550</xdr:rowOff>
    </xdr:from>
    <xdr:to>
      <xdr:col>2</xdr:col>
      <xdr:colOff>352425</xdr:colOff>
      <xdr:row>42</xdr:row>
      <xdr:rowOff>9525</xdr:rowOff>
    </xdr:to>
    <xdr:sp macro="" textlink="">
      <xdr:nvSpPr>
        <xdr:cNvPr id="302" name="Text Box 100">
          <a:extLst>
            <a:ext uri="{FF2B5EF4-FFF2-40B4-BE49-F238E27FC236}">
              <a16:creationId xmlns:a16="http://schemas.microsoft.com/office/drawing/2014/main" id="{00000000-0008-0000-0900-00002E010000}"/>
            </a:ext>
          </a:extLst>
        </xdr:cNvPr>
        <xdr:cNvSpPr txBox="1">
          <a:spLocks noChangeArrowheads="1"/>
        </xdr:cNvSpPr>
      </xdr:nvSpPr>
      <xdr:spPr bwMode="auto">
        <a:xfrm>
          <a:off x="1009650" y="9725025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124</a:t>
          </a:r>
        </a:p>
      </xdr:txBody>
    </xdr:sp>
    <xdr:clientData/>
  </xdr:twoCellAnchor>
  <xdr:twoCellAnchor editAs="oneCell">
    <xdr:from>
      <xdr:col>3</xdr:col>
      <xdr:colOff>333375</xdr:colOff>
      <xdr:row>23</xdr:row>
      <xdr:rowOff>28575</xdr:rowOff>
    </xdr:from>
    <xdr:to>
      <xdr:col>3</xdr:col>
      <xdr:colOff>571500</xdr:colOff>
      <xdr:row>24</xdr:row>
      <xdr:rowOff>47625</xdr:rowOff>
    </xdr:to>
    <xdr:sp macro="" textlink="">
      <xdr:nvSpPr>
        <xdr:cNvPr id="281" name="Text Box 107">
          <a:extLst>
            <a:ext uri="{FF2B5EF4-FFF2-40B4-BE49-F238E27FC236}">
              <a16:creationId xmlns:a16="http://schemas.microsoft.com/office/drawing/2014/main" id="{00000000-0008-0000-0900-000019010000}"/>
            </a:ext>
          </a:extLst>
        </xdr:cNvPr>
        <xdr:cNvSpPr txBox="1">
          <a:spLocks noChangeArrowheads="1"/>
        </xdr:cNvSpPr>
      </xdr:nvSpPr>
      <xdr:spPr bwMode="auto">
        <a:xfrm>
          <a:off x="2276475" y="553402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39</a:t>
          </a:r>
        </a:p>
      </xdr:txBody>
    </xdr:sp>
    <xdr:clientData/>
  </xdr:twoCellAnchor>
  <xdr:twoCellAnchor editAs="oneCell">
    <xdr:from>
      <xdr:col>4</xdr:col>
      <xdr:colOff>390525</xdr:colOff>
      <xdr:row>25</xdr:row>
      <xdr:rowOff>76200</xdr:rowOff>
    </xdr:from>
    <xdr:to>
      <xdr:col>4</xdr:col>
      <xdr:colOff>628650</xdr:colOff>
      <xdr:row>26</xdr:row>
      <xdr:rowOff>95250</xdr:rowOff>
    </xdr:to>
    <xdr:sp macro="" textlink="">
      <xdr:nvSpPr>
        <xdr:cNvPr id="285" name="Text Box 107">
          <a:extLst>
            <a:ext uri="{FF2B5EF4-FFF2-40B4-BE49-F238E27FC236}">
              <a16:creationId xmlns:a16="http://schemas.microsoft.com/office/drawing/2014/main" id="{00000000-0008-0000-0900-00001D010000}"/>
            </a:ext>
          </a:extLst>
        </xdr:cNvPr>
        <xdr:cNvSpPr txBox="1">
          <a:spLocks noChangeArrowheads="1"/>
        </xdr:cNvSpPr>
      </xdr:nvSpPr>
      <xdr:spPr bwMode="auto">
        <a:xfrm>
          <a:off x="3257550" y="601980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</a:t>
          </a:r>
        </a:p>
      </xdr:txBody>
    </xdr:sp>
    <xdr:clientData/>
  </xdr:twoCellAnchor>
  <xdr:twoCellAnchor>
    <xdr:from>
      <xdr:col>1</xdr:col>
      <xdr:colOff>95250</xdr:colOff>
      <xdr:row>27</xdr:row>
      <xdr:rowOff>19050</xdr:rowOff>
    </xdr:from>
    <xdr:to>
      <xdr:col>4</xdr:col>
      <xdr:colOff>523875</xdr:colOff>
      <xdr:row>28</xdr:row>
      <xdr:rowOff>38100</xdr:rowOff>
    </xdr:to>
    <xdr:cxnSp macro="">
      <xdr:nvCxnSpPr>
        <xdr:cNvPr id="76074" name="AutoShape 68">
          <a:extLst>
            <a:ext uri="{FF2B5EF4-FFF2-40B4-BE49-F238E27FC236}">
              <a16:creationId xmlns:a16="http://schemas.microsoft.com/office/drawing/2014/main" id="{00000000-0008-0000-0900-00002A290100}"/>
            </a:ext>
          </a:extLst>
        </xdr:cNvPr>
        <xdr:cNvCxnSpPr>
          <a:cxnSpLocks noChangeShapeType="1"/>
          <a:stCxn id="75839" idx="2"/>
          <a:endCxn id="75938" idx="3"/>
        </xdr:cNvCxnSpPr>
      </xdr:nvCxnSpPr>
      <xdr:spPr bwMode="auto">
        <a:xfrm flipH="1">
          <a:off x="533400" y="6400800"/>
          <a:ext cx="2857500" cy="2381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3</xdr:col>
      <xdr:colOff>676275</xdr:colOff>
      <xdr:row>31</xdr:row>
      <xdr:rowOff>200025</xdr:rowOff>
    </xdr:from>
    <xdr:to>
      <xdr:col>3</xdr:col>
      <xdr:colOff>914400</xdr:colOff>
      <xdr:row>33</xdr:row>
      <xdr:rowOff>0</xdr:rowOff>
    </xdr:to>
    <xdr:sp macro="" textlink="">
      <xdr:nvSpPr>
        <xdr:cNvPr id="291" name="Text Box 113">
          <a:extLst>
            <a:ext uri="{FF2B5EF4-FFF2-40B4-BE49-F238E27FC236}">
              <a16:creationId xmlns:a16="http://schemas.microsoft.com/office/drawing/2014/main" id="{00000000-0008-0000-0900-000023010000}"/>
            </a:ext>
          </a:extLst>
        </xdr:cNvPr>
        <xdr:cNvSpPr txBox="1">
          <a:spLocks noChangeArrowheads="1"/>
        </xdr:cNvSpPr>
      </xdr:nvSpPr>
      <xdr:spPr bwMode="auto">
        <a:xfrm>
          <a:off x="2619375" y="74580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14</a:t>
          </a:r>
        </a:p>
      </xdr:txBody>
    </xdr:sp>
    <xdr:clientData/>
  </xdr:twoCellAnchor>
  <xdr:twoCellAnchor editAs="oneCell">
    <xdr:from>
      <xdr:col>4</xdr:col>
      <xdr:colOff>476250</xdr:colOff>
      <xdr:row>31</xdr:row>
      <xdr:rowOff>190500</xdr:rowOff>
    </xdr:from>
    <xdr:to>
      <xdr:col>4</xdr:col>
      <xdr:colOff>714375</xdr:colOff>
      <xdr:row>32</xdr:row>
      <xdr:rowOff>209550</xdr:rowOff>
    </xdr:to>
    <xdr:sp macro="" textlink="">
      <xdr:nvSpPr>
        <xdr:cNvPr id="299" name="Text Box 122">
          <a:extLst>
            <a:ext uri="{FF2B5EF4-FFF2-40B4-BE49-F238E27FC236}">
              <a16:creationId xmlns:a16="http://schemas.microsoft.com/office/drawing/2014/main" id="{00000000-0008-0000-0900-00002B010000}"/>
            </a:ext>
          </a:extLst>
        </xdr:cNvPr>
        <xdr:cNvSpPr txBox="1">
          <a:spLocks noChangeArrowheads="1"/>
        </xdr:cNvSpPr>
      </xdr:nvSpPr>
      <xdr:spPr bwMode="auto">
        <a:xfrm>
          <a:off x="3343275" y="7448550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10</a:t>
          </a:r>
        </a:p>
      </xdr:txBody>
    </xdr:sp>
    <xdr:clientData/>
  </xdr:twoCellAnchor>
  <xdr:twoCellAnchor editAs="oneCell">
    <xdr:from>
      <xdr:col>5</xdr:col>
      <xdr:colOff>342900</xdr:colOff>
      <xdr:row>30</xdr:row>
      <xdr:rowOff>76200</xdr:rowOff>
    </xdr:from>
    <xdr:to>
      <xdr:col>5</xdr:col>
      <xdr:colOff>581025</xdr:colOff>
      <xdr:row>31</xdr:row>
      <xdr:rowOff>95250</xdr:rowOff>
    </xdr:to>
    <xdr:sp macro="" textlink="">
      <xdr:nvSpPr>
        <xdr:cNvPr id="310" name="Text Box 96">
          <a:extLst>
            <a:ext uri="{FF2B5EF4-FFF2-40B4-BE49-F238E27FC236}">
              <a16:creationId xmlns:a16="http://schemas.microsoft.com/office/drawing/2014/main" id="{00000000-0008-0000-0900-000036010000}"/>
            </a:ext>
          </a:extLst>
        </xdr:cNvPr>
        <xdr:cNvSpPr txBox="1">
          <a:spLocks noChangeArrowheads="1"/>
        </xdr:cNvSpPr>
      </xdr:nvSpPr>
      <xdr:spPr bwMode="auto">
        <a:xfrm>
          <a:off x="4057650" y="71151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10</a:t>
          </a:r>
        </a:p>
      </xdr:txBody>
    </xdr:sp>
    <xdr:clientData/>
  </xdr:twoCellAnchor>
  <xdr:twoCellAnchor>
    <xdr:from>
      <xdr:col>4</xdr:col>
      <xdr:colOff>171447</xdr:colOff>
      <xdr:row>4</xdr:row>
      <xdr:rowOff>123825</xdr:rowOff>
    </xdr:from>
    <xdr:to>
      <xdr:col>7</xdr:col>
      <xdr:colOff>228600</xdr:colOff>
      <xdr:row>6</xdr:row>
      <xdr:rowOff>180975</xdr:rowOff>
    </xdr:to>
    <xdr:sp macro="" textlink="">
      <xdr:nvSpPr>
        <xdr:cNvPr id="301" name="รูปแบบอิสระ 300">
          <a:extLst>
            <a:ext uri="{FF2B5EF4-FFF2-40B4-BE49-F238E27FC236}">
              <a16:creationId xmlns:a16="http://schemas.microsoft.com/office/drawing/2014/main" id="{00000000-0008-0000-0900-00002D010000}"/>
            </a:ext>
          </a:extLst>
        </xdr:cNvPr>
        <xdr:cNvSpPr/>
      </xdr:nvSpPr>
      <xdr:spPr bwMode="auto">
        <a:xfrm flipH="1">
          <a:off x="3038472" y="1285875"/>
          <a:ext cx="2428878" cy="676275"/>
        </a:xfrm>
        <a:custGeom>
          <a:avLst/>
          <a:gdLst>
            <a:gd name="connsiteX0" fmla="*/ 0 w 647700"/>
            <a:gd name="connsiteY0" fmla="*/ 933450 h 993775"/>
            <a:gd name="connsiteX1" fmla="*/ 342900 w 647700"/>
            <a:gd name="connsiteY1" fmla="*/ 838200 h 993775"/>
            <a:gd name="connsiteX2" fmla="*/ 647700 w 647700"/>
            <a:gd name="connsiteY2" fmla="*/ 0 h 993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47700" h="993775">
              <a:moveTo>
                <a:pt x="0" y="933450"/>
              </a:moveTo>
              <a:cubicBezTo>
                <a:pt x="117475" y="963612"/>
                <a:pt x="234950" y="993775"/>
                <a:pt x="342900" y="838200"/>
              </a:cubicBezTo>
              <a:cubicBezTo>
                <a:pt x="450850" y="682625"/>
                <a:pt x="549275" y="219075"/>
                <a:pt x="647700" y="0"/>
              </a:cubicBezTo>
            </a:path>
          </a:pathLst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th-TH" sz="1100"/>
        </a:p>
      </xdr:txBody>
    </xdr:sp>
    <xdr:clientData/>
  </xdr:twoCellAnchor>
  <xdr:twoCellAnchor>
    <xdr:from>
      <xdr:col>5</xdr:col>
      <xdr:colOff>666750</xdr:colOff>
      <xdr:row>4</xdr:row>
      <xdr:rowOff>95250</xdr:rowOff>
    </xdr:from>
    <xdr:to>
      <xdr:col>6</xdr:col>
      <xdr:colOff>85725</xdr:colOff>
      <xdr:row>4</xdr:row>
      <xdr:rowOff>295275</xdr:rowOff>
    </xdr:to>
    <xdr:sp macro="" textlink="">
      <xdr:nvSpPr>
        <xdr:cNvPr id="306" name="AutoShape 164">
          <a:extLst>
            <a:ext uri="{FF2B5EF4-FFF2-40B4-BE49-F238E27FC236}">
              <a16:creationId xmlns:a16="http://schemas.microsoft.com/office/drawing/2014/main" id="{00000000-0008-0000-0900-000032010000}"/>
            </a:ext>
          </a:extLst>
        </xdr:cNvPr>
        <xdr:cNvSpPr>
          <a:spLocks noChangeArrowheads="1"/>
        </xdr:cNvSpPr>
      </xdr:nvSpPr>
      <xdr:spPr bwMode="auto">
        <a:xfrm>
          <a:off x="4381500" y="1257300"/>
          <a:ext cx="266700" cy="200025"/>
        </a:xfrm>
        <a:prstGeom prst="flowChartProcess">
          <a:avLst/>
        </a:prstGeom>
        <a:solidFill>
          <a:srgbClr val="3366FF"/>
        </a:solidFill>
        <a:ln w="381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419099</xdr:colOff>
      <xdr:row>3</xdr:row>
      <xdr:rowOff>114300</xdr:rowOff>
    </xdr:from>
    <xdr:to>
      <xdr:col>6</xdr:col>
      <xdr:colOff>438149</xdr:colOff>
      <xdr:row>4</xdr:row>
      <xdr:rowOff>95250</xdr:rowOff>
    </xdr:to>
    <xdr:sp macro="" textlink="">
      <xdr:nvSpPr>
        <xdr:cNvPr id="308" name="Text Box 174">
          <a:extLst>
            <a:ext uri="{FF2B5EF4-FFF2-40B4-BE49-F238E27FC236}">
              <a16:creationId xmlns:a16="http://schemas.microsoft.com/office/drawing/2014/main" id="{00000000-0008-0000-0900-000034010000}"/>
            </a:ext>
          </a:extLst>
        </xdr:cNvPr>
        <xdr:cNvSpPr txBox="1">
          <a:spLocks noChangeArrowheads="1"/>
        </xdr:cNvSpPr>
      </xdr:nvSpPr>
      <xdr:spPr bwMode="auto">
        <a:xfrm>
          <a:off x="4133849" y="990600"/>
          <a:ext cx="866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โรงโม่หินชุมแพ</a:t>
          </a:r>
        </a:p>
      </xdr:txBody>
    </xdr:sp>
    <xdr:clientData/>
  </xdr:twoCellAnchor>
  <xdr:twoCellAnchor editAs="oneCell">
    <xdr:from>
      <xdr:col>4</xdr:col>
      <xdr:colOff>714375</xdr:colOff>
      <xdr:row>3</xdr:row>
      <xdr:rowOff>152400</xdr:rowOff>
    </xdr:from>
    <xdr:to>
      <xdr:col>5</xdr:col>
      <xdr:colOff>190500</xdr:colOff>
      <xdr:row>4</xdr:row>
      <xdr:rowOff>104775</xdr:rowOff>
    </xdr:to>
    <xdr:sp macro="" textlink="">
      <xdr:nvSpPr>
        <xdr:cNvPr id="311" name="Text Box 176">
          <a:extLst>
            <a:ext uri="{FF2B5EF4-FFF2-40B4-BE49-F238E27FC236}">
              <a16:creationId xmlns:a16="http://schemas.microsoft.com/office/drawing/2014/main" id="{00000000-0008-0000-0900-000037010000}"/>
            </a:ext>
          </a:extLst>
        </xdr:cNvPr>
        <xdr:cNvSpPr txBox="1">
          <a:spLocks noChangeArrowheads="1"/>
        </xdr:cNvSpPr>
      </xdr:nvSpPr>
      <xdr:spPr bwMode="auto">
        <a:xfrm>
          <a:off x="3581400" y="1028700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16</a:t>
          </a:r>
        </a:p>
      </xdr:txBody>
    </xdr:sp>
    <xdr:clientData/>
  </xdr:twoCellAnchor>
  <xdr:twoCellAnchor>
    <xdr:from>
      <xdr:col>5</xdr:col>
      <xdr:colOff>82697</xdr:colOff>
      <xdr:row>7</xdr:row>
      <xdr:rowOff>66674</xdr:rowOff>
    </xdr:from>
    <xdr:to>
      <xdr:col>7</xdr:col>
      <xdr:colOff>238128</xdr:colOff>
      <xdr:row>8</xdr:row>
      <xdr:rowOff>150088</xdr:rowOff>
    </xdr:to>
    <xdr:cxnSp macro="">
      <xdr:nvCxnSpPr>
        <xdr:cNvPr id="312" name="AutoShape 173">
          <a:extLst>
            <a:ext uri="{FF2B5EF4-FFF2-40B4-BE49-F238E27FC236}">
              <a16:creationId xmlns:a16="http://schemas.microsoft.com/office/drawing/2014/main" id="{00000000-0008-0000-0900-000038010000}"/>
            </a:ext>
          </a:extLst>
        </xdr:cNvPr>
        <xdr:cNvCxnSpPr>
          <a:cxnSpLocks noChangeShapeType="1"/>
          <a:endCxn id="317" idx="7"/>
        </xdr:cNvCxnSpPr>
      </xdr:nvCxnSpPr>
      <xdr:spPr bwMode="auto">
        <a:xfrm rot="10800000" flipV="1">
          <a:off x="3797447" y="2066924"/>
          <a:ext cx="1679431" cy="30248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7</xdr:col>
      <xdr:colOff>285750</xdr:colOff>
      <xdr:row>5</xdr:row>
      <xdr:rowOff>114300</xdr:rowOff>
    </xdr:from>
    <xdr:to>
      <xdr:col>7</xdr:col>
      <xdr:colOff>609600</xdr:colOff>
      <xdr:row>6</xdr:row>
      <xdr:rowOff>66675</xdr:rowOff>
    </xdr:to>
    <xdr:sp macro="" textlink="">
      <xdr:nvSpPr>
        <xdr:cNvPr id="313" name="Text Box 176">
          <a:extLst>
            <a:ext uri="{FF2B5EF4-FFF2-40B4-BE49-F238E27FC236}">
              <a16:creationId xmlns:a16="http://schemas.microsoft.com/office/drawing/2014/main" id="{00000000-0008-0000-0900-000039010000}"/>
            </a:ext>
          </a:extLst>
        </xdr:cNvPr>
        <xdr:cNvSpPr txBox="1">
          <a:spLocks noChangeArrowheads="1"/>
        </xdr:cNvSpPr>
      </xdr:nvSpPr>
      <xdr:spPr bwMode="auto">
        <a:xfrm>
          <a:off x="5524500" y="1609725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17</a:t>
          </a:r>
          <a:endParaRPr lang="th-TH" sz="16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5</xdr:col>
      <xdr:colOff>123825</xdr:colOff>
      <xdr:row>5</xdr:row>
      <xdr:rowOff>9525</xdr:rowOff>
    </xdr:from>
    <xdr:to>
      <xdr:col>5</xdr:col>
      <xdr:colOff>447675</xdr:colOff>
      <xdr:row>5</xdr:row>
      <xdr:rowOff>247650</xdr:rowOff>
    </xdr:to>
    <xdr:sp macro="" textlink="">
      <xdr:nvSpPr>
        <xdr:cNvPr id="314" name="Text Box 176">
          <a:extLst>
            <a:ext uri="{FF2B5EF4-FFF2-40B4-BE49-F238E27FC236}">
              <a16:creationId xmlns:a16="http://schemas.microsoft.com/office/drawing/2014/main" id="{00000000-0008-0000-0900-00003A010000}"/>
            </a:ext>
          </a:extLst>
        </xdr:cNvPr>
        <xdr:cNvSpPr txBox="1">
          <a:spLocks noChangeArrowheads="1"/>
        </xdr:cNvSpPr>
      </xdr:nvSpPr>
      <xdr:spPr bwMode="auto">
        <a:xfrm>
          <a:off x="3838575" y="1504950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</a:t>
          </a:r>
          <a:r>
            <a:rPr lang="en-US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0</a:t>
          </a:r>
          <a:endParaRPr lang="th-TH" sz="16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6</xdr:col>
      <xdr:colOff>390525</xdr:colOff>
      <xdr:row>5</xdr:row>
      <xdr:rowOff>171450</xdr:rowOff>
    </xdr:from>
    <xdr:to>
      <xdr:col>7</xdr:col>
      <xdr:colOff>38100</xdr:colOff>
      <xdr:row>6</xdr:row>
      <xdr:rowOff>123825</xdr:rowOff>
    </xdr:to>
    <xdr:sp macro="" textlink="">
      <xdr:nvSpPr>
        <xdr:cNvPr id="315" name="Text Box 176">
          <a:extLst>
            <a:ext uri="{FF2B5EF4-FFF2-40B4-BE49-F238E27FC236}">
              <a16:creationId xmlns:a16="http://schemas.microsoft.com/office/drawing/2014/main" id="{00000000-0008-0000-0900-00003B010000}"/>
            </a:ext>
          </a:extLst>
        </xdr:cNvPr>
        <xdr:cNvSpPr txBox="1">
          <a:spLocks noChangeArrowheads="1"/>
        </xdr:cNvSpPr>
      </xdr:nvSpPr>
      <xdr:spPr bwMode="auto">
        <a:xfrm>
          <a:off x="4953000" y="1666875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8</a:t>
          </a:r>
          <a:endParaRPr lang="th-TH" sz="16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5</xdr:col>
      <xdr:colOff>9525</xdr:colOff>
      <xdr:row>8</xdr:row>
      <xdr:rowOff>133350</xdr:rowOff>
    </xdr:from>
    <xdr:to>
      <xdr:col>5</xdr:col>
      <xdr:colOff>95250</xdr:colOff>
      <xdr:row>9</xdr:row>
      <xdr:rowOff>28575</xdr:rowOff>
    </xdr:to>
    <xdr:sp macro="" textlink="">
      <xdr:nvSpPr>
        <xdr:cNvPr id="317" name="AutoShape 163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SpPr>
          <a:spLocks noChangeArrowheads="1"/>
        </xdr:cNvSpPr>
      </xdr:nvSpPr>
      <xdr:spPr bwMode="auto">
        <a:xfrm>
          <a:off x="3724275" y="2352675"/>
          <a:ext cx="85725" cy="114300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800100</xdr:colOff>
      <xdr:row>8</xdr:row>
      <xdr:rowOff>19050</xdr:rowOff>
    </xdr:from>
    <xdr:to>
      <xdr:col>5</xdr:col>
      <xdr:colOff>47625</xdr:colOff>
      <xdr:row>9</xdr:row>
      <xdr:rowOff>47625</xdr:rowOff>
    </xdr:to>
    <xdr:sp macro="" textlink="">
      <xdr:nvSpPr>
        <xdr:cNvPr id="318" name="Text Box 78">
          <a:extLst>
            <a:ext uri="{FF2B5EF4-FFF2-40B4-BE49-F238E27FC236}">
              <a16:creationId xmlns:a16="http://schemas.microsoft.com/office/drawing/2014/main" id="{00000000-0008-0000-0900-00003E010000}"/>
            </a:ext>
          </a:extLst>
        </xdr:cNvPr>
        <xdr:cNvSpPr txBox="1">
          <a:spLocks noChangeArrowheads="1"/>
        </xdr:cNvSpPr>
      </xdr:nvSpPr>
      <xdr:spPr bwMode="auto">
        <a:xfrm>
          <a:off x="2743200" y="2238375"/>
          <a:ext cx="10191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อ.เกษตรสมบูรณ์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5</xdr:col>
      <xdr:colOff>800100</xdr:colOff>
      <xdr:row>7</xdr:row>
      <xdr:rowOff>161925</xdr:rowOff>
    </xdr:from>
    <xdr:to>
      <xdr:col>6</xdr:col>
      <xdr:colOff>276225</xdr:colOff>
      <xdr:row>8</xdr:row>
      <xdr:rowOff>180975</xdr:rowOff>
    </xdr:to>
    <xdr:sp macro="" textlink="">
      <xdr:nvSpPr>
        <xdr:cNvPr id="320" name="Text Box 176">
          <a:extLst>
            <a:ext uri="{FF2B5EF4-FFF2-40B4-BE49-F238E27FC236}">
              <a16:creationId xmlns:a16="http://schemas.microsoft.com/office/drawing/2014/main" id="{00000000-0008-0000-0900-000040010000}"/>
            </a:ext>
          </a:extLst>
        </xdr:cNvPr>
        <xdr:cNvSpPr txBox="1">
          <a:spLocks noChangeArrowheads="1"/>
        </xdr:cNvSpPr>
      </xdr:nvSpPr>
      <xdr:spPr bwMode="auto">
        <a:xfrm>
          <a:off x="4514850" y="2162175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23</a:t>
          </a:r>
          <a:endParaRPr lang="th-TH" sz="16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7</xdr:col>
      <xdr:colOff>257175</xdr:colOff>
      <xdr:row>7</xdr:row>
      <xdr:rowOff>76200</xdr:rowOff>
    </xdr:from>
    <xdr:to>
      <xdr:col>7</xdr:col>
      <xdr:colOff>581025</xdr:colOff>
      <xdr:row>8</xdr:row>
      <xdr:rowOff>95250</xdr:rowOff>
    </xdr:to>
    <xdr:sp macro="" textlink="">
      <xdr:nvSpPr>
        <xdr:cNvPr id="321" name="Text Box 176">
          <a:extLst>
            <a:ext uri="{FF2B5EF4-FFF2-40B4-BE49-F238E27FC236}">
              <a16:creationId xmlns:a16="http://schemas.microsoft.com/office/drawing/2014/main" id="{00000000-0008-0000-0900-000041010000}"/>
            </a:ext>
          </a:extLst>
        </xdr:cNvPr>
        <xdr:cNvSpPr txBox="1">
          <a:spLocks noChangeArrowheads="1"/>
        </xdr:cNvSpPr>
      </xdr:nvSpPr>
      <xdr:spPr bwMode="auto">
        <a:xfrm>
          <a:off x="5495925" y="2076450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76</a:t>
          </a:r>
        </a:p>
      </xdr:txBody>
    </xdr:sp>
    <xdr:clientData/>
  </xdr:twoCellAnchor>
  <xdr:twoCellAnchor editAs="oneCell">
    <xdr:from>
      <xdr:col>7</xdr:col>
      <xdr:colOff>228600</xdr:colOff>
      <xdr:row>6</xdr:row>
      <xdr:rowOff>38100</xdr:rowOff>
    </xdr:from>
    <xdr:to>
      <xdr:col>7</xdr:col>
      <xdr:colOff>552450</xdr:colOff>
      <xdr:row>7</xdr:row>
      <xdr:rowOff>57150</xdr:rowOff>
    </xdr:to>
    <xdr:sp macro="" textlink="">
      <xdr:nvSpPr>
        <xdr:cNvPr id="324" name="Text Box 176">
          <a:extLst>
            <a:ext uri="{FF2B5EF4-FFF2-40B4-BE49-F238E27FC236}">
              <a16:creationId xmlns:a16="http://schemas.microsoft.com/office/drawing/2014/main" id="{00000000-0008-0000-0900-000044010000}"/>
            </a:ext>
          </a:extLst>
        </xdr:cNvPr>
        <xdr:cNvSpPr txBox="1">
          <a:spLocks noChangeArrowheads="1"/>
        </xdr:cNvSpPr>
      </xdr:nvSpPr>
      <xdr:spPr bwMode="auto">
        <a:xfrm>
          <a:off x="5467350" y="1819275"/>
          <a:ext cx="323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4</a:t>
          </a:r>
          <a:endParaRPr lang="th-TH" sz="16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5</xdr:col>
      <xdr:colOff>438151</xdr:colOff>
      <xdr:row>6</xdr:row>
      <xdr:rowOff>152400</xdr:rowOff>
    </xdr:from>
    <xdr:to>
      <xdr:col>6</xdr:col>
      <xdr:colOff>1</xdr:colOff>
      <xdr:row>7</xdr:row>
      <xdr:rowOff>104775</xdr:rowOff>
    </xdr:to>
    <xdr:cxnSp macro="">
      <xdr:nvCxnSpPr>
        <xdr:cNvPr id="328" name="AutoShape 173">
          <a:extLst>
            <a:ext uri="{FF2B5EF4-FFF2-40B4-BE49-F238E27FC236}">
              <a16:creationId xmlns:a16="http://schemas.microsoft.com/office/drawing/2014/main" id="{00000000-0008-0000-0900-0000480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4152901" y="1933575"/>
          <a:ext cx="409575" cy="1714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10</xdr:col>
      <xdr:colOff>238125</xdr:colOff>
      <xdr:row>18</xdr:row>
      <xdr:rowOff>200025</xdr:rowOff>
    </xdr:from>
    <xdr:to>
      <xdr:col>11</xdr:col>
      <xdr:colOff>9525</xdr:colOff>
      <xdr:row>20</xdr:row>
      <xdr:rowOff>57150</xdr:rowOff>
    </xdr:to>
    <xdr:sp macro="" textlink="">
      <xdr:nvSpPr>
        <xdr:cNvPr id="334" name="Text Box 31">
          <a:extLst>
            <a:ext uri="{FF2B5EF4-FFF2-40B4-BE49-F238E27FC236}">
              <a16:creationId xmlns:a16="http://schemas.microsoft.com/office/drawing/2014/main" id="{00000000-0008-0000-0900-00004E010000}"/>
            </a:ext>
          </a:extLst>
        </xdr:cNvPr>
        <xdr:cNvSpPr txBox="1">
          <a:spLocks noChangeArrowheads="1"/>
        </xdr:cNvSpPr>
      </xdr:nvSpPr>
      <xdr:spPr bwMode="auto">
        <a:xfrm>
          <a:off x="7505700" y="4610100"/>
          <a:ext cx="6572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0">
            <a:defRPr sz="1000"/>
          </a:pPr>
          <a:r>
            <a:rPr lang="th-TH" sz="1400" b="0" i="0" u="none" strike="noStrike" baseline="0">
              <a:solidFill>
                <a:srgbClr val="0000FF"/>
              </a:solidFill>
              <a:latin typeface="Cordia New"/>
              <a:cs typeface="Cordia New"/>
            </a:rPr>
            <a:t>แหล่งทราย</a:t>
          </a:r>
        </a:p>
      </xdr:txBody>
    </xdr:sp>
    <xdr:clientData/>
  </xdr:twoCellAnchor>
  <xdr:twoCellAnchor>
    <xdr:from>
      <xdr:col>10</xdr:col>
      <xdr:colOff>495300</xdr:colOff>
      <xdr:row>20</xdr:row>
      <xdr:rowOff>180975</xdr:rowOff>
    </xdr:from>
    <xdr:to>
      <xdr:col>10</xdr:col>
      <xdr:colOff>581025</xdr:colOff>
      <xdr:row>21</xdr:row>
      <xdr:rowOff>47625</xdr:rowOff>
    </xdr:to>
    <xdr:sp macro="" textlink="">
      <xdr:nvSpPr>
        <xdr:cNvPr id="335" name="AutoShape 134">
          <a:extLst>
            <a:ext uri="{FF2B5EF4-FFF2-40B4-BE49-F238E27FC236}">
              <a16:creationId xmlns:a16="http://schemas.microsoft.com/office/drawing/2014/main" id="{00000000-0008-0000-0900-00004F010000}"/>
            </a:ext>
          </a:extLst>
        </xdr:cNvPr>
        <xdr:cNvSpPr>
          <a:spLocks noChangeArrowheads="1"/>
        </xdr:cNvSpPr>
      </xdr:nvSpPr>
      <xdr:spPr bwMode="auto">
        <a:xfrm>
          <a:off x="7762875" y="5029200"/>
          <a:ext cx="85725" cy="85725"/>
        </a:xfrm>
        <a:prstGeom prst="flowChartConnector">
          <a:avLst/>
        </a:prstGeom>
        <a:solidFill>
          <a:srgbClr val="FFFFFF"/>
        </a:soli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123825</xdr:colOff>
      <xdr:row>21</xdr:row>
      <xdr:rowOff>0</xdr:rowOff>
    </xdr:from>
    <xdr:to>
      <xdr:col>10</xdr:col>
      <xdr:colOff>495300</xdr:colOff>
      <xdr:row>21</xdr:row>
      <xdr:rowOff>1588</xdr:rowOff>
    </xdr:to>
    <xdr:cxnSp macro="">
      <xdr:nvCxnSpPr>
        <xdr:cNvPr id="336" name="AutoShape 139">
          <a:extLst>
            <a:ext uri="{FF2B5EF4-FFF2-40B4-BE49-F238E27FC236}">
              <a16:creationId xmlns:a16="http://schemas.microsoft.com/office/drawing/2014/main" id="{00000000-0008-0000-0900-000050010000}"/>
            </a:ext>
          </a:extLst>
        </xdr:cNvPr>
        <xdr:cNvCxnSpPr>
          <a:cxnSpLocks noChangeShapeType="1"/>
        </xdr:cNvCxnSpPr>
      </xdr:nvCxnSpPr>
      <xdr:spPr bwMode="auto">
        <a:xfrm>
          <a:off x="7391400" y="5067300"/>
          <a:ext cx="371475" cy="1588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10</xdr:col>
      <xdr:colOff>171450</xdr:colOff>
      <xdr:row>20</xdr:row>
      <xdr:rowOff>190500</xdr:rowOff>
    </xdr:from>
    <xdr:to>
      <xdr:col>10</xdr:col>
      <xdr:colOff>752475</xdr:colOff>
      <xdr:row>22</xdr:row>
      <xdr:rowOff>19050</xdr:rowOff>
    </xdr:to>
    <xdr:sp macro="" textlink="">
      <xdr:nvSpPr>
        <xdr:cNvPr id="337" name="Text Box 141">
          <a:extLst>
            <a:ext uri="{FF2B5EF4-FFF2-40B4-BE49-F238E27FC236}">
              <a16:creationId xmlns:a16="http://schemas.microsoft.com/office/drawing/2014/main" id="{00000000-0008-0000-0900-000051010000}"/>
            </a:ext>
          </a:extLst>
        </xdr:cNvPr>
        <xdr:cNvSpPr txBox="1">
          <a:spLocks noChangeArrowheads="1"/>
        </xdr:cNvSpPr>
      </xdr:nvSpPr>
      <xdr:spPr bwMode="auto">
        <a:xfrm>
          <a:off x="7439025" y="5038725"/>
          <a:ext cx="5810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อ.ชุมพวง</a:t>
          </a:r>
        </a:p>
        <a:p>
          <a:pPr algn="ctr" rtl="0">
            <a:defRPr sz="1000"/>
          </a:pPr>
          <a:endParaRPr lang="th-TH" sz="1400" b="0" i="0" u="none" strike="noStrike" baseline="0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4</xdr:col>
      <xdr:colOff>447675</xdr:colOff>
      <xdr:row>19</xdr:row>
      <xdr:rowOff>161925</xdr:rowOff>
    </xdr:from>
    <xdr:to>
      <xdr:col>4</xdr:col>
      <xdr:colOff>685800</xdr:colOff>
      <xdr:row>20</xdr:row>
      <xdr:rowOff>180975</xdr:rowOff>
    </xdr:to>
    <xdr:sp macro="" textlink="">
      <xdr:nvSpPr>
        <xdr:cNvPr id="327" name="Text Box 104">
          <a:extLst>
            <a:ext uri="{FF2B5EF4-FFF2-40B4-BE49-F238E27FC236}">
              <a16:creationId xmlns:a16="http://schemas.microsoft.com/office/drawing/2014/main" id="{00000000-0008-0000-0900-000047010000}"/>
            </a:ext>
          </a:extLst>
        </xdr:cNvPr>
        <xdr:cNvSpPr txBox="1">
          <a:spLocks noChangeArrowheads="1"/>
        </xdr:cNvSpPr>
      </xdr:nvSpPr>
      <xdr:spPr bwMode="auto">
        <a:xfrm>
          <a:off x="3314700" y="4791075"/>
          <a:ext cx="2381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4864" rIns="0" bIns="0" anchor="t" upright="1"/>
        <a:lstStyle/>
        <a:p>
          <a:pPr algn="l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Cordia New"/>
              <a:cs typeface="Cordia New"/>
            </a:rPr>
            <a:t>9</a:t>
          </a:r>
        </a:p>
      </xdr:txBody>
    </xdr:sp>
    <xdr:clientData/>
  </xdr:twoCellAnchor>
  <xdr:twoCellAnchor editAs="oneCell">
    <xdr:from>
      <xdr:col>0</xdr:col>
      <xdr:colOff>107023</xdr:colOff>
      <xdr:row>40</xdr:row>
      <xdr:rowOff>53512</xdr:rowOff>
    </xdr:from>
    <xdr:to>
      <xdr:col>1</xdr:col>
      <xdr:colOff>383783</xdr:colOff>
      <xdr:row>41</xdr:row>
      <xdr:rowOff>129712</xdr:rowOff>
    </xdr:to>
    <xdr:sp macro="" textlink="">
      <xdr:nvSpPr>
        <xdr:cNvPr id="264" name="Text Box 93">
          <a:extLst>
            <a:ext uri="{FF2B5EF4-FFF2-40B4-BE49-F238E27FC236}">
              <a16:creationId xmlns:a16="http://schemas.microsoft.com/office/drawing/2014/main" id="{00000000-0008-0000-0900-000008010000}"/>
            </a:ext>
          </a:extLst>
        </xdr:cNvPr>
        <xdr:cNvSpPr txBox="1">
          <a:spLocks noChangeArrowheads="1"/>
        </xdr:cNvSpPr>
      </xdr:nvSpPr>
      <xdr:spPr bwMode="auto">
        <a:xfrm>
          <a:off x="107023" y="9118315"/>
          <a:ext cx="715552" cy="290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Cordia New"/>
              <a:cs typeface="Cordia New"/>
            </a:rPr>
            <a:t>แหล่งยาง</a:t>
          </a:r>
        </a:p>
      </xdr:txBody>
    </xdr:sp>
    <xdr:clientData/>
  </xdr:twoCellAnchor>
  <xdr:twoCellAnchor>
    <xdr:from>
      <xdr:col>10</xdr:col>
      <xdr:colOff>0</xdr:colOff>
      <xdr:row>32</xdr:row>
      <xdr:rowOff>0</xdr:rowOff>
    </xdr:from>
    <xdr:to>
      <xdr:col>10</xdr:col>
      <xdr:colOff>269590</xdr:colOff>
      <xdr:row>32</xdr:row>
      <xdr:rowOff>175945</xdr:rowOff>
    </xdr:to>
    <xdr:sp macro="" textlink="">
      <xdr:nvSpPr>
        <xdr:cNvPr id="265" name="AutoShape 28">
          <a:extLst>
            <a:ext uri="{FF2B5EF4-FFF2-40B4-BE49-F238E27FC236}">
              <a16:creationId xmlns:a16="http://schemas.microsoft.com/office/drawing/2014/main" id="{00000000-0008-0000-0900-000009010000}"/>
            </a:ext>
          </a:extLst>
        </xdr:cNvPr>
        <xdr:cNvSpPr>
          <a:spLocks noChangeArrowheads="1"/>
        </xdr:cNvSpPr>
      </xdr:nvSpPr>
      <xdr:spPr bwMode="auto">
        <a:xfrm>
          <a:off x="7256124" y="7352444"/>
          <a:ext cx="269590" cy="175945"/>
        </a:xfrm>
        <a:prstGeom prst="flowChartProcess">
          <a:avLst/>
        </a:prstGeom>
        <a:solidFill>
          <a:srgbClr val="FF6600"/>
        </a:solidFill>
        <a:ln w="38100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1428750</xdr:colOff>
      <xdr:row>21</xdr:row>
      <xdr:rowOff>0</xdr:rowOff>
    </xdr:from>
    <xdr:to>
      <xdr:col>1</xdr:col>
      <xdr:colOff>1428750</xdr:colOff>
      <xdr:row>21</xdr:row>
      <xdr:rowOff>0</xdr:rowOff>
    </xdr:to>
    <xdr:sp macro="" textlink="">
      <xdr:nvSpPr>
        <xdr:cNvPr id="66693" name="Line 1">
          <a:extLst>
            <a:ext uri="{FF2B5EF4-FFF2-40B4-BE49-F238E27FC236}">
              <a16:creationId xmlns:a16="http://schemas.microsoft.com/office/drawing/2014/main" id="{00000000-0008-0000-0E00-00008504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21</xdr:row>
      <xdr:rowOff>0</xdr:rowOff>
    </xdr:from>
    <xdr:to>
      <xdr:col>1</xdr:col>
      <xdr:colOff>1381125</xdr:colOff>
      <xdr:row>21</xdr:row>
      <xdr:rowOff>0</xdr:rowOff>
    </xdr:to>
    <xdr:sp macro="" textlink="">
      <xdr:nvSpPr>
        <xdr:cNvPr id="66694" name="Line 2">
          <a:extLst>
            <a:ext uri="{FF2B5EF4-FFF2-40B4-BE49-F238E27FC236}">
              <a16:creationId xmlns:a16="http://schemas.microsoft.com/office/drawing/2014/main" id="{00000000-0008-0000-0E00-00008604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21</xdr:row>
      <xdr:rowOff>0</xdr:rowOff>
    </xdr:from>
    <xdr:to>
      <xdr:col>1</xdr:col>
      <xdr:colOff>1428750</xdr:colOff>
      <xdr:row>21</xdr:row>
      <xdr:rowOff>0</xdr:rowOff>
    </xdr:to>
    <xdr:sp macro="" textlink="">
      <xdr:nvSpPr>
        <xdr:cNvPr id="66695" name="Line 3">
          <a:extLst>
            <a:ext uri="{FF2B5EF4-FFF2-40B4-BE49-F238E27FC236}">
              <a16:creationId xmlns:a16="http://schemas.microsoft.com/office/drawing/2014/main" id="{00000000-0008-0000-0E00-00008704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21</xdr:row>
      <xdr:rowOff>0</xdr:rowOff>
    </xdr:from>
    <xdr:to>
      <xdr:col>1</xdr:col>
      <xdr:colOff>1381125</xdr:colOff>
      <xdr:row>21</xdr:row>
      <xdr:rowOff>0</xdr:rowOff>
    </xdr:to>
    <xdr:sp macro="" textlink="">
      <xdr:nvSpPr>
        <xdr:cNvPr id="66696" name="Line 4">
          <a:extLst>
            <a:ext uri="{FF2B5EF4-FFF2-40B4-BE49-F238E27FC236}">
              <a16:creationId xmlns:a16="http://schemas.microsoft.com/office/drawing/2014/main" id="{00000000-0008-0000-0E00-00008804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22</xdr:row>
      <xdr:rowOff>0</xdr:rowOff>
    </xdr:from>
    <xdr:to>
      <xdr:col>1</xdr:col>
      <xdr:colOff>1428750</xdr:colOff>
      <xdr:row>22</xdr:row>
      <xdr:rowOff>0</xdr:rowOff>
    </xdr:to>
    <xdr:sp macro="" textlink="">
      <xdr:nvSpPr>
        <xdr:cNvPr id="66697" name="Line 5">
          <a:extLst>
            <a:ext uri="{FF2B5EF4-FFF2-40B4-BE49-F238E27FC236}">
              <a16:creationId xmlns:a16="http://schemas.microsoft.com/office/drawing/2014/main" id="{00000000-0008-0000-0E00-000089040100}"/>
            </a:ext>
          </a:extLst>
        </xdr:cNvPr>
        <xdr:cNvSpPr>
          <a:spLocks noChangeShapeType="1"/>
        </xdr:cNvSpPr>
      </xdr:nvSpPr>
      <xdr:spPr bwMode="auto">
        <a:xfrm>
          <a:off x="1828800" y="600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22</xdr:row>
      <xdr:rowOff>0</xdr:rowOff>
    </xdr:from>
    <xdr:to>
      <xdr:col>1</xdr:col>
      <xdr:colOff>1381125</xdr:colOff>
      <xdr:row>22</xdr:row>
      <xdr:rowOff>0</xdr:rowOff>
    </xdr:to>
    <xdr:sp macro="" textlink="">
      <xdr:nvSpPr>
        <xdr:cNvPr id="66698" name="Line 6">
          <a:extLst>
            <a:ext uri="{FF2B5EF4-FFF2-40B4-BE49-F238E27FC236}">
              <a16:creationId xmlns:a16="http://schemas.microsoft.com/office/drawing/2014/main" id="{00000000-0008-0000-0E00-00008A040100}"/>
            </a:ext>
          </a:extLst>
        </xdr:cNvPr>
        <xdr:cNvSpPr>
          <a:spLocks noChangeShapeType="1"/>
        </xdr:cNvSpPr>
      </xdr:nvSpPr>
      <xdr:spPr bwMode="auto">
        <a:xfrm>
          <a:off x="1781175" y="600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21</xdr:row>
      <xdr:rowOff>0</xdr:rowOff>
    </xdr:from>
    <xdr:to>
      <xdr:col>1</xdr:col>
      <xdr:colOff>1428750</xdr:colOff>
      <xdr:row>21</xdr:row>
      <xdr:rowOff>0</xdr:rowOff>
    </xdr:to>
    <xdr:sp macro="" textlink="">
      <xdr:nvSpPr>
        <xdr:cNvPr id="66699" name="Line 7">
          <a:extLst>
            <a:ext uri="{FF2B5EF4-FFF2-40B4-BE49-F238E27FC236}">
              <a16:creationId xmlns:a16="http://schemas.microsoft.com/office/drawing/2014/main" id="{00000000-0008-0000-0E00-00008B04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21</xdr:row>
      <xdr:rowOff>0</xdr:rowOff>
    </xdr:from>
    <xdr:to>
      <xdr:col>1</xdr:col>
      <xdr:colOff>1381125</xdr:colOff>
      <xdr:row>21</xdr:row>
      <xdr:rowOff>0</xdr:rowOff>
    </xdr:to>
    <xdr:sp macro="" textlink="">
      <xdr:nvSpPr>
        <xdr:cNvPr id="66700" name="Line 8">
          <a:extLst>
            <a:ext uri="{FF2B5EF4-FFF2-40B4-BE49-F238E27FC236}">
              <a16:creationId xmlns:a16="http://schemas.microsoft.com/office/drawing/2014/main" id="{00000000-0008-0000-0E00-00008C04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20</xdr:row>
      <xdr:rowOff>0</xdr:rowOff>
    </xdr:from>
    <xdr:to>
      <xdr:col>1</xdr:col>
      <xdr:colOff>1428750</xdr:colOff>
      <xdr:row>20</xdr:row>
      <xdr:rowOff>0</xdr:rowOff>
    </xdr:to>
    <xdr:sp macro="" textlink="">
      <xdr:nvSpPr>
        <xdr:cNvPr id="66701" name="Line 9">
          <a:extLst>
            <a:ext uri="{FF2B5EF4-FFF2-40B4-BE49-F238E27FC236}">
              <a16:creationId xmlns:a16="http://schemas.microsoft.com/office/drawing/2014/main" id="{00000000-0008-0000-0E00-00008D040100}"/>
            </a:ext>
          </a:extLst>
        </xdr:cNvPr>
        <xdr:cNvSpPr>
          <a:spLocks noChangeShapeType="1"/>
        </xdr:cNvSpPr>
      </xdr:nvSpPr>
      <xdr:spPr bwMode="auto">
        <a:xfrm>
          <a:off x="1828800" y="546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20</xdr:row>
      <xdr:rowOff>0</xdr:rowOff>
    </xdr:from>
    <xdr:to>
      <xdr:col>1</xdr:col>
      <xdr:colOff>1381125</xdr:colOff>
      <xdr:row>20</xdr:row>
      <xdr:rowOff>0</xdr:rowOff>
    </xdr:to>
    <xdr:sp macro="" textlink="">
      <xdr:nvSpPr>
        <xdr:cNvPr id="66702" name="Line 10">
          <a:extLst>
            <a:ext uri="{FF2B5EF4-FFF2-40B4-BE49-F238E27FC236}">
              <a16:creationId xmlns:a16="http://schemas.microsoft.com/office/drawing/2014/main" id="{00000000-0008-0000-0E00-00008E040100}"/>
            </a:ext>
          </a:extLst>
        </xdr:cNvPr>
        <xdr:cNvSpPr>
          <a:spLocks noChangeShapeType="1"/>
        </xdr:cNvSpPr>
      </xdr:nvSpPr>
      <xdr:spPr bwMode="auto">
        <a:xfrm>
          <a:off x="1781175" y="546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21</xdr:row>
      <xdr:rowOff>0</xdr:rowOff>
    </xdr:from>
    <xdr:to>
      <xdr:col>1</xdr:col>
      <xdr:colOff>1428750</xdr:colOff>
      <xdr:row>21</xdr:row>
      <xdr:rowOff>0</xdr:rowOff>
    </xdr:to>
    <xdr:sp macro="" textlink="">
      <xdr:nvSpPr>
        <xdr:cNvPr id="66703" name="Line 11">
          <a:extLst>
            <a:ext uri="{FF2B5EF4-FFF2-40B4-BE49-F238E27FC236}">
              <a16:creationId xmlns:a16="http://schemas.microsoft.com/office/drawing/2014/main" id="{00000000-0008-0000-0E00-00008F04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21</xdr:row>
      <xdr:rowOff>0</xdr:rowOff>
    </xdr:from>
    <xdr:to>
      <xdr:col>1</xdr:col>
      <xdr:colOff>1381125</xdr:colOff>
      <xdr:row>21</xdr:row>
      <xdr:rowOff>0</xdr:rowOff>
    </xdr:to>
    <xdr:sp macro="" textlink="">
      <xdr:nvSpPr>
        <xdr:cNvPr id="66704" name="Line 12">
          <a:extLst>
            <a:ext uri="{FF2B5EF4-FFF2-40B4-BE49-F238E27FC236}">
              <a16:creationId xmlns:a16="http://schemas.microsoft.com/office/drawing/2014/main" id="{00000000-0008-0000-0E00-00009004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1428750</xdr:colOff>
      <xdr:row>21</xdr:row>
      <xdr:rowOff>0</xdr:rowOff>
    </xdr:from>
    <xdr:to>
      <xdr:col>1</xdr:col>
      <xdr:colOff>1428750</xdr:colOff>
      <xdr:row>21</xdr:row>
      <xdr:rowOff>0</xdr:rowOff>
    </xdr:to>
    <xdr:sp macro="" textlink="">
      <xdr:nvSpPr>
        <xdr:cNvPr id="69765" name="Line 1">
          <a:extLst>
            <a:ext uri="{FF2B5EF4-FFF2-40B4-BE49-F238E27FC236}">
              <a16:creationId xmlns:a16="http://schemas.microsoft.com/office/drawing/2014/main" id="{00000000-0008-0000-1200-00008510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21</xdr:row>
      <xdr:rowOff>0</xdr:rowOff>
    </xdr:from>
    <xdr:to>
      <xdr:col>1</xdr:col>
      <xdr:colOff>1381125</xdr:colOff>
      <xdr:row>21</xdr:row>
      <xdr:rowOff>0</xdr:rowOff>
    </xdr:to>
    <xdr:sp macro="" textlink="">
      <xdr:nvSpPr>
        <xdr:cNvPr id="69766" name="Line 2">
          <a:extLst>
            <a:ext uri="{FF2B5EF4-FFF2-40B4-BE49-F238E27FC236}">
              <a16:creationId xmlns:a16="http://schemas.microsoft.com/office/drawing/2014/main" id="{00000000-0008-0000-1200-00008610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21</xdr:row>
      <xdr:rowOff>0</xdr:rowOff>
    </xdr:from>
    <xdr:to>
      <xdr:col>1</xdr:col>
      <xdr:colOff>1428750</xdr:colOff>
      <xdr:row>21</xdr:row>
      <xdr:rowOff>0</xdr:rowOff>
    </xdr:to>
    <xdr:sp macro="" textlink="">
      <xdr:nvSpPr>
        <xdr:cNvPr id="69767" name="Line 3">
          <a:extLst>
            <a:ext uri="{FF2B5EF4-FFF2-40B4-BE49-F238E27FC236}">
              <a16:creationId xmlns:a16="http://schemas.microsoft.com/office/drawing/2014/main" id="{00000000-0008-0000-1200-00008710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21</xdr:row>
      <xdr:rowOff>0</xdr:rowOff>
    </xdr:from>
    <xdr:to>
      <xdr:col>1</xdr:col>
      <xdr:colOff>1381125</xdr:colOff>
      <xdr:row>21</xdr:row>
      <xdr:rowOff>0</xdr:rowOff>
    </xdr:to>
    <xdr:sp macro="" textlink="">
      <xdr:nvSpPr>
        <xdr:cNvPr id="69768" name="Line 4">
          <a:extLst>
            <a:ext uri="{FF2B5EF4-FFF2-40B4-BE49-F238E27FC236}">
              <a16:creationId xmlns:a16="http://schemas.microsoft.com/office/drawing/2014/main" id="{00000000-0008-0000-1200-00008810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22</xdr:row>
      <xdr:rowOff>0</xdr:rowOff>
    </xdr:from>
    <xdr:to>
      <xdr:col>1</xdr:col>
      <xdr:colOff>1428750</xdr:colOff>
      <xdr:row>22</xdr:row>
      <xdr:rowOff>0</xdr:rowOff>
    </xdr:to>
    <xdr:sp macro="" textlink="">
      <xdr:nvSpPr>
        <xdr:cNvPr id="69769" name="Line 5">
          <a:extLst>
            <a:ext uri="{FF2B5EF4-FFF2-40B4-BE49-F238E27FC236}">
              <a16:creationId xmlns:a16="http://schemas.microsoft.com/office/drawing/2014/main" id="{00000000-0008-0000-1200-000089100100}"/>
            </a:ext>
          </a:extLst>
        </xdr:cNvPr>
        <xdr:cNvSpPr>
          <a:spLocks noChangeShapeType="1"/>
        </xdr:cNvSpPr>
      </xdr:nvSpPr>
      <xdr:spPr bwMode="auto">
        <a:xfrm>
          <a:off x="1828800" y="600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22</xdr:row>
      <xdr:rowOff>0</xdr:rowOff>
    </xdr:from>
    <xdr:to>
      <xdr:col>1</xdr:col>
      <xdr:colOff>1381125</xdr:colOff>
      <xdr:row>22</xdr:row>
      <xdr:rowOff>0</xdr:rowOff>
    </xdr:to>
    <xdr:sp macro="" textlink="">
      <xdr:nvSpPr>
        <xdr:cNvPr id="69770" name="Line 6">
          <a:extLst>
            <a:ext uri="{FF2B5EF4-FFF2-40B4-BE49-F238E27FC236}">
              <a16:creationId xmlns:a16="http://schemas.microsoft.com/office/drawing/2014/main" id="{00000000-0008-0000-1200-00008A100100}"/>
            </a:ext>
          </a:extLst>
        </xdr:cNvPr>
        <xdr:cNvSpPr>
          <a:spLocks noChangeShapeType="1"/>
        </xdr:cNvSpPr>
      </xdr:nvSpPr>
      <xdr:spPr bwMode="auto">
        <a:xfrm>
          <a:off x="1781175" y="6000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21</xdr:row>
      <xdr:rowOff>0</xdr:rowOff>
    </xdr:from>
    <xdr:to>
      <xdr:col>1</xdr:col>
      <xdr:colOff>1428750</xdr:colOff>
      <xdr:row>21</xdr:row>
      <xdr:rowOff>0</xdr:rowOff>
    </xdr:to>
    <xdr:sp macro="" textlink="">
      <xdr:nvSpPr>
        <xdr:cNvPr id="69771" name="Line 7">
          <a:extLst>
            <a:ext uri="{FF2B5EF4-FFF2-40B4-BE49-F238E27FC236}">
              <a16:creationId xmlns:a16="http://schemas.microsoft.com/office/drawing/2014/main" id="{00000000-0008-0000-1200-00008B10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21</xdr:row>
      <xdr:rowOff>0</xdr:rowOff>
    </xdr:from>
    <xdr:to>
      <xdr:col>1</xdr:col>
      <xdr:colOff>1381125</xdr:colOff>
      <xdr:row>21</xdr:row>
      <xdr:rowOff>0</xdr:rowOff>
    </xdr:to>
    <xdr:sp macro="" textlink="">
      <xdr:nvSpPr>
        <xdr:cNvPr id="69772" name="Line 8">
          <a:extLst>
            <a:ext uri="{FF2B5EF4-FFF2-40B4-BE49-F238E27FC236}">
              <a16:creationId xmlns:a16="http://schemas.microsoft.com/office/drawing/2014/main" id="{00000000-0008-0000-1200-00008C10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20</xdr:row>
      <xdr:rowOff>0</xdr:rowOff>
    </xdr:from>
    <xdr:to>
      <xdr:col>1</xdr:col>
      <xdr:colOff>1428750</xdr:colOff>
      <xdr:row>20</xdr:row>
      <xdr:rowOff>0</xdr:rowOff>
    </xdr:to>
    <xdr:sp macro="" textlink="">
      <xdr:nvSpPr>
        <xdr:cNvPr id="69773" name="Line 9">
          <a:extLst>
            <a:ext uri="{FF2B5EF4-FFF2-40B4-BE49-F238E27FC236}">
              <a16:creationId xmlns:a16="http://schemas.microsoft.com/office/drawing/2014/main" id="{00000000-0008-0000-1200-00008D100100}"/>
            </a:ext>
          </a:extLst>
        </xdr:cNvPr>
        <xdr:cNvSpPr>
          <a:spLocks noChangeShapeType="1"/>
        </xdr:cNvSpPr>
      </xdr:nvSpPr>
      <xdr:spPr bwMode="auto">
        <a:xfrm>
          <a:off x="1828800" y="546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20</xdr:row>
      <xdr:rowOff>0</xdr:rowOff>
    </xdr:from>
    <xdr:to>
      <xdr:col>1</xdr:col>
      <xdr:colOff>1381125</xdr:colOff>
      <xdr:row>20</xdr:row>
      <xdr:rowOff>0</xdr:rowOff>
    </xdr:to>
    <xdr:sp macro="" textlink="">
      <xdr:nvSpPr>
        <xdr:cNvPr id="69774" name="Line 10">
          <a:extLst>
            <a:ext uri="{FF2B5EF4-FFF2-40B4-BE49-F238E27FC236}">
              <a16:creationId xmlns:a16="http://schemas.microsoft.com/office/drawing/2014/main" id="{00000000-0008-0000-1200-00008E100100}"/>
            </a:ext>
          </a:extLst>
        </xdr:cNvPr>
        <xdr:cNvSpPr>
          <a:spLocks noChangeShapeType="1"/>
        </xdr:cNvSpPr>
      </xdr:nvSpPr>
      <xdr:spPr bwMode="auto">
        <a:xfrm>
          <a:off x="1781175" y="546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21</xdr:row>
      <xdr:rowOff>0</xdr:rowOff>
    </xdr:from>
    <xdr:to>
      <xdr:col>1</xdr:col>
      <xdr:colOff>1428750</xdr:colOff>
      <xdr:row>21</xdr:row>
      <xdr:rowOff>0</xdr:rowOff>
    </xdr:to>
    <xdr:sp macro="" textlink="">
      <xdr:nvSpPr>
        <xdr:cNvPr id="69775" name="Line 11">
          <a:extLst>
            <a:ext uri="{FF2B5EF4-FFF2-40B4-BE49-F238E27FC236}">
              <a16:creationId xmlns:a16="http://schemas.microsoft.com/office/drawing/2014/main" id="{00000000-0008-0000-1200-00008F10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21</xdr:row>
      <xdr:rowOff>0</xdr:rowOff>
    </xdr:from>
    <xdr:to>
      <xdr:col>1</xdr:col>
      <xdr:colOff>1381125</xdr:colOff>
      <xdr:row>21</xdr:row>
      <xdr:rowOff>0</xdr:rowOff>
    </xdr:to>
    <xdr:sp macro="" textlink="">
      <xdr:nvSpPr>
        <xdr:cNvPr id="69776" name="Line 12">
          <a:extLst>
            <a:ext uri="{FF2B5EF4-FFF2-40B4-BE49-F238E27FC236}">
              <a16:creationId xmlns:a16="http://schemas.microsoft.com/office/drawing/2014/main" id="{00000000-0008-0000-1200-00009010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1428750</xdr:colOff>
      <xdr:row>22</xdr:row>
      <xdr:rowOff>0</xdr:rowOff>
    </xdr:from>
    <xdr:to>
      <xdr:col>1</xdr:col>
      <xdr:colOff>1428750</xdr:colOff>
      <xdr:row>22</xdr:row>
      <xdr:rowOff>0</xdr:rowOff>
    </xdr:to>
    <xdr:sp macro="" textlink="">
      <xdr:nvSpPr>
        <xdr:cNvPr id="70789" name="Line 1">
          <a:extLst>
            <a:ext uri="{FF2B5EF4-FFF2-40B4-BE49-F238E27FC236}">
              <a16:creationId xmlns:a16="http://schemas.microsoft.com/office/drawing/2014/main" id="{00000000-0008-0000-1300-00008514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22</xdr:row>
      <xdr:rowOff>0</xdr:rowOff>
    </xdr:from>
    <xdr:to>
      <xdr:col>1</xdr:col>
      <xdr:colOff>1381125</xdr:colOff>
      <xdr:row>22</xdr:row>
      <xdr:rowOff>0</xdr:rowOff>
    </xdr:to>
    <xdr:sp macro="" textlink="">
      <xdr:nvSpPr>
        <xdr:cNvPr id="70790" name="Line 2">
          <a:extLst>
            <a:ext uri="{FF2B5EF4-FFF2-40B4-BE49-F238E27FC236}">
              <a16:creationId xmlns:a16="http://schemas.microsoft.com/office/drawing/2014/main" id="{00000000-0008-0000-1300-00008614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22</xdr:row>
      <xdr:rowOff>0</xdr:rowOff>
    </xdr:from>
    <xdr:to>
      <xdr:col>1</xdr:col>
      <xdr:colOff>1428750</xdr:colOff>
      <xdr:row>22</xdr:row>
      <xdr:rowOff>0</xdr:rowOff>
    </xdr:to>
    <xdr:sp macro="" textlink="">
      <xdr:nvSpPr>
        <xdr:cNvPr id="70791" name="Line 3">
          <a:extLst>
            <a:ext uri="{FF2B5EF4-FFF2-40B4-BE49-F238E27FC236}">
              <a16:creationId xmlns:a16="http://schemas.microsoft.com/office/drawing/2014/main" id="{00000000-0008-0000-1300-00008714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22</xdr:row>
      <xdr:rowOff>0</xdr:rowOff>
    </xdr:from>
    <xdr:to>
      <xdr:col>1</xdr:col>
      <xdr:colOff>1381125</xdr:colOff>
      <xdr:row>22</xdr:row>
      <xdr:rowOff>0</xdr:rowOff>
    </xdr:to>
    <xdr:sp macro="" textlink="">
      <xdr:nvSpPr>
        <xdr:cNvPr id="70792" name="Line 4">
          <a:extLst>
            <a:ext uri="{FF2B5EF4-FFF2-40B4-BE49-F238E27FC236}">
              <a16:creationId xmlns:a16="http://schemas.microsoft.com/office/drawing/2014/main" id="{00000000-0008-0000-1300-00008814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23</xdr:row>
      <xdr:rowOff>0</xdr:rowOff>
    </xdr:from>
    <xdr:to>
      <xdr:col>1</xdr:col>
      <xdr:colOff>1428750</xdr:colOff>
      <xdr:row>23</xdr:row>
      <xdr:rowOff>0</xdr:rowOff>
    </xdr:to>
    <xdr:sp macro="" textlink="">
      <xdr:nvSpPr>
        <xdr:cNvPr id="70793" name="Line 5">
          <a:extLst>
            <a:ext uri="{FF2B5EF4-FFF2-40B4-BE49-F238E27FC236}">
              <a16:creationId xmlns:a16="http://schemas.microsoft.com/office/drawing/2014/main" id="{00000000-0008-0000-1300-000089140100}"/>
            </a:ext>
          </a:extLst>
        </xdr:cNvPr>
        <xdr:cNvSpPr>
          <a:spLocks noChangeShapeType="1"/>
        </xdr:cNvSpPr>
      </xdr:nvSpPr>
      <xdr:spPr bwMode="auto">
        <a:xfrm>
          <a:off x="1828800" y="598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23</xdr:row>
      <xdr:rowOff>0</xdr:rowOff>
    </xdr:from>
    <xdr:to>
      <xdr:col>1</xdr:col>
      <xdr:colOff>1381125</xdr:colOff>
      <xdr:row>23</xdr:row>
      <xdr:rowOff>0</xdr:rowOff>
    </xdr:to>
    <xdr:sp macro="" textlink="">
      <xdr:nvSpPr>
        <xdr:cNvPr id="70794" name="Line 6">
          <a:extLst>
            <a:ext uri="{FF2B5EF4-FFF2-40B4-BE49-F238E27FC236}">
              <a16:creationId xmlns:a16="http://schemas.microsoft.com/office/drawing/2014/main" id="{00000000-0008-0000-1300-00008A140100}"/>
            </a:ext>
          </a:extLst>
        </xdr:cNvPr>
        <xdr:cNvSpPr>
          <a:spLocks noChangeShapeType="1"/>
        </xdr:cNvSpPr>
      </xdr:nvSpPr>
      <xdr:spPr bwMode="auto">
        <a:xfrm>
          <a:off x="1781175" y="5981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22</xdr:row>
      <xdr:rowOff>0</xdr:rowOff>
    </xdr:from>
    <xdr:to>
      <xdr:col>1</xdr:col>
      <xdr:colOff>1428750</xdr:colOff>
      <xdr:row>22</xdr:row>
      <xdr:rowOff>0</xdr:rowOff>
    </xdr:to>
    <xdr:sp macro="" textlink="">
      <xdr:nvSpPr>
        <xdr:cNvPr id="70795" name="Line 7">
          <a:extLst>
            <a:ext uri="{FF2B5EF4-FFF2-40B4-BE49-F238E27FC236}">
              <a16:creationId xmlns:a16="http://schemas.microsoft.com/office/drawing/2014/main" id="{00000000-0008-0000-1300-00008B14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22</xdr:row>
      <xdr:rowOff>0</xdr:rowOff>
    </xdr:from>
    <xdr:to>
      <xdr:col>1</xdr:col>
      <xdr:colOff>1381125</xdr:colOff>
      <xdr:row>22</xdr:row>
      <xdr:rowOff>0</xdr:rowOff>
    </xdr:to>
    <xdr:sp macro="" textlink="">
      <xdr:nvSpPr>
        <xdr:cNvPr id="70796" name="Line 8">
          <a:extLst>
            <a:ext uri="{FF2B5EF4-FFF2-40B4-BE49-F238E27FC236}">
              <a16:creationId xmlns:a16="http://schemas.microsoft.com/office/drawing/2014/main" id="{00000000-0008-0000-1300-00008C14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21</xdr:row>
      <xdr:rowOff>0</xdr:rowOff>
    </xdr:from>
    <xdr:to>
      <xdr:col>1</xdr:col>
      <xdr:colOff>1428750</xdr:colOff>
      <xdr:row>21</xdr:row>
      <xdr:rowOff>0</xdr:rowOff>
    </xdr:to>
    <xdr:sp macro="" textlink="">
      <xdr:nvSpPr>
        <xdr:cNvPr id="70797" name="Line 9">
          <a:extLst>
            <a:ext uri="{FF2B5EF4-FFF2-40B4-BE49-F238E27FC236}">
              <a16:creationId xmlns:a16="http://schemas.microsoft.com/office/drawing/2014/main" id="{00000000-0008-0000-1300-00008D140100}"/>
            </a:ext>
          </a:extLst>
        </xdr:cNvPr>
        <xdr:cNvSpPr>
          <a:spLocks noChangeShapeType="1"/>
        </xdr:cNvSpPr>
      </xdr:nvSpPr>
      <xdr:spPr bwMode="auto">
        <a:xfrm>
          <a:off x="1828800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21</xdr:row>
      <xdr:rowOff>0</xdr:rowOff>
    </xdr:from>
    <xdr:to>
      <xdr:col>1</xdr:col>
      <xdr:colOff>1381125</xdr:colOff>
      <xdr:row>21</xdr:row>
      <xdr:rowOff>0</xdr:rowOff>
    </xdr:to>
    <xdr:sp macro="" textlink="">
      <xdr:nvSpPr>
        <xdr:cNvPr id="70798" name="Line 10">
          <a:extLst>
            <a:ext uri="{FF2B5EF4-FFF2-40B4-BE49-F238E27FC236}">
              <a16:creationId xmlns:a16="http://schemas.microsoft.com/office/drawing/2014/main" id="{00000000-0008-0000-1300-00008E140100}"/>
            </a:ext>
          </a:extLst>
        </xdr:cNvPr>
        <xdr:cNvSpPr>
          <a:spLocks noChangeShapeType="1"/>
        </xdr:cNvSpPr>
      </xdr:nvSpPr>
      <xdr:spPr bwMode="auto">
        <a:xfrm>
          <a:off x="1781175" y="548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1428750</xdr:colOff>
      <xdr:row>22</xdr:row>
      <xdr:rowOff>0</xdr:rowOff>
    </xdr:from>
    <xdr:to>
      <xdr:col>1</xdr:col>
      <xdr:colOff>1428750</xdr:colOff>
      <xdr:row>22</xdr:row>
      <xdr:rowOff>0</xdr:rowOff>
    </xdr:to>
    <xdr:sp macro="" textlink="">
      <xdr:nvSpPr>
        <xdr:cNvPr id="70799" name="Line 11">
          <a:extLst>
            <a:ext uri="{FF2B5EF4-FFF2-40B4-BE49-F238E27FC236}">
              <a16:creationId xmlns:a16="http://schemas.microsoft.com/office/drawing/2014/main" id="{00000000-0008-0000-1300-00008F140100}"/>
            </a:ext>
          </a:extLst>
        </xdr:cNvPr>
        <xdr:cNvSpPr>
          <a:spLocks noChangeShapeType="1"/>
        </xdr:cNvSpPr>
      </xdr:nvSpPr>
      <xdr:spPr bwMode="auto">
        <a:xfrm>
          <a:off x="1828800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1381125</xdr:colOff>
      <xdr:row>22</xdr:row>
      <xdr:rowOff>0</xdr:rowOff>
    </xdr:from>
    <xdr:to>
      <xdr:col>1</xdr:col>
      <xdr:colOff>1381125</xdr:colOff>
      <xdr:row>22</xdr:row>
      <xdr:rowOff>0</xdr:rowOff>
    </xdr:to>
    <xdr:sp macro="" textlink="">
      <xdr:nvSpPr>
        <xdr:cNvPr id="70800" name="Line 12">
          <a:extLst>
            <a:ext uri="{FF2B5EF4-FFF2-40B4-BE49-F238E27FC236}">
              <a16:creationId xmlns:a16="http://schemas.microsoft.com/office/drawing/2014/main" id="{00000000-0008-0000-1300-000090140100}"/>
            </a:ext>
          </a:extLst>
        </xdr:cNvPr>
        <xdr:cNvSpPr>
          <a:spLocks noChangeShapeType="1"/>
        </xdr:cNvSpPr>
      </xdr:nvSpPr>
      <xdr:spPr bwMode="auto">
        <a:xfrm>
          <a:off x="1781175" y="573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3</xdr:row>
      <xdr:rowOff>133350</xdr:rowOff>
    </xdr:from>
    <xdr:to>
      <xdr:col>1</xdr:col>
      <xdr:colOff>266700</xdr:colOff>
      <xdr:row>3</xdr:row>
      <xdr:rowOff>238125</xdr:rowOff>
    </xdr:to>
    <xdr:sp macro="" textlink="">
      <xdr:nvSpPr>
        <xdr:cNvPr id="72143" name="Line 1">
          <a:extLst>
            <a:ext uri="{FF2B5EF4-FFF2-40B4-BE49-F238E27FC236}">
              <a16:creationId xmlns:a16="http://schemas.microsoft.com/office/drawing/2014/main" id="{00000000-0008-0000-1E00-0000CF190100}"/>
            </a:ext>
          </a:extLst>
        </xdr:cNvPr>
        <xdr:cNvSpPr>
          <a:spLocks noChangeShapeType="1"/>
        </xdr:cNvSpPr>
      </xdr:nvSpPr>
      <xdr:spPr bwMode="auto">
        <a:xfrm flipH="1">
          <a:off x="106680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3</xdr:row>
      <xdr:rowOff>133350</xdr:rowOff>
    </xdr:from>
    <xdr:to>
      <xdr:col>2</xdr:col>
      <xdr:colOff>266700</xdr:colOff>
      <xdr:row>3</xdr:row>
      <xdr:rowOff>238125</xdr:rowOff>
    </xdr:to>
    <xdr:sp macro="" textlink="">
      <xdr:nvSpPr>
        <xdr:cNvPr id="72144" name="Line 2">
          <a:extLst>
            <a:ext uri="{FF2B5EF4-FFF2-40B4-BE49-F238E27FC236}">
              <a16:creationId xmlns:a16="http://schemas.microsoft.com/office/drawing/2014/main" id="{00000000-0008-0000-1E00-0000D0190100}"/>
            </a:ext>
          </a:extLst>
        </xdr:cNvPr>
        <xdr:cNvSpPr>
          <a:spLocks noChangeShapeType="1"/>
        </xdr:cNvSpPr>
      </xdr:nvSpPr>
      <xdr:spPr bwMode="auto">
        <a:xfrm flipH="1">
          <a:off x="177165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190500</xdr:colOff>
      <xdr:row>3</xdr:row>
      <xdr:rowOff>133350</xdr:rowOff>
    </xdr:from>
    <xdr:to>
      <xdr:col>3</xdr:col>
      <xdr:colOff>266700</xdr:colOff>
      <xdr:row>3</xdr:row>
      <xdr:rowOff>238125</xdr:rowOff>
    </xdr:to>
    <xdr:sp macro="" textlink="">
      <xdr:nvSpPr>
        <xdr:cNvPr id="72145" name="Line 3">
          <a:extLst>
            <a:ext uri="{FF2B5EF4-FFF2-40B4-BE49-F238E27FC236}">
              <a16:creationId xmlns:a16="http://schemas.microsoft.com/office/drawing/2014/main" id="{00000000-0008-0000-1E00-0000D1190100}"/>
            </a:ext>
          </a:extLst>
        </xdr:cNvPr>
        <xdr:cNvSpPr>
          <a:spLocks noChangeShapeType="1"/>
        </xdr:cNvSpPr>
      </xdr:nvSpPr>
      <xdr:spPr bwMode="auto">
        <a:xfrm flipH="1">
          <a:off x="247650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190500</xdr:colOff>
      <xdr:row>3</xdr:row>
      <xdr:rowOff>133350</xdr:rowOff>
    </xdr:from>
    <xdr:to>
      <xdr:col>4</xdr:col>
      <xdr:colOff>266700</xdr:colOff>
      <xdr:row>3</xdr:row>
      <xdr:rowOff>238125</xdr:rowOff>
    </xdr:to>
    <xdr:sp macro="" textlink="">
      <xdr:nvSpPr>
        <xdr:cNvPr id="72146" name="Line 4">
          <a:extLst>
            <a:ext uri="{FF2B5EF4-FFF2-40B4-BE49-F238E27FC236}">
              <a16:creationId xmlns:a16="http://schemas.microsoft.com/office/drawing/2014/main" id="{00000000-0008-0000-1E00-0000D2190100}"/>
            </a:ext>
          </a:extLst>
        </xdr:cNvPr>
        <xdr:cNvSpPr>
          <a:spLocks noChangeShapeType="1"/>
        </xdr:cNvSpPr>
      </xdr:nvSpPr>
      <xdr:spPr bwMode="auto">
        <a:xfrm flipH="1">
          <a:off x="318135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190500</xdr:colOff>
      <xdr:row>3</xdr:row>
      <xdr:rowOff>133350</xdr:rowOff>
    </xdr:from>
    <xdr:to>
      <xdr:col>5</xdr:col>
      <xdr:colOff>266700</xdr:colOff>
      <xdr:row>3</xdr:row>
      <xdr:rowOff>238125</xdr:rowOff>
    </xdr:to>
    <xdr:sp macro="" textlink="">
      <xdr:nvSpPr>
        <xdr:cNvPr id="72147" name="Line 5">
          <a:extLst>
            <a:ext uri="{FF2B5EF4-FFF2-40B4-BE49-F238E27FC236}">
              <a16:creationId xmlns:a16="http://schemas.microsoft.com/office/drawing/2014/main" id="{00000000-0008-0000-1E00-0000D3190100}"/>
            </a:ext>
          </a:extLst>
        </xdr:cNvPr>
        <xdr:cNvSpPr>
          <a:spLocks noChangeShapeType="1"/>
        </xdr:cNvSpPr>
      </xdr:nvSpPr>
      <xdr:spPr bwMode="auto">
        <a:xfrm flipH="1">
          <a:off x="388620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190500</xdr:colOff>
      <xdr:row>3</xdr:row>
      <xdr:rowOff>133350</xdr:rowOff>
    </xdr:from>
    <xdr:to>
      <xdr:col>6</xdr:col>
      <xdr:colOff>266700</xdr:colOff>
      <xdr:row>3</xdr:row>
      <xdr:rowOff>238125</xdr:rowOff>
    </xdr:to>
    <xdr:sp macro="" textlink="">
      <xdr:nvSpPr>
        <xdr:cNvPr id="72148" name="Line 6">
          <a:extLst>
            <a:ext uri="{FF2B5EF4-FFF2-40B4-BE49-F238E27FC236}">
              <a16:creationId xmlns:a16="http://schemas.microsoft.com/office/drawing/2014/main" id="{00000000-0008-0000-1E00-0000D4190100}"/>
            </a:ext>
          </a:extLst>
        </xdr:cNvPr>
        <xdr:cNvSpPr>
          <a:spLocks noChangeShapeType="1"/>
        </xdr:cNvSpPr>
      </xdr:nvSpPr>
      <xdr:spPr bwMode="auto">
        <a:xfrm flipH="1">
          <a:off x="459105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190500</xdr:colOff>
      <xdr:row>3</xdr:row>
      <xdr:rowOff>133350</xdr:rowOff>
    </xdr:from>
    <xdr:to>
      <xdr:col>7</xdr:col>
      <xdr:colOff>266700</xdr:colOff>
      <xdr:row>3</xdr:row>
      <xdr:rowOff>238125</xdr:rowOff>
    </xdr:to>
    <xdr:sp macro="" textlink="">
      <xdr:nvSpPr>
        <xdr:cNvPr id="72149" name="Line 7">
          <a:extLst>
            <a:ext uri="{FF2B5EF4-FFF2-40B4-BE49-F238E27FC236}">
              <a16:creationId xmlns:a16="http://schemas.microsoft.com/office/drawing/2014/main" id="{00000000-0008-0000-1E00-0000D5190100}"/>
            </a:ext>
          </a:extLst>
        </xdr:cNvPr>
        <xdr:cNvSpPr>
          <a:spLocks noChangeShapeType="1"/>
        </xdr:cNvSpPr>
      </xdr:nvSpPr>
      <xdr:spPr bwMode="auto">
        <a:xfrm flipH="1">
          <a:off x="529590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190500</xdr:colOff>
      <xdr:row>3</xdr:row>
      <xdr:rowOff>133350</xdr:rowOff>
    </xdr:from>
    <xdr:to>
      <xdr:col>8</xdr:col>
      <xdr:colOff>266700</xdr:colOff>
      <xdr:row>3</xdr:row>
      <xdr:rowOff>238125</xdr:rowOff>
    </xdr:to>
    <xdr:sp macro="" textlink="">
      <xdr:nvSpPr>
        <xdr:cNvPr id="72150" name="Line 8">
          <a:extLst>
            <a:ext uri="{FF2B5EF4-FFF2-40B4-BE49-F238E27FC236}">
              <a16:creationId xmlns:a16="http://schemas.microsoft.com/office/drawing/2014/main" id="{00000000-0008-0000-1E00-0000D6190100}"/>
            </a:ext>
          </a:extLst>
        </xdr:cNvPr>
        <xdr:cNvSpPr>
          <a:spLocks noChangeShapeType="1"/>
        </xdr:cNvSpPr>
      </xdr:nvSpPr>
      <xdr:spPr bwMode="auto">
        <a:xfrm flipH="1">
          <a:off x="600075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171450</xdr:colOff>
      <xdr:row>3</xdr:row>
      <xdr:rowOff>133350</xdr:rowOff>
    </xdr:from>
    <xdr:to>
      <xdr:col>9</xdr:col>
      <xdr:colOff>247650</xdr:colOff>
      <xdr:row>3</xdr:row>
      <xdr:rowOff>238125</xdr:rowOff>
    </xdr:to>
    <xdr:sp macro="" textlink="">
      <xdr:nvSpPr>
        <xdr:cNvPr id="72151" name="Line 9">
          <a:extLst>
            <a:ext uri="{FF2B5EF4-FFF2-40B4-BE49-F238E27FC236}">
              <a16:creationId xmlns:a16="http://schemas.microsoft.com/office/drawing/2014/main" id="{00000000-0008-0000-1E00-0000D7190100}"/>
            </a:ext>
          </a:extLst>
        </xdr:cNvPr>
        <xdr:cNvSpPr>
          <a:spLocks noChangeShapeType="1"/>
        </xdr:cNvSpPr>
      </xdr:nvSpPr>
      <xdr:spPr bwMode="auto">
        <a:xfrm flipH="1">
          <a:off x="668655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209550</xdr:colOff>
      <xdr:row>3</xdr:row>
      <xdr:rowOff>133350</xdr:rowOff>
    </xdr:from>
    <xdr:to>
      <xdr:col>10</xdr:col>
      <xdr:colOff>285750</xdr:colOff>
      <xdr:row>3</xdr:row>
      <xdr:rowOff>238125</xdr:rowOff>
    </xdr:to>
    <xdr:sp macro="" textlink="">
      <xdr:nvSpPr>
        <xdr:cNvPr id="72152" name="Line 10">
          <a:extLst>
            <a:ext uri="{FF2B5EF4-FFF2-40B4-BE49-F238E27FC236}">
              <a16:creationId xmlns:a16="http://schemas.microsoft.com/office/drawing/2014/main" id="{00000000-0008-0000-1E00-0000D8190100}"/>
            </a:ext>
          </a:extLst>
        </xdr:cNvPr>
        <xdr:cNvSpPr>
          <a:spLocks noChangeShapeType="1"/>
        </xdr:cNvSpPr>
      </xdr:nvSpPr>
      <xdr:spPr bwMode="auto">
        <a:xfrm flipH="1">
          <a:off x="742950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209550</xdr:colOff>
      <xdr:row>3</xdr:row>
      <xdr:rowOff>133350</xdr:rowOff>
    </xdr:from>
    <xdr:to>
      <xdr:col>11</xdr:col>
      <xdr:colOff>285750</xdr:colOff>
      <xdr:row>3</xdr:row>
      <xdr:rowOff>238125</xdr:rowOff>
    </xdr:to>
    <xdr:sp macro="" textlink="">
      <xdr:nvSpPr>
        <xdr:cNvPr id="72153" name="Line 11">
          <a:extLst>
            <a:ext uri="{FF2B5EF4-FFF2-40B4-BE49-F238E27FC236}">
              <a16:creationId xmlns:a16="http://schemas.microsoft.com/office/drawing/2014/main" id="{00000000-0008-0000-1E00-0000D9190100}"/>
            </a:ext>
          </a:extLst>
        </xdr:cNvPr>
        <xdr:cNvSpPr>
          <a:spLocks noChangeShapeType="1"/>
        </xdr:cNvSpPr>
      </xdr:nvSpPr>
      <xdr:spPr bwMode="auto">
        <a:xfrm flipH="1">
          <a:off x="8134350" y="100965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171450</xdr:colOff>
      <xdr:row>4</xdr:row>
      <xdr:rowOff>85725</xdr:rowOff>
    </xdr:from>
    <xdr:to>
      <xdr:col>15</xdr:col>
      <xdr:colOff>257175</xdr:colOff>
      <xdr:row>4</xdr:row>
      <xdr:rowOff>219075</xdr:rowOff>
    </xdr:to>
    <xdr:sp macro="" textlink="">
      <xdr:nvSpPr>
        <xdr:cNvPr id="72154" name="Line 12">
          <a:extLst>
            <a:ext uri="{FF2B5EF4-FFF2-40B4-BE49-F238E27FC236}">
              <a16:creationId xmlns:a16="http://schemas.microsoft.com/office/drawing/2014/main" id="{00000000-0008-0000-1E00-0000DA190100}"/>
            </a:ext>
          </a:extLst>
        </xdr:cNvPr>
        <xdr:cNvSpPr>
          <a:spLocks noChangeShapeType="1"/>
        </xdr:cNvSpPr>
      </xdr:nvSpPr>
      <xdr:spPr bwMode="auto">
        <a:xfrm flipH="1">
          <a:off x="10515600" y="127635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209550</xdr:colOff>
      <xdr:row>6</xdr:row>
      <xdr:rowOff>85725</xdr:rowOff>
    </xdr:from>
    <xdr:to>
      <xdr:col>15</xdr:col>
      <xdr:colOff>295275</xdr:colOff>
      <xdr:row>6</xdr:row>
      <xdr:rowOff>219075</xdr:rowOff>
    </xdr:to>
    <xdr:sp macro="" textlink="">
      <xdr:nvSpPr>
        <xdr:cNvPr id="72155" name="Line 13">
          <a:extLst>
            <a:ext uri="{FF2B5EF4-FFF2-40B4-BE49-F238E27FC236}">
              <a16:creationId xmlns:a16="http://schemas.microsoft.com/office/drawing/2014/main" id="{00000000-0008-0000-1E00-0000DB190100}"/>
            </a:ext>
          </a:extLst>
        </xdr:cNvPr>
        <xdr:cNvSpPr>
          <a:spLocks noChangeShapeType="1"/>
        </xdr:cNvSpPr>
      </xdr:nvSpPr>
      <xdr:spPr bwMode="auto">
        <a:xfrm flipH="1">
          <a:off x="10553700" y="183832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161925</xdr:colOff>
      <xdr:row>8</xdr:row>
      <xdr:rowOff>114300</xdr:rowOff>
    </xdr:from>
    <xdr:to>
      <xdr:col>15</xdr:col>
      <xdr:colOff>247650</xdr:colOff>
      <xdr:row>8</xdr:row>
      <xdr:rowOff>247650</xdr:rowOff>
    </xdr:to>
    <xdr:sp macro="" textlink="">
      <xdr:nvSpPr>
        <xdr:cNvPr id="72156" name="Line 14">
          <a:extLst>
            <a:ext uri="{FF2B5EF4-FFF2-40B4-BE49-F238E27FC236}">
              <a16:creationId xmlns:a16="http://schemas.microsoft.com/office/drawing/2014/main" id="{00000000-0008-0000-1E00-0000DC190100}"/>
            </a:ext>
          </a:extLst>
        </xdr:cNvPr>
        <xdr:cNvSpPr>
          <a:spLocks noChangeShapeType="1"/>
        </xdr:cNvSpPr>
      </xdr:nvSpPr>
      <xdr:spPr bwMode="auto">
        <a:xfrm flipH="1">
          <a:off x="10506075" y="244792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228600</xdr:colOff>
      <xdr:row>10</xdr:row>
      <xdr:rowOff>76200</xdr:rowOff>
    </xdr:from>
    <xdr:to>
      <xdr:col>15</xdr:col>
      <xdr:colOff>314325</xdr:colOff>
      <xdr:row>10</xdr:row>
      <xdr:rowOff>209550</xdr:rowOff>
    </xdr:to>
    <xdr:sp macro="" textlink="">
      <xdr:nvSpPr>
        <xdr:cNvPr id="72157" name="Line 15">
          <a:extLst>
            <a:ext uri="{FF2B5EF4-FFF2-40B4-BE49-F238E27FC236}">
              <a16:creationId xmlns:a16="http://schemas.microsoft.com/office/drawing/2014/main" id="{00000000-0008-0000-1E00-0000DD190100}"/>
            </a:ext>
          </a:extLst>
        </xdr:cNvPr>
        <xdr:cNvSpPr>
          <a:spLocks noChangeShapeType="1"/>
        </xdr:cNvSpPr>
      </xdr:nvSpPr>
      <xdr:spPr bwMode="auto">
        <a:xfrm flipH="1">
          <a:off x="10572750" y="300037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228600</xdr:colOff>
      <xdr:row>12</xdr:row>
      <xdr:rowOff>95250</xdr:rowOff>
    </xdr:from>
    <xdr:to>
      <xdr:col>15</xdr:col>
      <xdr:colOff>314325</xdr:colOff>
      <xdr:row>12</xdr:row>
      <xdr:rowOff>228600</xdr:rowOff>
    </xdr:to>
    <xdr:sp macro="" textlink="">
      <xdr:nvSpPr>
        <xdr:cNvPr id="72158" name="Line 16">
          <a:extLst>
            <a:ext uri="{FF2B5EF4-FFF2-40B4-BE49-F238E27FC236}">
              <a16:creationId xmlns:a16="http://schemas.microsoft.com/office/drawing/2014/main" id="{00000000-0008-0000-1E00-0000DE190100}"/>
            </a:ext>
          </a:extLst>
        </xdr:cNvPr>
        <xdr:cNvSpPr>
          <a:spLocks noChangeShapeType="1"/>
        </xdr:cNvSpPr>
      </xdr:nvSpPr>
      <xdr:spPr bwMode="auto">
        <a:xfrm flipH="1">
          <a:off x="10572750" y="357187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200025</xdr:colOff>
      <xdr:row>14</xdr:row>
      <xdr:rowOff>114300</xdr:rowOff>
    </xdr:from>
    <xdr:to>
      <xdr:col>15</xdr:col>
      <xdr:colOff>285750</xdr:colOff>
      <xdr:row>14</xdr:row>
      <xdr:rowOff>247650</xdr:rowOff>
    </xdr:to>
    <xdr:sp macro="" textlink="">
      <xdr:nvSpPr>
        <xdr:cNvPr id="72159" name="Line 17">
          <a:extLst>
            <a:ext uri="{FF2B5EF4-FFF2-40B4-BE49-F238E27FC236}">
              <a16:creationId xmlns:a16="http://schemas.microsoft.com/office/drawing/2014/main" id="{00000000-0008-0000-1E00-0000DF190100}"/>
            </a:ext>
          </a:extLst>
        </xdr:cNvPr>
        <xdr:cNvSpPr>
          <a:spLocks noChangeShapeType="1"/>
        </xdr:cNvSpPr>
      </xdr:nvSpPr>
      <xdr:spPr bwMode="auto">
        <a:xfrm flipH="1">
          <a:off x="10544175" y="420052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16</xdr:row>
      <xdr:rowOff>76200</xdr:rowOff>
    </xdr:from>
    <xdr:to>
      <xdr:col>15</xdr:col>
      <xdr:colOff>238125</xdr:colOff>
      <xdr:row>16</xdr:row>
      <xdr:rowOff>209550</xdr:rowOff>
    </xdr:to>
    <xdr:sp macro="" textlink="">
      <xdr:nvSpPr>
        <xdr:cNvPr id="72160" name="Line 18">
          <a:extLst>
            <a:ext uri="{FF2B5EF4-FFF2-40B4-BE49-F238E27FC236}">
              <a16:creationId xmlns:a16="http://schemas.microsoft.com/office/drawing/2014/main" id="{00000000-0008-0000-1E00-0000E0190100}"/>
            </a:ext>
          </a:extLst>
        </xdr:cNvPr>
        <xdr:cNvSpPr>
          <a:spLocks noChangeShapeType="1"/>
        </xdr:cNvSpPr>
      </xdr:nvSpPr>
      <xdr:spPr bwMode="auto">
        <a:xfrm flipH="1">
          <a:off x="10496550" y="479107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180975</xdr:colOff>
      <xdr:row>1</xdr:row>
      <xdr:rowOff>104775</xdr:rowOff>
    </xdr:from>
    <xdr:to>
      <xdr:col>23</xdr:col>
      <xdr:colOff>266700</xdr:colOff>
      <xdr:row>1</xdr:row>
      <xdr:rowOff>238125</xdr:rowOff>
    </xdr:to>
    <xdr:sp macro="" textlink="">
      <xdr:nvSpPr>
        <xdr:cNvPr id="72161" name="Line 19">
          <a:extLst>
            <a:ext uri="{FF2B5EF4-FFF2-40B4-BE49-F238E27FC236}">
              <a16:creationId xmlns:a16="http://schemas.microsoft.com/office/drawing/2014/main" id="{00000000-0008-0000-1E00-0000E1190100}"/>
            </a:ext>
          </a:extLst>
        </xdr:cNvPr>
        <xdr:cNvSpPr>
          <a:spLocks noChangeShapeType="1"/>
        </xdr:cNvSpPr>
      </xdr:nvSpPr>
      <xdr:spPr bwMode="auto">
        <a:xfrm flipH="1">
          <a:off x="14601825" y="40005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771525</xdr:colOff>
      <xdr:row>3</xdr:row>
      <xdr:rowOff>114300</xdr:rowOff>
    </xdr:from>
    <xdr:to>
      <xdr:col>23</xdr:col>
      <xdr:colOff>857250</xdr:colOff>
      <xdr:row>3</xdr:row>
      <xdr:rowOff>247650</xdr:rowOff>
    </xdr:to>
    <xdr:sp macro="" textlink="">
      <xdr:nvSpPr>
        <xdr:cNvPr id="72162" name="Line 20">
          <a:extLst>
            <a:ext uri="{FF2B5EF4-FFF2-40B4-BE49-F238E27FC236}">
              <a16:creationId xmlns:a16="http://schemas.microsoft.com/office/drawing/2014/main" id="{00000000-0008-0000-1E00-0000E2190100}"/>
            </a:ext>
          </a:extLst>
        </xdr:cNvPr>
        <xdr:cNvSpPr>
          <a:spLocks noChangeShapeType="1"/>
        </xdr:cNvSpPr>
      </xdr:nvSpPr>
      <xdr:spPr bwMode="auto">
        <a:xfrm flipH="1">
          <a:off x="15192375" y="99060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990600</xdr:colOff>
      <xdr:row>5</xdr:row>
      <xdr:rowOff>76200</xdr:rowOff>
    </xdr:from>
    <xdr:to>
      <xdr:col>23</xdr:col>
      <xdr:colOff>1076325</xdr:colOff>
      <xdr:row>5</xdr:row>
      <xdr:rowOff>209550</xdr:rowOff>
    </xdr:to>
    <xdr:sp macro="" textlink="">
      <xdr:nvSpPr>
        <xdr:cNvPr id="72163" name="Line 21">
          <a:extLst>
            <a:ext uri="{FF2B5EF4-FFF2-40B4-BE49-F238E27FC236}">
              <a16:creationId xmlns:a16="http://schemas.microsoft.com/office/drawing/2014/main" id="{00000000-0008-0000-1E00-0000E3190100}"/>
            </a:ext>
          </a:extLst>
        </xdr:cNvPr>
        <xdr:cNvSpPr>
          <a:spLocks noChangeShapeType="1"/>
        </xdr:cNvSpPr>
      </xdr:nvSpPr>
      <xdr:spPr bwMode="auto">
        <a:xfrm flipH="1">
          <a:off x="15411450" y="154305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800100</xdr:colOff>
      <xdr:row>6</xdr:row>
      <xdr:rowOff>76200</xdr:rowOff>
    </xdr:from>
    <xdr:to>
      <xdr:col>23</xdr:col>
      <xdr:colOff>885825</xdr:colOff>
      <xdr:row>6</xdr:row>
      <xdr:rowOff>209550</xdr:rowOff>
    </xdr:to>
    <xdr:sp macro="" textlink="">
      <xdr:nvSpPr>
        <xdr:cNvPr id="72164" name="Line 22">
          <a:extLst>
            <a:ext uri="{FF2B5EF4-FFF2-40B4-BE49-F238E27FC236}">
              <a16:creationId xmlns:a16="http://schemas.microsoft.com/office/drawing/2014/main" id="{00000000-0008-0000-1E00-0000E4190100}"/>
            </a:ext>
          </a:extLst>
        </xdr:cNvPr>
        <xdr:cNvSpPr>
          <a:spLocks noChangeShapeType="1"/>
        </xdr:cNvSpPr>
      </xdr:nvSpPr>
      <xdr:spPr bwMode="auto">
        <a:xfrm flipH="1">
          <a:off x="15220950" y="182880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180975</xdr:colOff>
      <xdr:row>17</xdr:row>
      <xdr:rowOff>95250</xdr:rowOff>
    </xdr:from>
    <xdr:to>
      <xdr:col>0</xdr:col>
      <xdr:colOff>266700</xdr:colOff>
      <xdr:row>17</xdr:row>
      <xdr:rowOff>228600</xdr:rowOff>
    </xdr:to>
    <xdr:sp macro="" textlink="">
      <xdr:nvSpPr>
        <xdr:cNvPr id="72165" name="Line 23">
          <a:extLst>
            <a:ext uri="{FF2B5EF4-FFF2-40B4-BE49-F238E27FC236}">
              <a16:creationId xmlns:a16="http://schemas.microsoft.com/office/drawing/2014/main" id="{00000000-0008-0000-1E00-0000E5190100}"/>
            </a:ext>
          </a:extLst>
        </xdr:cNvPr>
        <xdr:cNvSpPr>
          <a:spLocks noChangeShapeType="1"/>
        </xdr:cNvSpPr>
      </xdr:nvSpPr>
      <xdr:spPr bwMode="auto">
        <a:xfrm flipH="1">
          <a:off x="180975" y="507682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180975</xdr:colOff>
      <xdr:row>18</xdr:row>
      <xdr:rowOff>95250</xdr:rowOff>
    </xdr:from>
    <xdr:to>
      <xdr:col>0</xdr:col>
      <xdr:colOff>266700</xdr:colOff>
      <xdr:row>18</xdr:row>
      <xdr:rowOff>228600</xdr:rowOff>
    </xdr:to>
    <xdr:sp macro="" textlink="">
      <xdr:nvSpPr>
        <xdr:cNvPr id="72166" name="Line 24">
          <a:extLst>
            <a:ext uri="{FF2B5EF4-FFF2-40B4-BE49-F238E27FC236}">
              <a16:creationId xmlns:a16="http://schemas.microsoft.com/office/drawing/2014/main" id="{00000000-0008-0000-1E00-0000E6190100}"/>
            </a:ext>
          </a:extLst>
        </xdr:cNvPr>
        <xdr:cNvSpPr>
          <a:spLocks noChangeShapeType="1"/>
        </xdr:cNvSpPr>
      </xdr:nvSpPr>
      <xdr:spPr bwMode="auto">
        <a:xfrm flipH="1">
          <a:off x="180975" y="537210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190500</xdr:colOff>
      <xdr:row>19</xdr:row>
      <xdr:rowOff>95250</xdr:rowOff>
    </xdr:from>
    <xdr:to>
      <xdr:col>0</xdr:col>
      <xdr:colOff>276225</xdr:colOff>
      <xdr:row>19</xdr:row>
      <xdr:rowOff>228600</xdr:rowOff>
    </xdr:to>
    <xdr:sp macro="" textlink="">
      <xdr:nvSpPr>
        <xdr:cNvPr id="72167" name="Line 25">
          <a:extLst>
            <a:ext uri="{FF2B5EF4-FFF2-40B4-BE49-F238E27FC236}">
              <a16:creationId xmlns:a16="http://schemas.microsoft.com/office/drawing/2014/main" id="{00000000-0008-0000-1E00-0000E7190100}"/>
            </a:ext>
          </a:extLst>
        </xdr:cNvPr>
        <xdr:cNvSpPr>
          <a:spLocks noChangeShapeType="1"/>
        </xdr:cNvSpPr>
      </xdr:nvSpPr>
      <xdr:spPr bwMode="auto">
        <a:xfrm flipH="1">
          <a:off x="190500" y="566737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180975</xdr:colOff>
      <xdr:row>20</xdr:row>
      <xdr:rowOff>95250</xdr:rowOff>
    </xdr:from>
    <xdr:to>
      <xdr:col>0</xdr:col>
      <xdr:colOff>266700</xdr:colOff>
      <xdr:row>20</xdr:row>
      <xdr:rowOff>228600</xdr:rowOff>
    </xdr:to>
    <xdr:sp macro="" textlink="">
      <xdr:nvSpPr>
        <xdr:cNvPr id="72168" name="Line 26">
          <a:extLst>
            <a:ext uri="{FF2B5EF4-FFF2-40B4-BE49-F238E27FC236}">
              <a16:creationId xmlns:a16="http://schemas.microsoft.com/office/drawing/2014/main" id="{00000000-0008-0000-1E00-0000E8190100}"/>
            </a:ext>
          </a:extLst>
        </xdr:cNvPr>
        <xdr:cNvSpPr>
          <a:spLocks noChangeShapeType="1"/>
        </xdr:cNvSpPr>
      </xdr:nvSpPr>
      <xdr:spPr bwMode="auto">
        <a:xfrm flipH="1">
          <a:off x="180975" y="596265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190500</xdr:colOff>
      <xdr:row>21</xdr:row>
      <xdr:rowOff>95250</xdr:rowOff>
    </xdr:from>
    <xdr:to>
      <xdr:col>0</xdr:col>
      <xdr:colOff>276225</xdr:colOff>
      <xdr:row>21</xdr:row>
      <xdr:rowOff>228600</xdr:rowOff>
    </xdr:to>
    <xdr:sp macro="" textlink="">
      <xdr:nvSpPr>
        <xdr:cNvPr id="72169" name="Line 27">
          <a:extLst>
            <a:ext uri="{FF2B5EF4-FFF2-40B4-BE49-F238E27FC236}">
              <a16:creationId xmlns:a16="http://schemas.microsoft.com/office/drawing/2014/main" id="{00000000-0008-0000-1E00-0000E9190100}"/>
            </a:ext>
          </a:extLst>
        </xdr:cNvPr>
        <xdr:cNvSpPr>
          <a:spLocks noChangeShapeType="1"/>
        </xdr:cNvSpPr>
      </xdr:nvSpPr>
      <xdr:spPr bwMode="auto">
        <a:xfrm flipH="1">
          <a:off x="190500" y="625792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209550</xdr:colOff>
      <xdr:row>8</xdr:row>
      <xdr:rowOff>142875</xdr:rowOff>
    </xdr:from>
    <xdr:to>
      <xdr:col>3</xdr:col>
      <xdr:colOff>285750</xdr:colOff>
      <xdr:row>8</xdr:row>
      <xdr:rowOff>247650</xdr:rowOff>
    </xdr:to>
    <xdr:sp macro="" textlink="">
      <xdr:nvSpPr>
        <xdr:cNvPr id="72170" name="Line 28">
          <a:extLst>
            <a:ext uri="{FF2B5EF4-FFF2-40B4-BE49-F238E27FC236}">
              <a16:creationId xmlns:a16="http://schemas.microsoft.com/office/drawing/2014/main" id="{00000000-0008-0000-1E00-0000EA190100}"/>
            </a:ext>
          </a:extLst>
        </xdr:cNvPr>
        <xdr:cNvSpPr>
          <a:spLocks noChangeShapeType="1"/>
        </xdr:cNvSpPr>
      </xdr:nvSpPr>
      <xdr:spPr bwMode="auto">
        <a:xfrm flipH="1">
          <a:off x="2495550" y="247650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190500</xdr:colOff>
      <xdr:row>8</xdr:row>
      <xdr:rowOff>133350</xdr:rowOff>
    </xdr:from>
    <xdr:to>
      <xdr:col>4</xdr:col>
      <xdr:colOff>266700</xdr:colOff>
      <xdr:row>8</xdr:row>
      <xdr:rowOff>238125</xdr:rowOff>
    </xdr:to>
    <xdr:sp macro="" textlink="">
      <xdr:nvSpPr>
        <xdr:cNvPr id="72171" name="Line 29">
          <a:extLst>
            <a:ext uri="{FF2B5EF4-FFF2-40B4-BE49-F238E27FC236}">
              <a16:creationId xmlns:a16="http://schemas.microsoft.com/office/drawing/2014/main" id="{00000000-0008-0000-1E00-0000EB190100}"/>
            </a:ext>
          </a:extLst>
        </xdr:cNvPr>
        <xdr:cNvSpPr>
          <a:spLocks noChangeShapeType="1"/>
        </xdr:cNvSpPr>
      </xdr:nvSpPr>
      <xdr:spPr bwMode="auto">
        <a:xfrm flipH="1">
          <a:off x="3181350" y="2466975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190500</xdr:colOff>
      <xdr:row>8</xdr:row>
      <xdr:rowOff>133350</xdr:rowOff>
    </xdr:from>
    <xdr:to>
      <xdr:col>5</xdr:col>
      <xdr:colOff>266700</xdr:colOff>
      <xdr:row>8</xdr:row>
      <xdr:rowOff>238125</xdr:rowOff>
    </xdr:to>
    <xdr:sp macro="" textlink="">
      <xdr:nvSpPr>
        <xdr:cNvPr id="72172" name="Line 30">
          <a:extLst>
            <a:ext uri="{FF2B5EF4-FFF2-40B4-BE49-F238E27FC236}">
              <a16:creationId xmlns:a16="http://schemas.microsoft.com/office/drawing/2014/main" id="{00000000-0008-0000-1E00-0000EC190100}"/>
            </a:ext>
          </a:extLst>
        </xdr:cNvPr>
        <xdr:cNvSpPr>
          <a:spLocks noChangeShapeType="1"/>
        </xdr:cNvSpPr>
      </xdr:nvSpPr>
      <xdr:spPr bwMode="auto">
        <a:xfrm flipH="1">
          <a:off x="3886200" y="2466975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190500</xdr:colOff>
      <xdr:row>8</xdr:row>
      <xdr:rowOff>133350</xdr:rowOff>
    </xdr:from>
    <xdr:to>
      <xdr:col>6</xdr:col>
      <xdr:colOff>266700</xdr:colOff>
      <xdr:row>8</xdr:row>
      <xdr:rowOff>238125</xdr:rowOff>
    </xdr:to>
    <xdr:sp macro="" textlink="">
      <xdr:nvSpPr>
        <xdr:cNvPr id="72173" name="Line 31">
          <a:extLst>
            <a:ext uri="{FF2B5EF4-FFF2-40B4-BE49-F238E27FC236}">
              <a16:creationId xmlns:a16="http://schemas.microsoft.com/office/drawing/2014/main" id="{00000000-0008-0000-1E00-0000ED190100}"/>
            </a:ext>
          </a:extLst>
        </xdr:cNvPr>
        <xdr:cNvSpPr>
          <a:spLocks noChangeShapeType="1"/>
        </xdr:cNvSpPr>
      </xdr:nvSpPr>
      <xdr:spPr bwMode="auto">
        <a:xfrm flipH="1">
          <a:off x="4591050" y="2466975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190500</xdr:colOff>
      <xdr:row>8</xdr:row>
      <xdr:rowOff>142875</xdr:rowOff>
    </xdr:from>
    <xdr:to>
      <xdr:col>7</xdr:col>
      <xdr:colOff>266700</xdr:colOff>
      <xdr:row>8</xdr:row>
      <xdr:rowOff>247650</xdr:rowOff>
    </xdr:to>
    <xdr:sp macro="" textlink="">
      <xdr:nvSpPr>
        <xdr:cNvPr id="72174" name="Line 32">
          <a:extLst>
            <a:ext uri="{FF2B5EF4-FFF2-40B4-BE49-F238E27FC236}">
              <a16:creationId xmlns:a16="http://schemas.microsoft.com/office/drawing/2014/main" id="{00000000-0008-0000-1E00-0000EE190100}"/>
            </a:ext>
          </a:extLst>
        </xdr:cNvPr>
        <xdr:cNvSpPr>
          <a:spLocks noChangeShapeType="1"/>
        </xdr:cNvSpPr>
      </xdr:nvSpPr>
      <xdr:spPr bwMode="auto">
        <a:xfrm flipH="1">
          <a:off x="5295900" y="2476500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190500</xdr:colOff>
      <xdr:row>8</xdr:row>
      <xdr:rowOff>133350</xdr:rowOff>
    </xdr:from>
    <xdr:to>
      <xdr:col>8</xdr:col>
      <xdr:colOff>266700</xdr:colOff>
      <xdr:row>8</xdr:row>
      <xdr:rowOff>238125</xdr:rowOff>
    </xdr:to>
    <xdr:sp macro="" textlink="">
      <xdr:nvSpPr>
        <xdr:cNvPr id="72175" name="Line 33">
          <a:extLst>
            <a:ext uri="{FF2B5EF4-FFF2-40B4-BE49-F238E27FC236}">
              <a16:creationId xmlns:a16="http://schemas.microsoft.com/office/drawing/2014/main" id="{00000000-0008-0000-1E00-0000EF190100}"/>
            </a:ext>
          </a:extLst>
        </xdr:cNvPr>
        <xdr:cNvSpPr>
          <a:spLocks noChangeShapeType="1"/>
        </xdr:cNvSpPr>
      </xdr:nvSpPr>
      <xdr:spPr bwMode="auto">
        <a:xfrm flipH="1">
          <a:off x="6000750" y="2466975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209550</xdr:colOff>
      <xdr:row>8</xdr:row>
      <xdr:rowOff>133350</xdr:rowOff>
    </xdr:from>
    <xdr:to>
      <xdr:col>9</xdr:col>
      <xdr:colOff>285750</xdr:colOff>
      <xdr:row>8</xdr:row>
      <xdr:rowOff>238125</xdr:rowOff>
    </xdr:to>
    <xdr:sp macro="" textlink="">
      <xdr:nvSpPr>
        <xdr:cNvPr id="72176" name="Line 34">
          <a:extLst>
            <a:ext uri="{FF2B5EF4-FFF2-40B4-BE49-F238E27FC236}">
              <a16:creationId xmlns:a16="http://schemas.microsoft.com/office/drawing/2014/main" id="{00000000-0008-0000-1E00-0000F0190100}"/>
            </a:ext>
          </a:extLst>
        </xdr:cNvPr>
        <xdr:cNvSpPr>
          <a:spLocks noChangeShapeType="1"/>
        </xdr:cNvSpPr>
      </xdr:nvSpPr>
      <xdr:spPr bwMode="auto">
        <a:xfrm flipH="1">
          <a:off x="6724650" y="2466975"/>
          <a:ext cx="762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219075</xdr:colOff>
      <xdr:row>8</xdr:row>
      <xdr:rowOff>123825</xdr:rowOff>
    </xdr:from>
    <xdr:to>
      <xdr:col>23</xdr:col>
      <xdr:colOff>304800</xdr:colOff>
      <xdr:row>8</xdr:row>
      <xdr:rowOff>257175</xdr:rowOff>
    </xdr:to>
    <xdr:sp macro="" textlink="">
      <xdr:nvSpPr>
        <xdr:cNvPr id="72177" name="Line 35">
          <a:extLst>
            <a:ext uri="{FF2B5EF4-FFF2-40B4-BE49-F238E27FC236}">
              <a16:creationId xmlns:a16="http://schemas.microsoft.com/office/drawing/2014/main" id="{00000000-0008-0000-1E00-0000F1190100}"/>
            </a:ext>
          </a:extLst>
        </xdr:cNvPr>
        <xdr:cNvSpPr>
          <a:spLocks noChangeShapeType="1"/>
        </xdr:cNvSpPr>
      </xdr:nvSpPr>
      <xdr:spPr bwMode="auto">
        <a:xfrm flipH="1">
          <a:off x="14639925" y="245745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219075</xdr:colOff>
      <xdr:row>10</xdr:row>
      <xdr:rowOff>76200</xdr:rowOff>
    </xdr:from>
    <xdr:to>
      <xdr:col>23</xdr:col>
      <xdr:colOff>304800</xdr:colOff>
      <xdr:row>10</xdr:row>
      <xdr:rowOff>209550</xdr:rowOff>
    </xdr:to>
    <xdr:sp macro="" textlink="">
      <xdr:nvSpPr>
        <xdr:cNvPr id="72178" name="Line 36">
          <a:extLst>
            <a:ext uri="{FF2B5EF4-FFF2-40B4-BE49-F238E27FC236}">
              <a16:creationId xmlns:a16="http://schemas.microsoft.com/office/drawing/2014/main" id="{00000000-0008-0000-1E00-0000F2190100}"/>
            </a:ext>
          </a:extLst>
        </xdr:cNvPr>
        <xdr:cNvSpPr>
          <a:spLocks noChangeShapeType="1"/>
        </xdr:cNvSpPr>
      </xdr:nvSpPr>
      <xdr:spPr bwMode="auto">
        <a:xfrm flipH="1">
          <a:off x="14639925" y="300037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219075</xdr:colOff>
      <xdr:row>12</xdr:row>
      <xdr:rowOff>95250</xdr:rowOff>
    </xdr:from>
    <xdr:to>
      <xdr:col>23</xdr:col>
      <xdr:colOff>304800</xdr:colOff>
      <xdr:row>12</xdr:row>
      <xdr:rowOff>228600</xdr:rowOff>
    </xdr:to>
    <xdr:sp macro="" textlink="">
      <xdr:nvSpPr>
        <xdr:cNvPr id="72179" name="Line 37">
          <a:extLst>
            <a:ext uri="{FF2B5EF4-FFF2-40B4-BE49-F238E27FC236}">
              <a16:creationId xmlns:a16="http://schemas.microsoft.com/office/drawing/2014/main" id="{00000000-0008-0000-1E00-0000F3190100}"/>
            </a:ext>
          </a:extLst>
        </xdr:cNvPr>
        <xdr:cNvSpPr>
          <a:spLocks noChangeShapeType="1"/>
        </xdr:cNvSpPr>
      </xdr:nvSpPr>
      <xdr:spPr bwMode="auto">
        <a:xfrm flipH="1">
          <a:off x="14639925" y="357187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238125</xdr:colOff>
      <xdr:row>14</xdr:row>
      <xdr:rowOff>114300</xdr:rowOff>
    </xdr:from>
    <xdr:to>
      <xdr:col>23</xdr:col>
      <xdr:colOff>323850</xdr:colOff>
      <xdr:row>14</xdr:row>
      <xdr:rowOff>247650</xdr:rowOff>
    </xdr:to>
    <xdr:sp macro="" textlink="">
      <xdr:nvSpPr>
        <xdr:cNvPr id="72180" name="Line 38">
          <a:extLst>
            <a:ext uri="{FF2B5EF4-FFF2-40B4-BE49-F238E27FC236}">
              <a16:creationId xmlns:a16="http://schemas.microsoft.com/office/drawing/2014/main" id="{00000000-0008-0000-1E00-0000F4190100}"/>
            </a:ext>
          </a:extLst>
        </xdr:cNvPr>
        <xdr:cNvSpPr>
          <a:spLocks noChangeShapeType="1"/>
        </xdr:cNvSpPr>
      </xdr:nvSpPr>
      <xdr:spPr bwMode="auto">
        <a:xfrm flipH="1">
          <a:off x="14658975" y="4200525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238125</xdr:colOff>
      <xdr:row>16</xdr:row>
      <xdr:rowOff>85725</xdr:rowOff>
    </xdr:from>
    <xdr:to>
      <xdr:col>23</xdr:col>
      <xdr:colOff>323850</xdr:colOff>
      <xdr:row>16</xdr:row>
      <xdr:rowOff>219075</xdr:rowOff>
    </xdr:to>
    <xdr:sp macro="" textlink="">
      <xdr:nvSpPr>
        <xdr:cNvPr id="72181" name="Line 39">
          <a:extLst>
            <a:ext uri="{FF2B5EF4-FFF2-40B4-BE49-F238E27FC236}">
              <a16:creationId xmlns:a16="http://schemas.microsoft.com/office/drawing/2014/main" id="{00000000-0008-0000-1E00-0000F5190100}"/>
            </a:ext>
          </a:extLst>
        </xdr:cNvPr>
        <xdr:cNvSpPr>
          <a:spLocks noChangeShapeType="1"/>
        </xdr:cNvSpPr>
      </xdr:nvSpPr>
      <xdr:spPr bwMode="auto">
        <a:xfrm flipH="1">
          <a:off x="14658975" y="480060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228600</xdr:colOff>
      <xdr:row>18</xdr:row>
      <xdr:rowOff>95250</xdr:rowOff>
    </xdr:from>
    <xdr:to>
      <xdr:col>23</xdr:col>
      <xdr:colOff>314325</xdr:colOff>
      <xdr:row>18</xdr:row>
      <xdr:rowOff>228600</xdr:rowOff>
    </xdr:to>
    <xdr:sp macro="" textlink="">
      <xdr:nvSpPr>
        <xdr:cNvPr id="72182" name="Line 40">
          <a:extLst>
            <a:ext uri="{FF2B5EF4-FFF2-40B4-BE49-F238E27FC236}">
              <a16:creationId xmlns:a16="http://schemas.microsoft.com/office/drawing/2014/main" id="{00000000-0008-0000-1E00-0000F6190100}"/>
            </a:ext>
          </a:extLst>
        </xdr:cNvPr>
        <xdr:cNvSpPr>
          <a:spLocks noChangeShapeType="1"/>
        </xdr:cNvSpPr>
      </xdr:nvSpPr>
      <xdr:spPr bwMode="auto">
        <a:xfrm flipH="1">
          <a:off x="14649450" y="537210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647700</xdr:colOff>
      <xdr:row>20</xdr:row>
      <xdr:rowOff>95250</xdr:rowOff>
    </xdr:from>
    <xdr:to>
      <xdr:col>23</xdr:col>
      <xdr:colOff>733425</xdr:colOff>
      <xdr:row>20</xdr:row>
      <xdr:rowOff>228600</xdr:rowOff>
    </xdr:to>
    <xdr:sp macro="" textlink="">
      <xdr:nvSpPr>
        <xdr:cNvPr id="72183" name="Line 41">
          <a:extLst>
            <a:ext uri="{FF2B5EF4-FFF2-40B4-BE49-F238E27FC236}">
              <a16:creationId xmlns:a16="http://schemas.microsoft.com/office/drawing/2014/main" id="{00000000-0008-0000-1E00-0000F7190100}"/>
            </a:ext>
          </a:extLst>
        </xdr:cNvPr>
        <xdr:cNvSpPr>
          <a:spLocks noChangeShapeType="1"/>
        </xdr:cNvSpPr>
      </xdr:nvSpPr>
      <xdr:spPr bwMode="auto">
        <a:xfrm flipH="1">
          <a:off x="15068550" y="596265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180975</xdr:colOff>
      <xdr:row>20</xdr:row>
      <xdr:rowOff>95250</xdr:rowOff>
    </xdr:from>
    <xdr:to>
      <xdr:col>0</xdr:col>
      <xdr:colOff>266700</xdr:colOff>
      <xdr:row>20</xdr:row>
      <xdr:rowOff>228600</xdr:rowOff>
    </xdr:to>
    <xdr:sp macro="" textlink="">
      <xdr:nvSpPr>
        <xdr:cNvPr id="72184" name="Line 42">
          <a:extLst>
            <a:ext uri="{FF2B5EF4-FFF2-40B4-BE49-F238E27FC236}">
              <a16:creationId xmlns:a16="http://schemas.microsoft.com/office/drawing/2014/main" id="{00000000-0008-0000-1E00-0000F8190100}"/>
            </a:ext>
          </a:extLst>
        </xdr:cNvPr>
        <xdr:cNvSpPr>
          <a:spLocks noChangeShapeType="1"/>
        </xdr:cNvSpPr>
      </xdr:nvSpPr>
      <xdr:spPr bwMode="auto">
        <a:xfrm flipH="1">
          <a:off x="180975" y="5962650"/>
          <a:ext cx="857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14;&#3637;&#3619;&#3614;&#3633;&#3602;&#3609;&#3660;\&#3591;&#3634;&#3609;&#3611;&#3637;2554\&#3611;&#3617;.2554(&#3621;&#3656;&#3634;&#3626;&#3640;&#3604;)19&#3617;&#3588;54\&#3611;&#3619;.&#3618;&#3585;&#3619;&#3632;&#3604;&#3633;&#3610;%2054%20&#3626;&#3607;&#3594;.5(&#3621;&#3656;&#3634;&#3626;&#3640;&#3604;)\&#3611;&#3619;&#3632;&#3617;&#3634;&#3603;&#3619;&#3634;&#3588;&#3634;&#3626;&#3632;&#3614;&#3634;&#3609;&#3609;&#3657;&#3635;&#3621;&#3638;&#3585;\54-002(&#3626;&#3632;&#3614;&#3634;&#3609;&#3609;&#3657;&#3635;&#3621;&#3638;&#3585;)(&#3591;&#3623;&#3604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591;&#3634;&#3609;&#3607;&#3634;&#3591;&#3627;&#3621;&#3623;&#3591;&#3594;&#3609;&#3610;&#3607;&#3609;&#3588;&#3619;&#3619;&#3634;&#3594;&#3626;&#3637;&#3617;&#3634;\&#3611;&#3619;&#3632;&#3617;&#3634;&#3603;&#3619;&#3634;&#3588;&#3634;%20&#3611;&#3637;%202548\&#3595;&#3656;&#3629;&#3617;&#3610;&#3635;&#3619;&#3640;&#3591;\&#3619;&#3634;&#3591;&#3619;&#3632;&#3610;&#3634;&#3618;&#3609;&#3657;&#3635;%20&#3609;&#3617;.5019%20&#3610;&#3657;&#3634;&#3609;&#3650;&#3609;&#3609;&#3652;&#3607;&#3618;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&#3626;&#3635;&#3619;&#3629;&#3591;&#3586;&#3657;&#3629;&#3617;&#3641;&#3621;&#3592;&#3634;&#3585;&#3588;&#3629;&#3617;&#3651;&#3627;&#3617;&#3656;08-10-59\&#3629;&#3610;&#3619;&#3617;&#3611;&#3619;&#3632;&#3617;&#3634;&#3603;&#3619;&#3634;&#3588;&#3634;%202559%20(&#3626;&#3607;&#3594;.&#3607;&#3637;&#3656;5)\&#3605;&#3633;&#3623;&#3629;&#3618;&#3656;&#3634;&#3591;&#3611;&#3619;&#3632;&#3617;&#3634;&#3603;&#3619;&#3634;&#3588;&#3634;\&#3591;&#3634;&#3609;&#3585;&#3656;&#3629;&#3626;&#3619;&#3657;&#3634;&#3591;&#3607;&#3634;&#3591;(&#3611;&#3619;&#3633;&#3610;&#3611;&#3619;&#3640;&#3591;&#3621;&#3656;&#3634;&#3626;&#3640;&#3604;%20&#3605;&#3588;.58)\&#3626;&#3635;&#3619;&#3629;&#3591;&#3586;&#3657;&#3629;&#3617;&#3641;&#3621;&#3592;&#3634;&#3585;&#3650;&#3609;&#3605;&#3658;&#3610;&#3640;&#3658;&#3605;(59-04-22)\&#3652;&#3604;&#3619;&#3604;&#3637;&#3604;&#3637;&#3604;&#3637;\&#3611;&#3619;&#3633;&#3610;&#3611;&#3619;&#3640;&#3591;&#3586;&#3657;&#3629;&#3617;&#3641;&#3621;&#3611;&#3619;&#3632;&#3617;&#3634;&#3603;&#3619;&#3634;&#3588;2560\&#3626;&#3632;&#3614;&#3634;&#3609;&#3649;&#3617;&#3656;&#3609;&#3657;&#3635;&#3592;&#3633;&#3585;&#3619;&#3634;&#3594;(26-12-56)\001-50.xls?E125AFE0" TargetMode="External"/><Relationship Id="rId1" Type="http://schemas.openxmlformats.org/officeDocument/2006/relationships/externalLinkPath" Target="file:///\\E125AFE0\001-5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01-5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26;&#3635;&#3619;&#3629;&#3591;&#3586;&#3657;&#3629;&#3617;&#3641;&#3621;&#3592;&#3634;&#3585;&#3588;&#3629;&#3617;&#3651;&#3627;&#3617;&#3656;08-10-59\&#3629;&#3610;&#3619;&#3617;&#3611;&#3619;&#3632;&#3617;&#3634;&#3603;&#3619;&#3634;&#3588;&#3634;%202559%20(&#3626;&#3607;&#3594;.&#3607;&#3637;&#3656;5)\&#3605;&#3633;&#3623;&#3629;&#3618;&#3656;&#3634;&#3591;&#3611;&#3619;&#3632;&#3617;&#3634;&#3603;&#3619;&#3634;&#3588;&#3634;\&#3591;&#3634;&#3609;&#3585;&#3656;&#3629;&#3626;&#3619;&#3657;&#3634;&#3591;&#3607;&#3634;&#3591;(&#3611;&#3619;&#3633;&#3610;&#3611;&#3619;&#3640;&#3591;&#3621;&#3656;&#3634;&#3626;&#3640;&#3604;%20&#3605;&#3588;.58)\&#3626;&#3635;&#3619;&#3629;&#3591;&#3586;&#3657;&#3629;&#3617;&#3641;&#3621;&#3592;&#3634;&#3585;&#3650;&#3609;&#3605;&#3658;&#3610;&#3640;&#3658;&#3605;(59-04-22)\&#3652;&#3604;&#3619;&#3604;&#3637;&#3604;&#3637;&#3604;&#3637;\&#3611;&#3619;&#3633;&#3610;&#3611;&#3619;&#3640;&#3591;&#3586;&#3657;&#3629;&#3617;&#3641;&#3621;&#3611;&#3619;&#3632;&#3617;&#3634;&#3603;&#3619;&#3634;&#3588;2560\001-50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&#3626;&#3635;&#3619;&#3629;&#3591;&#3586;&#3657;&#3629;&#3617;&#3641;&#3621;&#3592;&#3634;&#3585;&#3588;&#3629;&#3617;&#3651;&#3627;&#3617;&#3656;08-10-59\&#3629;&#3610;&#3619;&#3617;&#3611;&#3619;&#3632;&#3617;&#3634;&#3603;&#3619;&#3634;&#3588;&#3634;%202559%20(&#3626;&#3607;&#3594;.&#3607;&#3637;&#3656;5)\&#3605;&#3633;&#3623;&#3629;&#3618;&#3656;&#3634;&#3591;&#3611;&#3619;&#3632;&#3617;&#3634;&#3603;&#3619;&#3634;&#3588;&#3634;\&#3591;&#3634;&#3609;&#3585;&#3656;&#3629;&#3626;&#3619;&#3657;&#3634;&#3591;&#3607;&#3634;&#3591;(&#3611;&#3619;&#3633;&#3610;&#3611;&#3619;&#3640;&#3591;&#3621;&#3656;&#3634;&#3626;&#3640;&#3604;%20&#3605;&#3588;.58)\&#3626;&#3635;&#3619;&#3629;&#3591;&#3586;&#3657;&#3629;&#3617;&#3641;&#3621;&#3592;&#3634;&#3585;&#3650;&#3609;&#3605;&#3658;&#3610;&#3640;&#3658;&#3605;(59-04-22)\&#3652;&#3604;&#3619;&#3604;&#3637;&#3604;&#3637;&#3604;&#3637;\&#3611;&#3619;&#3633;&#3610;&#3611;&#3619;&#3640;&#3591;&#3586;&#3657;&#3629;&#3617;&#3641;&#3621;&#3611;&#3619;&#3632;&#3617;&#3634;&#3603;&#3619;&#3634;&#3588;2560\&#3626;&#3632;&#3614;&#3634;&#3609;&#3649;&#3617;&#3656;&#3609;&#3657;&#3635;&#3592;&#3633;&#3585;&#3619;&#3634;&#3594;(26-12-56)\&#3605;&#3618;\004-49.xls?ADEA0923" TargetMode="External"/><Relationship Id="rId1" Type="http://schemas.openxmlformats.org/officeDocument/2006/relationships/externalLinkPath" Target="file:///\\ADEA0923\004-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26;&#3635;&#3619;&#3629;&#3591;&#3586;&#3657;&#3629;&#3617;&#3641;&#3621;&#3592;&#3634;&#3585;&#3588;&#3629;&#3617;&#3651;&#3627;&#3617;&#3656;08-10-59\&#3629;&#3610;&#3619;&#3617;&#3611;&#3619;&#3632;&#3617;&#3634;&#3603;&#3619;&#3634;&#3588;&#3634;%202559%20(&#3626;&#3607;&#3594;.&#3607;&#3637;&#3656;5)\&#3605;&#3633;&#3623;&#3629;&#3618;&#3656;&#3634;&#3591;&#3611;&#3619;&#3632;&#3617;&#3634;&#3603;&#3619;&#3634;&#3588;&#3634;\&#3591;&#3634;&#3609;&#3585;&#3656;&#3629;&#3626;&#3619;&#3657;&#3634;&#3591;&#3607;&#3634;&#3591;(&#3611;&#3619;&#3633;&#3610;&#3611;&#3619;&#3640;&#3591;&#3621;&#3656;&#3634;&#3626;&#3640;&#3604;%20&#3605;&#3588;.58)\&#3626;&#3635;&#3619;&#3629;&#3591;&#3586;&#3657;&#3629;&#3617;&#3641;&#3621;&#3592;&#3634;&#3585;&#3650;&#3609;&#3605;&#3658;&#3610;&#3640;&#3658;&#3605;(59-04-22)\&#3652;&#3604;&#3619;&#3604;&#3637;&#3604;&#3637;&#3604;&#3637;\&#3611;&#3619;&#3633;&#3610;&#3611;&#3619;&#3640;&#3591;&#3586;&#3657;&#3629;&#3617;&#3641;&#3621;&#3611;&#3619;&#3632;&#3617;&#3634;&#3603;&#3619;&#3634;&#3588;2560\&#3605;&#3618;\004-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05;&#3618;\004-4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591;&#3634;&#3609;&#3611;&#3637;&#3591;&#3610;&#3611;&#3619;&#3632;&#3617;&#3634;&#3603;51\&#3611;&#3619;&#3632;&#3617;&#3634;&#3603;&#3619;&#3634;&#3588;&#3634;51\&#3615;&#3629;&#3619;&#3660;&#3617;&#3626;&#3632;&#3614;&#3634;&#3609;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&#3626;&#3635;&#3619;&#3629;&#3591;&#3586;&#3657;&#3629;&#3617;&#3641;&#3621;&#3592;&#3634;&#3585;&#3588;&#3629;&#3617;&#3651;&#3627;&#3617;&#3656;08-10-59\&#3629;&#3610;&#3619;&#3617;&#3611;&#3619;&#3632;&#3617;&#3634;&#3603;&#3619;&#3634;&#3588;&#3634;%202559%20(&#3626;&#3607;&#3594;.&#3607;&#3637;&#3656;5)\&#3605;&#3633;&#3623;&#3629;&#3618;&#3656;&#3634;&#3591;&#3611;&#3619;&#3632;&#3617;&#3634;&#3603;&#3619;&#3634;&#3588;&#3634;\&#3591;&#3634;&#3609;&#3585;&#3656;&#3629;&#3626;&#3619;&#3657;&#3634;&#3591;&#3607;&#3634;&#3591;(&#3611;&#3619;&#3633;&#3610;&#3611;&#3619;&#3640;&#3591;&#3621;&#3656;&#3634;&#3626;&#3640;&#3604;%20&#3605;&#3588;.58)\&#3626;&#3635;&#3619;&#3629;&#3591;&#3586;&#3657;&#3629;&#3617;&#3641;&#3621;&#3592;&#3634;&#3585;&#3650;&#3609;&#3605;&#3658;&#3610;&#3640;&#3658;&#3605;(59-04-22)\&#3652;&#3604;&#3619;&#3604;&#3637;&#3604;&#3637;&#3604;&#3637;\&#3611;&#3619;&#3633;&#3610;&#3611;&#3619;&#3640;&#3591;&#3586;&#3657;&#3629;&#3617;&#3641;&#3621;&#3611;&#3619;&#3632;&#3617;&#3634;&#3603;&#3619;&#3634;&#3588;2560\&#3591;&#3634;&#3609;&#3611;&#3637;&#3591;&#3610;&#3611;&#3619;&#3632;&#3617;&#3634;&#3603;51\&#3611;&#3619;&#3632;&#3617;&#3634;&#3603;&#3619;&#3634;&#3588;&#3634;51\&#3615;&#3629;&#3619;&#3660;&#3617;&#3626;&#3632;&#3614;&#3634;&#3609;.xls?85DA5B1D" TargetMode="External"/><Relationship Id="rId1" Type="http://schemas.openxmlformats.org/officeDocument/2006/relationships/externalLinkPath" Target="file:///\\85DA5B1D\&#3615;&#3629;&#3619;&#3660;&#3617;&#3626;&#3632;&#3614;&#3634;&#3609;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&#3626;&#3635;&#3619;&#3629;&#3591;&#3586;&#3657;&#3629;&#3617;&#3641;&#3621;&#3592;&#3634;&#3585;&#3588;&#3629;&#3617;&#3651;&#3627;&#3617;&#3656;08-10-59\&#3629;&#3610;&#3619;&#3617;&#3611;&#3619;&#3632;&#3617;&#3634;&#3603;&#3619;&#3634;&#3588;&#3634;%202559%20(&#3626;&#3607;&#3594;.&#3607;&#3637;&#3656;5)\&#3605;&#3633;&#3623;&#3629;&#3618;&#3656;&#3634;&#3591;&#3611;&#3619;&#3632;&#3617;&#3634;&#3603;&#3619;&#3634;&#3588;&#3634;\&#3591;&#3634;&#3609;&#3585;&#3656;&#3629;&#3626;&#3619;&#3657;&#3634;&#3591;&#3607;&#3634;&#3591;(&#3611;&#3619;&#3633;&#3610;&#3611;&#3619;&#3640;&#3591;&#3621;&#3656;&#3634;&#3626;&#3640;&#3604;%20&#3605;&#3588;.58)\&#3626;&#3635;&#3619;&#3629;&#3591;&#3586;&#3657;&#3629;&#3617;&#3641;&#3621;&#3592;&#3634;&#3585;&#3650;&#3609;&#3605;&#3658;&#3610;&#3640;&#3658;&#3605;(59-04-22)\&#3652;&#3604;&#3619;&#3604;&#3637;&#3604;&#3637;&#3604;&#3637;\&#3611;&#3619;&#3633;&#3610;&#3611;&#3619;&#3640;&#3591;&#3586;&#3657;&#3629;&#3617;&#3641;&#3621;&#3611;&#3619;&#3632;&#3617;&#3634;&#3603;&#3619;&#3634;&#3588;2560\&#3626;&#3632;&#3614;&#3634;&#3609;&#3586;&#3657;&#3634;&#3617;&#3621;&#3635;&#3627;&#3657;&#3623;&#3618;&#3588;&#3621;&#3629;&#3591;&#3621;&#3638;&#3585;(&#3610;&#3626;&#3614;)A001&#3649;&#3585;&#3657;&#3652;&#3586;.xlsx?0D77E6BB" TargetMode="External"/><Relationship Id="rId1" Type="http://schemas.openxmlformats.org/officeDocument/2006/relationships/externalLinkPath" Target="file:///\\0D77E6BB\&#3626;&#3632;&#3614;&#3634;&#3609;&#3586;&#3657;&#3634;&#3617;&#3621;&#3635;&#3627;&#3657;&#3623;&#3618;&#3588;&#3621;&#3629;&#3591;&#3621;&#3638;&#3585;(&#3610;&#3626;&#3614;)A001&#3649;&#3585;&#3657;&#3652;&#358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26;&#3635;&#3619;&#3629;&#3591;&#3586;&#3657;&#3629;&#3617;&#3641;&#3621;&#3592;&#3634;&#3585;&#3588;&#3629;&#3617;&#3651;&#3627;&#3617;&#3656;08-10-59\&#3629;&#3610;&#3619;&#3617;&#3611;&#3619;&#3632;&#3617;&#3634;&#3603;&#3619;&#3634;&#3588;&#3634;%202559%20(&#3626;&#3607;&#3594;.&#3607;&#3637;&#3656;5)\&#3605;&#3633;&#3623;&#3629;&#3618;&#3656;&#3634;&#3591;&#3611;&#3619;&#3632;&#3617;&#3634;&#3603;&#3619;&#3634;&#3588;&#3634;\&#3591;&#3634;&#3609;&#3585;&#3656;&#3629;&#3626;&#3619;&#3657;&#3634;&#3591;&#3607;&#3634;&#3591;(&#3611;&#3619;&#3633;&#3610;&#3611;&#3619;&#3640;&#3591;&#3621;&#3656;&#3634;&#3626;&#3640;&#3604;%20&#3605;&#3588;.58)\&#3626;&#3635;&#3619;&#3629;&#3591;&#3586;&#3657;&#3629;&#3617;&#3641;&#3621;&#3592;&#3634;&#3585;&#3650;&#3609;&#3605;&#3658;&#3610;&#3640;&#3658;&#3605;(59-04-22)\&#3652;&#3604;&#3619;&#3604;&#3637;&#3604;&#3637;&#3604;&#3637;\&#3611;&#3619;&#3633;&#3610;&#3611;&#3619;&#3640;&#3591;&#3586;&#3657;&#3629;&#3617;&#3641;&#3621;&#3611;&#3619;&#3632;&#3617;&#3634;&#3603;&#3619;&#3634;&#3588;2560\&#3611;&#3617;.2556\00000(&#3626;&#3619;.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11;&#3619;.&#3591;&#3611;&#3617;.61+&#3591;&#3623;&#3604;&#3648;&#3591;&#3636;&#3609;-2\&#3609;&#3617;\61_&#3611;&#3619;%20_2%20&#3624;&#3619;&#3637;&#3625;&#3632;&#3585;&#3619;&#3632;&#3610;&#3639;&#3629;%20%20&#3585;-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ewinpc\Desktop\New%20folder\61-03-&#3610;.&#3611;&#3632;&#3588;&#3635;\&#3611;&#3632;&#3588;&#3635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&#3626;&#3635;&#3619;&#3629;&#3591;&#3586;&#3657;&#3629;&#3617;&#3641;&#3621;&#3592;&#3634;&#3585;&#3588;&#3629;&#3617;&#3651;&#3627;&#3617;&#3656;08-10-59\&#3629;&#3610;&#3619;&#3617;&#3611;&#3619;&#3632;&#3617;&#3634;&#3603;&#3619;&#3634;&#3588;&#3634;%202559%20(&#3626;&#3607;&#3594;.&#3607;&#3637;&#3656;5)\&#3605;&#3633;&#3623;&#3629;&#3618;&#3656;&#3634;&#3591;&#3611;&#3619;&#3632;&#3617;&#3634;&#3603;&#3619;&#3634;&#3588;&#3634;\&#3591;&#3634;&#3609;&#3585;&#3656;&#3629;&#3626;&#3619;&#3657;&#3634;&#3591;&#3607;&#3634;&#3591;(&#3611;&#3619;&#3633;&#3610;&#3611;&#3619;&#3640;&#3591;&#3621;&#3656;&#3634;&#3626;&#3640;&#3604;%20&#3605;&#3588;.58)\&#3626;&#3635;&#3619;&#3629;&#3591;&#3586;&#3657;&#3629;&#3617;&#3641;&#3621;&#3592;&#3634;&#3585;&#3650;&#3609;&#3605;&#3658;&#3610;&#3640;&#3658;&#3605;(59-04-22)\&#3652;&#3604;&#3619;&#3604;&#3637;&#3604;&#3637;&#3604;&#3637;\&#3611;&#3619;&#3633;&#3610;&#3611;&#3619;&#3640;&#3591;&#3586;&#3657;&#3629;&#3617;&#3641;&#3621;&#3611;&#3619;&#3632;&#3617;&#3634;&#3603;&#3619;&#3634;&#3588;2560\&#3611;&#3619;&#3632;&#3604;&#3636;&#3625;&#3600;&#3660;\p%20pradit\&#3611;&#3619;&#3632;&#3617;&#3634;&#3603;&#3619;&#3634;&#3588;&#3634;&#3621;&#3635;&#3614;&#3619;&#3632;&#3648;&#3614;&#3621;&#3636;&#3591;.xls?FD7527E3" TargetMode="External"/><Relationship Id="rId1" Type="http://schemas.openxmlformats.org/officeDocument/2006/relationships/externalLinkPath" Target="file:///\\FD7527E3\&#3611;&#3619;&#3632;&#3617;&#3634;&#3603;&#3619;&#3634;&#3588;&#3634;&#3621;&#3635;&#3614;&#3619;&#3632;&#3648;&#3614;&#3621;&#3636;&#3591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11;&#3619;&#3632;&#3604;&#3636;&#3625;&#3600;&#3660;\p%20pradit\&#3611;&#3619;&#3632;&#3617;&#3634;&#3603;&#3619;&#3634;&#3588;&#3634;&#3621;&#3635;&#3614;&#3619;&#3632;&#3648;&#3614;&#3621;&#3636;&#359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07;&#3634;&#3591;&#3627;&#3621;&#3623;&#3591;&#3594;&#3609;&#3610;&#3607;\&#3615;&#3629;&#3619;&#3660;&#3617;&#3611;&#3619;&#3632;&#3617;&#3634;&#3603;&#3619;&#3634;&#3588;&#3634;&#3607;&#3656;&#3629;&#3621;&#3629;&#3604;&#3648;&#3627;&#3621;&#3637;&#3656;&#3618;&#3617;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&#3626;&#3635;&#3619;&#3629;&#3591;&#3586;&#3657;&#3629;&#3617;&#3641;&#3621;&#3592;&#3634;&#3585;&#3588;&#3629;&#3617;&#3651;&#3627;&#3617;&#3656;08-10-59\&#3629;&#3610;&#3619;&#3617;&#3611;&#3619;&#3632;&#3617;&#3634;&#3603;&#3619;&#3634;&#3588;&#3634;%202559%20(&#3626;&#3607;&#3594;.&#3607;&#3637;&#3656;5)\&#3605;&#3633;&#3623;&#3629;&#3618;&#3656;&#3634;&#3591;&#3611;&#3619;&#3632;&#3617;&#3634;&#3603;&#3619;&#3634;&#3588;&#3634;\&#3591;&#3634;&#3609;&#3585;&#3656;&#3629;&#3626;&#3619;&#3657;&#3634;&#3591;&#3607;&#3634;&#3591;(&#3611;&#3619;&#3633;&#3610;&#3611;&#3619;&#3640;&#3591;&#3621;&#3656;&#3634;&#3626;&#3640;&#3604;%20&#3605;&#3588;.58)\&#3626;&#3635;&#3619;&#3629;&#3591;&#3586;&#3657;&#3629;&#3617;&#3641;&#3621;&#3592;&#3634;&#3585;&#3650;&#3609;&#3605;&#3658;&#3610;&#3640;&#3658;&#3605;(59-04-22)\&#3652;&#3604;&#3619;&#3604;&#3637;&#3604;&#3637;&#3604;&#3637;\&#3611;&#3619;&#3633;&#3610;&#3611;&#3619;&#3640;&#3591;&#3586;&#3657;&#3629;&#3617;&#3641;&#3621;&#3611;&#3619;&#3632;&#3617;&#3634;&#3603;&#3619;&#3634;&#3588;2560\&#3607;&#3634;&#3591;&#3627;&#3621;&#3623;&#3591;&#3594;&#3609;&#3610;&#3607;\&#3615;&#3629;&#3619;&#3660;&#3617;&#3611;&#3619;&#3632;&#3617;&#3634;&#3603;&#3619;&#3634;&#3588;&#3634;&#3607;&#3656;&#3629;&#3621;&#3629;&#3604;&#3648;&#3627;&#3621;&#3637;&#3656;&#3618;&#3617;.xls?290C3340" TargetMode="External"/><Relationship Id="rId1" Type="http://schemas.openxmlformats.org/officeDocument/2006/relationships/externalLinkPath" Target="file:///\\290C3340\&#3615;&#3629;&#3619;&#3660;&#3617;&#3611;&#3619;&#3632;&#3617;&#3634;&#3603;&#3619;&#3634;&#3588;&#3634;&#3607;&#3656;&#3629;&#3621;&#3629;&#3604;&#3648;&#3627;&#3621;&#3637;&#3656;&#3618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อกข้อมูล"/>
      <sheetName val="กรอกราคาวัสดุ"/>
      <sheetName val="Oil"/>
      <sheetName val="แผนที่ขนส่ง"/>
      <sheetName val="งานกำแพงปากท่อ"/>
      <sheetName val="ปร.5 road"/>
      <sheetName val="ปร.4 road"/>
      <sheetName val="ค่างานต้นทุน"/>
      <sheetName val="ข้อมูลคำนวณ"/>
      <sheetName val="ค่างานต้นทุนสะพาน"/>
      <sheetName val="ปร.5 สะพาน"/>
      <sheetName val="ปร.4 สะพาน"/>
      <sheetName val="F(Bridge)"/>
      <sheetName val="อำนวยการ(Bridge)"/>
      <sheetName val="ดอกเบี้ย(Bridge)"/>
      <sheetName val="ดอกเบี้ย(Road)"/>
      <sheetName val="ปริมาณดิน"/>
      <sheetName val="งานดิน"/>
      <sheetName val="ราคาป้าย"/>
      <sheetName val="ข้อมูลดิบ"/>
      <sheetName val="ค่าเสื่อมราคา"/>
      <sheetName val="ข้อมูลสะพาน"/>
      <sheetName val="ปร.5 ท่อลอดเหลี่ยม"/>
      <sheetName val="ปร.4 box1"/>
      <sheetName val="ปร.4 box2"/>
      <sheetName val="ปร.4 box3"/>
      <sheetName val="ปร.5 รางระบายน้ำ"/>
      <sheetName val="รางระบายน้ำ"/>
      <sheetName val="เสาเข็ม คอร."/>
      <sheetName val="เสาเข็ม คสล.ริม"/>
      <sheetName val="เสาเข็ม คสล.กลาง"/>
      <sheetName val="งานนั้งร้าน"/>
      <sheetName val="ตอม่อริม"/>
      <sheetName val="ตอม่อกลาง"/>
      <sheetName val="Plankริม"/>
      <sheetName val="Plankกลาง"/>
      <sheetName val="Plankติดตั้ง"/>
      <sheetName val="TOPPING"/>
      <sheetName val="ทางเท้า"/>
      <sheetName val="เสาราว"/>
      <sheetName val="ป้าย"/>
      <sheetName val="แท่นไฟฟ้า"/>
      <sheetName val="SLO"/>
      <sheetName val="APP"/>
      <sheetName val="รายระบายน้ำ-2"/>
      <sheetName val="บัญชี"/>
      <sheetName val="ต่อรอง"/>
      <sheetName val="(สรุปงวดงาน)"/>
      <sheetName val="งวดงาน"/>
      <sheetName val="งวดงาน%"/>
      <sheetName val="บ่อพัก"/>
      <sheetName val="ท่อระบายน้ำ"/>
      <sheetName val="กำแพงปากท่อ"/>
      <sheetName val="ป้ายจราจร"/>
      <sheetName val="Winฯ-ทางเชื่อม "/>
      <sheetName val="(F Road)"/>
      <sheetName val="อำนวยการ(Road)"/>
      <sheetName val="ขนาด ท่อ"/>
      <sheetName val="Sheet1"/>
      <sheetName val="Sheet2"/>
      <sheetName val="รายงานความเข้ากันได้"/>
    </sheetNames>
    <sheetDataSet>
      <sheetData sheetId="0"/>
      <sheetData sheetId="1"/>
      <sheetData sheetId="2">
        <row r="5">
          <cell r="B5">
            <v>1</v>
          </cell>
        </row>
      </sheetData>
      <sheetData sheetId="3"/>
      <sheetData sheetId="4"/>
      <sheetData sheetId="5"/>
      <sheetData sheetId="6"/>
      <sheetData sheetId="7">
        <row r="206">
          <cell r="I206">
            <v>1</v>
          </cell>
        </row>
      </sheetData>
      <sheetData sheetId="8">
        <row r="1">
          <cell r="G1">
            <v>10</v>
          </cell>
        </row>
        <row r="130">
          <cell r="D130">
            <v>827.62779999999998</v>
          </cell>
          <cell r="F130">
            <v>100.8</v>
          </cell>
          <cell r="H130">
            <v>628.5</v>
          </cell>
          <cell r="J130">
            <v>1545.0977924000001</v>
          </cell>
          <cell r="L130">
            <v>0</v>
          </cell>
        </row>
      </sheetData>
      <sheetData sheetId="9">
        <row r="53">
          <cell r="D53">
            <v>10</v>
          </cell>
        </row>
      </sheetData>
      <sheetData sheetId="10"/>
      <sheetData sheetId="11">
        <row r="16">
          <cell r="I16">
            <v>1796976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">
          <cell r="L6">
            <v>15.5</v>
          </cell>
        </row>
      </sheetData>
      <sheetData sheetId="21">
        <row r="5">
          <cell r="I5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คำนวณ"/>
      <sheetName val="ข้อมูลดิบ"/>
      <sheetName val="ข้อมูลสะพาน"/>
      <sheetName val="ปร.5 road"/>
      <sheetName val="ปร.4 road"/>
      <sheetName val="ปร.5 box"/>
      <sheetName val="ปร.5 สะพาน"/>
      <sheetName val="ปร.4 สะพาน"/>
      <sheetName val="FACTOR F"/>
      <sheetName val="ดอกเบี้ย,กำไร"/>
      <sheetName val="อำนวยการ"/>
      <sheetName val="ค่างานต้นทุนสะพาน"/>
      <sheetName val="ปร.4 box1"/>
      <sheetName val="ปร.4 box2"/>
      <sheetName val="บ่อพัก"/>
      <sheetName val="ข้อมูลประมาณราคา"/>
      <sheetName val="ค่างานต้นทุน"/>
      <sheetName val="งานดิน"/>
      <sheetName val="ท่อระบายน้ำ"/>
      <sheetName val="กำแพงปากท่อ"/>
      <sheetName val="ป้ายจราจร"/>
      <sheetName val="Winฯ-ทางเชื่อม "/>
      <sheetName val="ค่าขนส่ง1"/>
      <sheetName val="ค่าขนส่ง"/>
      <sheetName val="ค่าเสื่อมราคา"/>
      <sheetName val="งานกำแพงปากท่อ"/>
      <sheetName val="ขนาด ท่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46">
          <cell r="H146">
            <v>1275.98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นะนำ"/>
      <sheetName val="ปรับปรุง"/>
      <sheetName val="ข้อมูลโครงการ"/>
      <sheetName val="ประกาศ"/>
      <sheetName val="ข้อมูลขนส่ง"/>
      <sheetName val="ราคาวัสดุ"/>
      <sheetName val="ปร.4"/>
      <sheetName val="ปร.5"/>
      <sheetName val="บัญชี"/>
      <sheetName val="(ต่อรอง)"/>
      <sheetName val="(สรุปงวดงาน)"/>
      <sheetName val="(งวดงาน%)"/>
      <sheetName val="ต่อรอง"/>
      <sheetName val="สรุปงวดงาน"/>
      <sheetName val="งวดเงิน"/>
      <sheetName val="รายการ"/>
      <sheetName val="หักลดค่าขนส่ง"/>
      <sheetName val="ค่างานต้นทุน"/>
      <sheetName val="ต้นทุนป้าย"/>
      <sheetName val="บ่อพัก"/>
      <sheetName val="ข30"/>
      <sheetName val="ราง V"/>
      <sheetName val="คสล."/>
      <sheetName val="box"/>
      <sheetName val="ขนส่งท่อ"/>
      <sheetName val="พิมพ์เอกสาร"/>
      <sheetName val="ใบสรุป"/>
      <sheetName val="ค่าเสื่อมราคา"/>
      <sheetName val="สิบล้อขนส่ง"/>
      <sheetName val="รถพ่วงขนส่ง"/>
      <sheetName val="หกล้อขนส่ง"/>
      <sheetName val="Factor_6"/>
      <sheetName val="Factor_f"/>
      <sheetName val="BOX."/>
      <sheetName val="แผนที่ขนส่ง"/>
      <sheetName val="Factor_8"/>
      <sheetName val="คิดค่ากำแพงปากท่อ"/>
      <sheetName val="opera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8">
          <cell r="H158">
            <v>128.59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นะนำ"/>
      <sheetName val="ปรับปรุง"/>
      <sheetName val="ข้อมูลโครงการ"/>
      <sheetName val="ประกาศ"/>
      <sheetName val="ข้อมูลขนส่ง"/>
      <sheetName val="ราคาวัสดุ"/>
      <sheetName val="ปร.4"/>
      <sheetName val="ปร.5"/>
      <sheetName val="บัญชี"/>
      <sheetName val="(ต่อรอง)"/>
      <sheetName val="(สรุปงวดงาน)"/>
      <sheetName val="(งวดงาน%)"/>
      <sheetName val="ต่อรอง"/>
      <sheetName val="สรุปงวดงาน"/>
      <sheetName val="งวดเงิน"/>
      <sheetName val="รายการ"/>
      <sheetName val="หักลดค่าขนส่ง"/>
      <sheetName val="ค่างานต้นทุน"/>
      <sheetName val="ต้นทุนป้าย"/>
      <sheetName val="บ่อพัก"/>
      <sheetName val="ข30"/>
      <sheetName val="ราง V"/>
      <sheetName val="คสล."/>
      <sheetName val="box"/>
      <sheetName val="ขนส่งท่อ"/>
      <sheetName val="พิมพ์เอกสาร"/>
      <sheetName val="ใบสรุป"/>
      <sheetName val="ค่าเสื่อมราคา"/>
      <sheetName val="สิบล้อขนส่ง"/>
      <sheetName val="รถพ่วงขนส่ง"/>
      <sheetName val="หกล้อขนส่ง"/>
      <sheetName val="Factor_6"/>
      <sheetName val="Factor_f"/>
      <sheetName val="BOX."/>
      <sheetName val="แผนที่ขนส่ง"/>
      <sheetName val="Factor_8"/>
      <sheetName val="คิดค่ากำแพงปากท่อ"/>
      <sheetName val="opera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8">
          <cell r="H158">
            <v>128.59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นะนำ"/>
      <sheetName val="ปรับปรุง"/>
      <sheetName val="ข้อมูลโครงการ"/>
      <sheetName val="ประกาศ"/>
      <sheetName val="ข้อมูลขนส่ง"/>
      <sheetName val="ราคาวัสดุ"/>
      <sheetName val="ปร.4"/>
      <sheetName val="ปร.5"/>
      <sheetName val="บัญชี"/>
      <sheetName val="(ต่อรอง)"/>
      <sheetName val="(สรุปงวดงาน)"/>
      <sheetName val="(งวดงาน%)"/>
      <sheetName val="ต่อรอง"/>
      <sheetName val="สรุปงวดงาน"/>
      <sheetName val="งวดเงิน"/>
      <sheetName val="รายการ"/>
      <sheetName val="หักลดค่าขนส่ง"/>
      <sheetName val="ค่างานต้นทุน"/>
      <sheetName val="ต้นทุนป้าย"/>
      <sheetName val="บ่อพัก"/>
      <sheetName val="ข30"/>
      <sheetName val="ราง V"/>
      <sheetName val="คสล."/>
      <sheetName val="box"/>
      <sheetName val="ขนส่งท่อ"/>
      <sheetName val="พิมพ์เอกสาร"/>
      <sheetName val="ใบสรุป"/>
      <sheetName val="ค่าเสื่อมราคา"/>
      <sheetName val="สิบล้อขนส่ง"/>
      <sheetName val="รถพ่วงขนส่ง"/>
      <sheetName val="หกล้อขนส่ง"/>
      <sheetName val="Factor_6"/>
      <sheetName val="Factor_f"/>
      <sheetName val="BOX."/>
      <sheetName val="แผนที่ขนส่ง"/>
      <sheetName val="Factor_8"/>
      <sheetName val="คิดค่ากำแพงปากท่อ"/>
      <sheetName val="opera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8">
          <cell r="H158">
            <v>128.59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นะนำ"/>
      <sheetName val="ปรับปรุง"/>
      <sheetName val="ข้อมูลโครงการ"/>
      <sheetName val="ประกาศ"/>
      <sheetName val="ข้อมูลขนส่ง"/>
      <sheetName val="ราคาวัสดุ"/>
      <sheetName val="ประกาศ2"/>
      <sheetName val="บัญชี2"/>
      <sheetName val="ปร.4"/>
      <sheetName val="ปร.5"/>
      <sheetName val="ต่อรอง"/>
      <sheetName val="หักค่าขนส่ง"/>
      <sheetName val="ราคากลาง ปร.4"/>
      <sheetName val="ราคากลาง ปร.5"/>
      <sheetName val="ปรับลด"/>
      <sheetName val="สรุปงวดงาน1"/>
      <sheetName val="งวดเงิน1"/>
      <sheetName val="รายการ"/>
      <sheetName val="หักลดค่าขนส่ง"/>
      <sheetName val="ใบสรุปแบ่งงวด"/>
      <sheetName val="งวดงาน box"/>
      <sheetName val="งวดงาน box1"/>
      <sheetName val="ค่างานต้นทุน"/>
      <sheetName val="บัญชีและรายการ"/>
      <sheetName val="ต้นทุนป้าย"/>
      <sheetName val="บ่อพัก"/>
      <sheetName val="ราง V"/>
      <sheetName val="ข30"/>
      <sheetName val="คสล."/>
      <sheetName val="box"/>
      <sheetName val="สน.สนาม"/>
      <sheetName val="พิมพ์เอกสาร"/>
      <sheetName val="ปร.5 ใส่ค่าเอง"/>
      <sheetName val="ใบสรุป"/>
      <sheetName val="ค่าเสื่อมราคา"/>
      <sheetName val="สิบล้อขนส่ง"/>
      <sheetName val="รถพ่วงขนส่ง"/>
      <sheetName val="หกล้อขนส่ง"/>
      <sheetName val="Factor47"/>
      <sheetName val="Factor_f"/>
      <sheetName val="คิดค่ากำแพงปากท่อ"/>
      <sheetName val="opera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>
        <row r="25">
          <cell r="BS25">
            <v>60</v>
          </cell>
        </row>
      </sheetData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นะนำ"/>
      <sheetName val="ปรับปรุง"/>
      <sheetName val="ข้อมูลโครงการ"/>
      <sheetName val="ประกาศ"/>
      <sheetName val="ข้อมูลขนส่ง"/>
      <sheetName val="ราคาวัสดุ"/>
      <sheetName val="ประกาศ2"/>
      <sheetName val="บัญชี2"/>
      <sheetName val="ปร.4"/>
      <sheetName val="ปร.5"/>
      <sheetName val="ต่อรอง"/>
      <sheetName val="หักค่าขนส่ง"/>
      <sheetName val="ราคากลาง ปร.4"/>
      <sheetName val="ราคากลาง ปร.5"/>
      <sheetName val="ปรับลด"/>
      <sheetName val="สรุปงวดงาน1"/>
      <sheetName val="งวดเงิน1"/>
      <sheetName val="รายการ"/>
      <sheetName val="หักลดค่าขนส่ง"/>
      <sheetName val="ใบสรุปแบ่งงวด"/>
      <sheetName val="งวดงาน box"/>
      <sheetName val="งวดงาน box1"/>
      <sheetName val="ค่างานต้นทุน"/>
      <sheetName val="บัญชีและรายการ"/>
      <sheetName val="ต้นทุนป้าย"/>
      <sheetName val="บ่อพัก"/>
      <sheetName val="ราง V"/>
      <sheetName val="ข30"/>
      <sheetName val="คสล."/>
      <sheetName val="box"/>
      <sheetName val="สน.สนาม"/>
      <sheetName val="พิมพ์เอกสาร"/>
      <sheetName val="ปร.5 ใส่ค่าเอง"/>
      <sheetName val="ใบสรุป"/>
      <sheetName val="ค่าเสื่อมราคา"/>
      <sheetName val="สิบล้อขนส่ง"/>
      <sheetName val="รถพ่วงขนส่ง"/>
      <sheetName val="หกล้อขนส่ง"/>
      <sheetName val="Factor47"/>
      <sheetName val="Factor_f"/>
      <sheetName val="คิดค่ากำแพงปากท่อ"/>
      <sheetName val="opera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>
        <row r="25">
          <cell r="BS25">
            <v>60</v>
          </cell>
        </row>
      </sheetData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นะนำ"/>
      <sheetName val="ปรับปรุง"/>
      <sheetName val="ข้อมูลโครงการ"/>
      <sheetName val="ประกาศ"/>
      <sheetName val="ข้อมูลขนส่ง"/>
      <sheetName val="ราคาวัสดุ"/>
      <sheetName val="ประกาศ2"/>
      <sheetName val="บัญชี2"/>
      <sheetName val="ปร.4"/>
      <sheetName val="ปร.5"/>
      <sheetName val="ต่อรอง"/>
      <sheetName val="หักค่าขนส่ง"/>
      <sheetName val="ราคากลาง ปร.4"/>
      <sheetName val="ราคากลาง ปร.5"/>
      <sheetName val="ปรับลด"/>
      <sheetName val="สรุปงวดงาน1"/>
      <sheetName val="งวดเงิน1"/>
      <sheetName val="รายการ"/>
      <sheetName val="หักลดค่าขนส่ง"/>
      <sheetName val="ใบสรุปแบ่งงวด"/>
      <sheetName val="งวดงาน box"/>
      <sheetName val="งวดงาน box1"/>
      <sheetName val="ค่างานต้นทุน"/>
      <sheetName val="บัญชีและรายการ"/>
      <sheetName val="ต้นทุนป้าย"/>
      <sheetName val="บ่อพัก"/>
      <sheetName val="ราง V"/>
      <sheetName val="ข30"/>
      <sheetName val="คสล."/>
      <sheetName val="box"/>
      <sheetName val="สน.สนาม"/>
      <sheetName val="พิมพ์เอกสาร"/>
      <sheetName val="ปร.5 ใส่ค่าเอง"/>
      <sheetName val="ใบสรุป"/>
      <sheetName val="ค่าเสื่อมราคา"/>
      <sheetName val="สิบล้อขนส่ง"/>
      <sheetName val="รถพ่วงขนส่ง"/>
      <sheetName val="หกล้อขนส่ง"/>
      <sheetName val="Factor47"/>
      <sheetName val="Factor_f"/>
      <sheetName val="คิดค่ากำแพงปากท่อ"/>
      <sheetName val="opera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>
        <row r="25">
          <cell r="BS25">
            <v>60</v>
          </cell>
        </row>
      </sheetData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สะพาน"/>
      <sheetName val="ปร.5"/>
      <sheetName val="ปร.4"/>
      <sheetName val="ราคาวัสดุ"/>
      <sheetName val="ข้อมูลคำนวณ"/>
      <sheetName val="ขนส่งด้วยรถพ่วง"/>
    </sheetNames>
    <sheetDataSet>
      <sheetData sheetId="0"/>
      <sheetData sheetId="1"/>
      <sheetData sheetId="2"/>
      <sheetData sheetId="3"/>
      <sheetData sheetId="4">
        <row r="21">
          <cell r="D21">
            <v>19.524999999999999</v>
          </cell>
          <cell r="J21">
            <v>25.23</v>
          </cell>
        </row>
        <row r="32">
          <cell r="D32">
            <v>32.234999999999999</v>
          </cell>
          <cell r="J32">
            <v>40.839999999999996</v>
          </cell>
        </row>
        <row r="43">
          <cell r="D43">
            <v>48.645000000000003</v>
          </cell>
          <cell r="J43">
            <v>54.050000000000004</v>
          </cell>
        </row>
        <row r="54">
          <cell r="D54">
            <v>70.86</v>
          </cell>
        </row>
      </sheetData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สะพาน"/>
      <sheetName val="ปร.5"/>
      <sheetName val="ปร.4"/>
      <sheetName val="ราคาวัสดุ"/>
      <sheetName val="ข้อมูลคำนวณ"/>
      <sheetName val="ขนส่งด้วยรถพ่วง"/>
    </sheetNames>
    <sheetDataSet>
      <sheetData sheetId="0"/>
      <sheetData sheetId="1"/>
      <sheetData sheetId="2"/>
      <sheetData sheetId="3"/>
      <sheetData sheetId="4">
        <row r="21">
          <cell r="D21">
            <v>19.524999999999999</v>
          </cell>
          <cell r="J21">
            <v>25.23</v>
          </cell>
        </row>
        <row r="32">
          <cell r="D32">
            <v>32.234999999999999</v>
          </cell>
          <cell r="J32">
            <v>40.839999999999996</v>
          </cell>
        </row>
        <row r="43">
          <cell r="D43">
            <v>48.645000000000003</v>
          </cell>
          <cell r="J43">
            <v>54.050000000000004</v>
          </cell>
        </row>
        <row r="54">
          <cell r="D54">
            <v>70.86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อกข้อมูล"/>
      <sheetName val="งานกำแพงปากท่อ"/>
      <sheetName val="กรอกราคาวัสดุ"/>
      <sheetName val="ค่างานต้นทุน"/>
      <sheetName val="ปร.5 ถนน"/>
      <sheetName val="รายการ"/>
      <sheetName val="ปร.4 ถนน"/>
      <sheetName val="ราคาป้าย"/>
      <sheetName val="แผนที่ขนส่ง111"/>
      <sheetName val="พื้นที่ผิว"/>
      <sheetName val="ปร.4 box1"/>
      <sheetName val="2-1.80X1.80"/>
      <sheetName val="ปร.4 box4"/>
      <sheetName val="2-2.40X2.40"/>
      <sheetName val="ปร.4 box2"/>
      <sheetName val="2-1.80X1.80 (2)"/>
      <sheetName val="ปร.4 box3"/>
      <sheetName val="3-3.00X3.00"/>
      <sheetName val="ราคากลาง"/>
      <sheetName val="บัญชี"/>
      <sheetName val="สรุปงวด"/>
      <sheetName val="งวดเงิน%"/>
      <sheetName val="ต่อรอง"/>
      <sheetName val="สรุปงวด (2)"/>
      <sheetName val="งวดเงิน(2)"/>
      <sheetName val="งานไฟฟ้า"/>
      <sheetName val="(F Road)"/>
      <sheetName val="F(Bridge)"/>
      <sheetName val="ทางเบี่ยง"/>
      <sheetName val="ดาด คสล."/>
      <sheetName val="รายละเอียด"/>
      <sheetName val="รางตัวv"/>
      <sheetName val="เสาเข็ม คสล."/>
      <sheetName val="เสาเข็มเจาะ"/>
      <sheetName val="ฐานแผ่ริมP1,6 "/>
      <sheetName val="ฐานแผ่กลางP2,5"/>
      <sheetName val="ตอม่อริม9 (2)"/>
      <sheetName val="ฐานแผ่กลางP3,4"/>
      <sheetName val="ตอม่อริม10 (2)"/>
      <sheetName val="ตอม่อกลาง8.5 (2)"/>
      <sheetName val="ตอม่อริม10"/>
      <sheetName val="ตอม่อริมP11"/>
      <sheetName val="ตอม่อกลาง9+8.5"/>
      <sheetName val="ตอม่อกลาง8.5+10"/>
      <sheetName val="ตอม่อกลาง10+10"/>
      <sheetName val="ตอม่อกลาง10+20"/>
      <sheetName val="ตอม่อกลาง10+20 (2)"/>
      <sheetName val="ตอม่อกลาง20+20"/>
      <sheetName val="ตอม่อกลาง20+20 (2)"/>
      <sheetName val="พื้นหล่อในที่"/>
      <sheetName val="ตอม่อริมP1,6"/>
      <sheetName val="ตอม่อกลางP2,5"/>
      <sheetName val="ตอม่อกลางP3,4"/>
      <sheetName val="Plankริม10"/>
      <sheetName val="Plankริม5"/>
      <sheetName val="Plankกลาง10"/>
      <sheetName val="Plankกลาง5.5"/>
      <sheetName val="เสาเข็ม คอร."/>
      <sheetName val="Plankติดตั้ง"/>
      <sheetName val="Boxริม"/>
      <sheetName val="Boxกลาง"/>
      <sheetName val="Boxติดตั้ง"/>
      <sheetName val="พื้นสำเร็จ"/>
      <sheetName val="I-GIRDER20"/>
      <sheetName val="คานขวาง"/>
      <sheetName val="TOPPING"/>
      <sheetName val="ทางเท้า 2ม."/>
      <sheetName val="เสาราว"/>
      <sheetName val="ประกาศ"/>
      <sheetName val="เสาราวสถาปัด"/>
      <sheetName val="ลาดทางเท้า"/>
      <sheetName val="แท่นเสาไฟฟ้า"/>
      <sheetName val="กำแพงกันดิน4ม."/>
      <sheetName val="คันหิน คสล."/>
      <sheetName val="ราวกันชน คสล."/>
      <sheetName val="รางเชิงลาด"/>
      <sheetName val="ป้ายชื่อสะพาน4.95x1.75ม."/>
      <sheetName val="ป้ายชื่อสะพาน5.0ม."/>
      <sheetName val="ป้ายชื่อสถาปัต4.10w-ราวบุแกรนิต"/>
      <sheetName val="งานไฟฟ้าHPS(H;9x2.6arm)"/>
      <sheetName val="APP"/>
      <sheetName val="SLOPE"/>
      <sheetName val="รื้อถอน"/>
      <sheetName val="รางระบายน้ำ-ข30"/>
      <sheetName val="บ่อพัก"/>
      <sheetName val="ข้อมูลคำนวณ"/>
      <sheetName val="ค่างานต้นทุนสะพาน"/>
      <sheetName val="ปร.4 สะพาน001"/>
      <sheetName val="อำนวยการ(Bridge)"/>
      <sheetName val="ดอกเบี้ย(Bridge)"/>
      <sheetName val="ดอกเบี้ย(Road)"/>
      <sheetName val="ปริมาณดิน"/>
      <sheetName val="งานดิน"/>
      <sheetName val="ข้อมูลดิบ"/>
      <sheetName val="ต้นทุนรายเดือน"/>
      <sheetName val="1.ป้ายจราจร"/>
      <sheetName val="2.สำนักงาน"/>
      <sheetName val="3.ค่าเช่ารถ"/>
      <sheetName val="4.ส่วนร่วม"/>
      <sheetName val="Oil"/>
      <sheetName val="ค่าเสื่อมราคา"/>
      <sheetName val="ข้อมูลสะพาน"/>
      <sheetName val="ท่อระบายน้ำ"/>
      <sheetName val="กำแพงปากท่อ"/>
      <sheetName val="ป้ายจราจร"/>
      <sheetName val="Winฯ-ทางเชื่อม "/>
      <sheetName val="อำนวยการ(Road)"/>
      <sheetName val="ขนาด ท่อ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10">
          <cell r="I210">
            <v>1</v>
          </cell>
        </row>
        <row r="212">
          <cell r="I212">
            <v>8.6199999999999992</v>
          </cell>
        </row>
        <row r="213">
          <cell r="I213">
            <v>8.6199999999999992</v>
          </cell>
        </row>
        <row r="299">
          <cell r="I299">
            <v>1445.51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>
        <row r="1">
          <cell r="G1">
            <v>10</v>
          </cell>
        </row>
        <row r="2">
          <cell r="G2">
            <v>3.8499999999999996</v>
          </cell>
        </row>
        <row r="4">
          <cell r="D4">
            <v>0.90400000000000003</v>
          </cell>
        </row>
        <row r="5">
          <cell r="D5">
            <v>1.2</v>
          </cell>
        </row>
        <row r="130">
          <cell r="D130">
            <v>326.97032799999999</v>
          </cell>
          <cell r="F130">
            <v>37.799999999999997</v>
          </cell>
          <cell r="H130">
            <v>508.5</v>
          </cell>
          <cell r="J130">
            <v>806.96046454400016</v>
          </cell>
          <cell r="L130">
            <v>0</v>
          </cell>
        </row>
      </sheetData>
      <sheetData sheetId="86" refreshError="1">
        <row r="53">
          <cell r="D53">
            <v>4</v>
          </cell>
        </row>
      </sheetData>
      <sheetData sheetId="87" refreshError="1">
        <row r="16">
          <cell r="I16">
            <v>803244</v>
          </cell>
        </row>
        <row r="36">
          <cell r="I36">
            <v>0</v>
          </cell>
        </row>
        <row r="52">
          <cell r="I52">
            <v>175312.12000000002</v>
          </cell>
        </row>
        <row r="68">
          <cell r="I68">
            <v>170228.75</v>
          </cell>
        </row>
        <row r="92">
          <cell r="I92">
            <v>0</v>
          </cell>
        </row>
        <row r="113">
          <cell r="I113">
            <v>755981.93</v>
          </cell>
        </row>
        <row r="130">
          <cell r="I130">
            <v>88500.750000000015</v>
          </cell>
        </row>
        <row r="139">
          <cell r="I139">
            <v>212014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>
        <row r="5">
          <cell r="B5">
            <v>1</v>
          </cell>
          <cell r="C5" t="str">
            <v>6.16</v>
          </cell>
          <cell r="D5">
            <v>8.6199999999999992</v>
          </cell>
          <cell r="E5">
            <v>0</v>
          </cell>
          <cell r="F5" t="str">
            <v>3.82</v>
          </cell>
          <cell r="G5">
            <v>5.35</v>
          </cell>
        </row>
        <row r="6">
          <cell r="B6">
            <v>2</v>
          </cell>
          <cell r="C6" t="str">
            <v>7.59</v>
          </cell>
          <cell r="D6">
            <v>10.63</v>
          </cell>
          <cell r="E6">
            <v>0</v>
          </cell>
          <cell r="F6" t="str">
            <v>4.92</v>
          </cell>
          <cell r="G6">
            <v>6.89</v>
          </cell>
        </row>
        <row r="7">
          <cell r="B7">
            <v>3</v>
          </cell>
          <cell r="C7" t="str">
            <v>9.02</v>
          </cell>
          <cell r="D7">
            <v>12.63</v>
          </cell>
          <cell r="E7">
            <v>0</v>
          </cell>
          <cell r="F7" t="str">
            <v>6.03</v>
          </cell>
          <cell r="G7">
            <v>8.44</v>
          </cell>
        </row>
        <row r="8">
          <cell r="B8">
            <v>4</v>
          </cell>
          <cell r="C8" t="str">
            <v>10.45</v>
          </cell>
          <cell r="D8">
            <v>14.63</v>
          </cell>
          <cell r="E8">
            <v>0</v>
          </cell>
          <cell r="F8" t="str">
            <v>7.13</v>
          </cell>
          <cell r="G8">
            <v>9.98</v>
          </cell>
        </row>
        <row r="9">
          <cell r="B9">
            <v>5</v>
          </cell>
          <cell r="C9" t="str">
            <v>11.88</v>
          </cell>
          <cell r="D9">
            <v>16.63</v>
          </cell>
          <cell r="E9">
            <v>0</v>
          </cell>
          <cell r="F9" t="str">
            <v>8.23</v>
          </cell>
          <cell r="G9">
            <v>11.52</v>
          </cell>
        </row>
        <row r="10">
          <cell r="B10">
            <v>6</v>
          </cell>
          <cell r="C10" t="str">
            <v>13.3</v>
          </cell>
          <cell r="D10">
            <v>18.62</v>
          </cell>
          <cell r="E10">
            <v>0</v>
          </cell>
          <cell r="F10" t="str">
            <v>9.34</v>
          </cell>
          <cell r="G10">
            <v>13.08</v>
          </cell>
        </row>
        <row r="11">
          <cell r="B11">
            <v>7</v>
          </cell>
          <cell r="C11" t="str">
            <v>14.73</v>
          </cell>
          <cell r="D11">
            <v>20.62</v>
          </cell>
          <cell r="E11">
            <v>0</v>
          </cell>
          <cell r="F11" t="str">
            <v>10.44</v>
          </cell>
          <cell r="G11">
            <v>14.62</v>
          </cell>
        </row>
        <row r="12">
          <cell r="B12">
            <v>8</v>
          </cell>
          <cell r="C12" t="str">
            <v>16.34</v>
          </cell>
          <cell r="D12">
            <v>22.88</v>
          </cell>
          <cell r="E12">
            <v>0</v>
          </cell>
          <cell r="F12" t="str">
            <v>11.54</v>
          </cell>
          <cell r="G12">
            <v>16.16</v>
          </cell>
        </row>
        <row r="13">
          <cell r="B13">
            <v>9</v>
          </cell>
          <cell r="C13" t="str">
            <v>18.26</v>
          </cell>
          <cell r="D13">
            <v>25.56</v>
          </cell>
          <cell r="E13">
            <v>0</v>
          </cell>
          <cell r="F13" t="str">
            <v>12.65</v>
          </cell>
          <cell r="G13">
            <v>17.71</v>
          </cell>
        </row>
        <row r="14">
          <cell r="B14">
            <v>10</v>
          </cell>
          <cell r="C14" t="str">
            <v>20.19</v>
          </cell>
          <cell r="D14">
            <v>28.27</v>
          </cell>
          <cell r="E14">
            <v>0</v>
          </cell>
          <cell r="F14" t="str">
            <v>13.75</v>
          </cell>
          <cell r="G14">
            <v>19.25</v>
          </cell>
        </row>
        <row r="15">
          <cell r="B15">
            <v>11</v>
          </cell>
          <cell r="C15" t="str">
            <v>22.11</v>
          </cell>
          <cell r="D15">
            <v>30.95</v>
          </cell>
          <cell r="E15">
            <v>0</v>
          </cell>
          <cell r="F15" t="str">
            <v>14.85</v>
          </cell>
          <cell r="G15">
            <v>20.79</v>
          </cell>
        </row>
        <row r="16">
          <cell r="B16">
            <v>12</v>
          </cell>
          <cell r="C16" t="str">
            <v>24.03</v>
          </cell>
          <cell r="D16">
            <v>33.64</v>
          </cell>
          <cell r="E16">
            <v>0</v>
          </cell>
          <cell r="F16" t="str">
            <v>15.96</v>
          </cell>
          <cell r="G16">
            <v>22.34</v>
          </cell>
        </row>
        <row r="17">
          <cell r="B17">
            <v>13</v>
          </cell>
          <cell r="C17" t="str">
            <v>25.96</v>
          </cell>
          <cell r="D17">
            <v>36.340000000000003</v>
          </cell>
          <cell r="E17">
            <v>0</v>
          </cell>
          <cell r="F17" t="str">
            <v>17.06</v>
          </cell>
          <cell r="G17">
            <v>23.88</v>
          </cell>
        </row>
        <row r="18">
          <cell r="B18">
            <v>14</v>
          </cell>
          <cell r="C18" t="str">
            <v>27.88</v>
          </cell>
          <cell r="D18">
            <v>39.03</v>
          </cell>
          <cell r="E18">
            <v>0</v>
          </cell>
          <cell r="F18" t="str">
            <v>18.16</v>
          </cell>
          <cell r="G18">
            <v>25.42</v>
          </cell>
        </row>
        <row r="19">
          <cell r="B19">
            <v>15</v>
          </cell>
          <cell r="C19" t="str">
            <v>29.81</v>
          </cell>
          <cell r="D19">
            <v>41.73</v>
          </cell>
          <cell r="E19">
            <v>0</v>
          </cell>
          <cell r="F19" t="str">
            <v>19.32</v>
          </cell>
          <cell r="G19">
            <v>27.05</v>
          </cell>
        </row>
        <row r="20">
          <cell r="B20">
            <v>16</v>
          </cell>
          <cell r="C20" t="str">
            <v>31.73</v>
          </cell>
          <cell r="D20">
            <v>44.42</v>
          </cell>
          <cell r="E20">
            <v>0</v>
          </cell>
          <cell r="F20" t="str">
            <v>20.57</v>
          </cell>
          <cell r="G20">
            <v>28.8</v>
          </cell>
        </row>
        <row r="21">
          <cell r="B21">
            <v>17</v>
          </cell>
          <cell r="C21" t="str">
            <v>33.66</v>
          </cell>
          <cell r="D21">
            <v>47.12</v>
          </cell>
          <cell r="E21">
            <v>0</v>
          </cell>
          <cell r="F21" t="str">
            <v>21.82</v>
          </cell>
          <cell r="G21">
            <v>30.55</v>
          </cell>
        </row>
        <row r="22">
          <cell r="B22">
            <v>18</v>
          </cell>
          <cell r="C22" t="str">
            <v>35.58</v>
          </cell>
          <cell r="D22">
            <v>49.81</v>
          </cell>
          <cell r="E22">
            <v>0</v>
          </cell>
          <cell r="F22" t="str">
            <v>23.07</v>
          </cell>
          <cell r="G22">
            <v>32.299999999999997</v>
          </cell>
        </row>
        <row r="23">
          <cell r="B23">
            <v>19</v>
          </cell>
          <cell r="C23" t="str">
            <v>37.51</v>
          </cell>
          <cell r="D23">
            <v>52.51</v>
          </cell>
          <cell r="E23">
            <v>0</v>
          </cell>
          <cell r="F23" t="str">
            <v>24.32</v>
          </cell>
          <cell r="G23">
            <v>34.049999999999997</v>
          </cell>
        </row>
        <row r="24">
          <cell r="B24">
            <v>20</v>
          </cell>
          <cell r="C24" t="str">
            <v>39.43</v>
          </cell>
          <cell r="D24">
            <v>55.2</v>
          </cell>
          <cell r="E24">
            <v>0</v>
          </cell>
          <cell r="F24" t="str">
            <v>25.57</v>
          </cell>
          <cell r="G24">
            <v>35.799999999999997</v>
          </cell>
        </row>
        <row r="25">
          <cell r="B25">
            <v>21</v>
          </cell>
          <cell r="C25" t="str">
            <v>41.35</v>
          </cell>
          <cell r="D25">
            <v>57.89</v>
          </cell>
          <cell r="E25">
            <v>0</v>
          </cell>
          <cell r="F25" t="str">
            <v>26.83</v>
          </cell>
          <cell r="G25">
            <v>37.56</v>
          </cell>
        </row>
        <row r="26">
          <cell r="B26">
            <v>22</v>
          </cell>
          <cell r="C26" t="str">
            <v>43.28</v>
          </cell>
          <cell r="D26">
            <v>60.59</v>
          </cell>
          <cell r="E26">
            <v>0</v>
          </cell>
          <cell r="F26" t="str">
            <v>28.08</v>
          </cell>
          <cell r="G26">
            <v>39.31</v>
          </cell>
        </row>
        <row r="27">
          <cell r="B27">
            <v>23</v>
          </cell>
          <cell r="C27" t="str">
            <v>45.2</v>
          </cell>
          <cell r="D27">
            <v>63.28</v>
          </cell>
          <cell r="E27">
            <v>0</v>
          </cell>
          <cell r="F27" t="str">
            <v>29.33</v>
          </cell>
          <cell r="G27">
            <v>41.06</v>
          </cell>
        </row>
        <row r="28">
          <cell r="B28">
            <v>24</v>
          </cell>
          <cell r="C28" t="str">
            <v>47.13</v>
          </cell>
          <cell r="D28">
            <v>65.98</v>
          </cell>
          <cell r="E28">
            <v>0</v>
          </cell>
          <cell r="F28" t="str">
            <v>30.58</v>
          </cell>
          <cell r="G28">
            <v>42.81</v>
          </cell>
        </row>
        <row r="29">
          <cell r="B29">
            <v>25</v>
          </cell>
          <cell r="C29" t="str">
            <v>49.06</v>
          </cell>
          <cell r="D29">
            <v>68.680000000000007</v>
          </cell>
          <cell r="E29">
            <v>0</v>
          </cell>
          <cell r="F29" t="str">
            <v>31.83</v>
          </cell>
          <cell r="G29">
            <v>44.56</v>
          </cell>
        </row>
        <row r="30">
          <cell r="B30">
            <v>26</v>
          </cell>
          <cell r="C30" t="str">
            <v>50.98</v>
          </cell>
          <cell r="D30">
            <v>71.37</v>
          </cell>
          <cell r="E30">
            <v>0</v>
          </cell>
          <cell r="F30" t="str">
            <v>33.08</v>
          </cell>
          <cell r="G30">
            <v>46.31</v>
          </cell>
        </row>
        <row r="31">
          <cell r="B31">
            <v>27</v>
          </cell>
          <cell r="C31" t="str">
            <v>52.9</v>
          </cell>
          <cell r="D31">
            <v>74.06</v>
          </cell>
          <cell r="E31">
            <v>0</v>
          </cell>
          <cell r="F31" t="str">
            <v>34.34</v>
          </cell>
          <cell r="G31">
            <v>48.08</v>
          </cell>
        </row>
        <row r="32">
          <cell r="B32">
            <v>28</v>
          </cell>
          <cell r="C32" t="str">
            <v>54.83</v>
          </cell>
          <cell r="D32">
            <v>76.760000000000005</v>
          </cell>
          <cell r="E32">
            <v>0</v>
          </cell>
          <cell r="F32" t="str">
            <v>35.59</v>
          </cell>
          <cell r="G32">
            <v>49.83</v>
          </cell>
        </row>
        <row r="33">
          <cell r="B33">
            <v>29</v>
          </cell>
          <cell r="C33" t="str">
            <v>56.74</v>
          </cell>
          <cell r="D33">
            <v>79.44</v>
          </cell>
          <cell r="E33">
            <v>0</v>
          </cell>
          <cell r="F33" t="str">
            <v>36.84</v>
          </cell>
          <cell r="G33">
            <v>51.58</v>
          </cell>
        </row>
        <row r="34">
          <cell r="B34">
            <v>30</v>
          </cell>
          <cell r="C34" t="str">
            <v>58.68</v>
          </cell>
          <cell r="D34">
            <v>82.15</v>
          </cell>
          <cell r="E34">
            <v>0</v>
          </cell>
          <cell r="F34" t="str">
            <v>38.09</v>
          </cell>
          <cell r="G34">
            <v>53.33</v>
          </cell>
        </row>
        <row r="35">
          <cell r="B35">
            <v>31</v>
          </cell>
          <cell r="C35" t="str">
            <v>60.59</v>
          </cell>
          <cell r="D35">
            <v>84.83</v>
          </cell>
          <cell r="E35">
            <v>0</v>
          </cell>
          <cell r="F35" t="str">
            <v>39.34</v>
          </cell>
          <cell r="G35">
            <v>55.08</v>
          </cell>
        </row>
        <row r="36">
          <cell r="B36">
            <v>32</v>
          </cell>
          <cell r="C36" t="str">
            <v>62.53</v>
          </cell>
          <cell r="D36">
            <v>87.54</v>
          </cell>
          <cell r="E36">
            <v>0</v>
          </cell>
          <cell r="F36" t="str">
            <v>40.59</v>
          </cell>
          <cell r="G36">
            <v>56.83</v>
          </cell>
        </row>
        <row r="37">
          <cell r="B37">
            <v>33</v>
          </cell>
          <cell r="C37" t="str">
            <v>64.45</v>
          </cell>
          <cell r="D37">
            <v>90.23</v>
          </cell>
          <cell r="E37">
            <v>0</v>
          </cell>
          <cell r="F37" t="str">
            <v>41.85</v>
          </cell>
          <cell r="G37">
            <v>58.59</v>
          </cell>
        </row>
        <row r="38">
          <cell r="B38">
            <v>34</v>
          </cell>
          <cell r="C38" t="str">
            <v>66.38</v>
          </cell>
          <cell r="D38">
            <v>92.93</v>
          </cell>
          <cell r="E38">
            <v>0</v>
          </cell>
          <cell r="F38" t="str">
            <v>43.1</v>
          </cell>
          <cell r="G38">
            <v>60.34</v>
          </cell>
        </row>
        <row r="39">
          <cell r="B39">
            <v>35</v>
          </cell>
          <cell r="C39" t="str">
            <v>68.29</v>
          </cell>
          <cell r="D39">
            <v>95.61</v>
          </cell>
          <cell r="E39">
            <v>0</v>
          </cell>
          <cell r="F39" t="str">
            <v>44.35</v>
          </cell>
          <cell r="G39">
            <v>62.09</v>
          </cell>
        </row>
        <row r="40">
          <cell r="B40">
            <v>36</v>
          </cell>
          <cell r="C40" t="str">
            <v>70.22</v>
          </cell>
          <cell r="D40">
            <v>98.31</v>
          </cell>
          <cell r="E40">
            <v>0</v>
          </cell>
          <cell r="F40" t="str">
            <v>45.6</v>
          </cell>
          <cell r="G40">
            <v>63.84</v>
          </cell>
        </row>
        <row r="41">
          <cell r="B41">
            <v>37</v>
          </cell>
          <cell r="C41" t="str">
            <v>72.15</v>
          </cell>
          <cell r="D41">
            <v>101.01</v>
          </cell>
          <cell r="E41">
            <v>0</v>
          </cell>
          <cell r="F41" t="str">
            <v>46.85</v>
          </cell>
          <cell r="G41">
            <v>65.59</v>
          </cell>
        </row>
        <row r="42">
          <cell r="B42">
            <v>38</v>
          </cell>
          <cell r="C42" t="str">
            <v>74.08</v>
          </cell>
          <cell r="D42">
            <v>103.71</v>
          </cell>
          <cell r="E42">
            <v>0</v>
          </cell>
          <cell r="F42" t="str">
            <v>48.1</v>
          </cell>
          <cell r="G42">
            <v>67.34</v>
          </cell>
        </row>
        <row r="43">
          <cell r="B43">
            <v>39</v>
          </cell>
          <cell r="C43" t="str">
            <v>76</v>
          </cell>
          <cell r="D43">
            <v>106.4</v>
          </cell>
          <cell r="E43">
            <v>0</v>
          </cell>
          <cell r="F43" t="str">
            <v>49.36</v>
          </cell>
          <cell r="G43">
            <v>69.099999999999994</v>
          </cell>
        </row>
        <row r="44">
          <cell r="B44">
            <v>40</v>
          </cell>
          <cell r="C44" t="str">
            <v>77.92</v>
          </cell>
          <cell r="D44">
            <v>109.09</v>
          </cell>
          <cell r="E44">
            <v>0</v>
          </cell>
          <cell r="F44" t="str">
            <v>50.61</v>
          </cell>
          <cell r="G44">
            <v>70.849999999999994</v>
          </cell>
        </row>
        <row r="45">
          <cell r="B45">
            <v>41</v>
          </cell>
          <cell r="C45" t="str">
            <v>79.85</v>
          </cell>
          <cell r="D45">
            <v>111.79</v>
          </cell>
          <cell r="E45">
            <v>0</v>
          </cell>
          <cell r="F45" t="str">
            <v>51.86</v>
          </cell>
          <cell r="G45">
            <v>72.599999999999994</v>
          </cell>
        </row>
        <row r="46">
          <cell r="B46">
            <v>42</v>
          </cell>
          <cell r="C46" t="str">
            <v>81.78</v>
          </cell>
          <cell r="D46">
            <v>114.49</v>
          </cell>
          <cell r="E46">
            <v>0</v>
          </cell>
          <cell r="F46" t="str">
            <v>53.12</v>
          </cell>
          <cell r="G46">
            <v>74.37</v>
          </cell>
        </row>
        <row r="47">
          <cell r="B47">
            <v>43</v>
          </cell>
          <cell r="C47" t="str">
            <v>83.69</v>
          </cell>
          <cell r="D47">
            <v>117.17</v>
          </cell>
          <cell r="E47">
            <v>0</v>
          </cell>
          <cell r="F47" t="str">
            <v>54.36</v>
          </cell>
          <cell r="G47">
            <v>76.099999999999994</v>
          </cell>
        </row>
        <row r="48">
          <cell r="B48">
            <v>44</v>
          </cell>
          <cell r="C48" t="str">
            <v>85.62</v>
          </cell>
          <cell r="D48">
            <v>119.87</v>
          </cell>
          <cell r="E48">
            <v>0</v>
          </cell>
          <cell r="F48" t="str">
            <v>55.62</v>
          </cell>
          <cell r="G48">
            <v>77.87</v>
          </cell>
        </row>
        <row r="49">
          <cell r="B49">
            <v>45</v>
          </cell>
          <cell r="C49" t="str">
            <v>87.54</v>
          </cell>
          <cell r="D49">
            <v>122.56</v>
          </cell>
          <cell r="E49">
            <v>0</v>
          </cell>
          <cell r="F49" t="str">
            <v>56.87</v>
          </cell>
          <cell r="G49">
            <v>79.62</v>
          </cell>
        </row>
        <row r="50">
          <cell r="B50">
            <v>46</v>
          </cell>
          <cell r="C50" t="str">
            <v>89.47</v>
          </cell>
          <cell r="D50">
            <v>125.26</v>
          </cell>
          <cell r="E50">
            <v>0</v>
          </cell>
          <cell r="F50" t="str">
            <v>58.12</v>
          </cell>
          <cell r="G50">
            <v>81.37</v>
          </cell>
        </row>
        <row r="51">
          <cell r="B51">
            <v>47</v>
          </cell>
          <cell r="C51" t="str">
            <v>91.39</v>
          </cell>
          <cell r="D51">
            <v>127.95</v>
          </cell>
          <cell r="E51">
            <v>0</v>
          </cell>
          <cell r="F51" t="str">
            <v>59.37</v>
          </cell>
          <cell r="G51">
            <v>83.12</v>
          </cell>
        </row>
        <row r="52">
          <cell r="B52">
            <v>48</v>
          </cell>
          <cell r="C52" t="str">
            <v>93.32</v>
          </cell>
          <cell r="D52">
            <v>130.65</v>
          </cell>
          <cell r="E52">
            <v>0</v>
          </cell>
          <cell r="F52" t="str">
            <v>60.62</v>
          </cell>
          <cell r="G52">
            <v>84.87</v>
          </cell>
        </row>
        <row r="53">
          <cell r="B53">
            <v>49</v>
          </cell>
          <cell r="C53" t="str">
            <v>95.23</v>
          </cell>
          <cell r="D53">
            <v>133.32</v>
          </cell>
          <cell r="E53">
            <v>0</v>
          </cell>
          <cell r="F53" t="str">
            <v>61.87</v>
          </cell>
          <cell r="G53">
            <v>86.62</v>
          </cell>
        </row>
        <row r="54">
          <cell r="B54">
            <v>50</v>
          </cell>
          <cell r="C54" t="str">
            <v>97.15</v>
          </cell>
          <cell r="D54">
            <v>136.01</v>
          </cell>
          <cell r="E54">
            <v>0</v>
          </cell>
          <cell r="F54" t="str">
            <v>63.13</v>
          </cell>
          <cell r="G54">
            <v>88.38</v>
          </cell>
        </row>
        <row r="55">
          <cell r="B55">
            <v>51</v>
          </cell>
          <cell r="C55" t="str">
            <v>99.09</v>
          </cell>
          <cell r="D55">
            <v>138.72999999999999</v>
          </cell>
          <cell r="E55">
            <v>0</v>
          </cell>
          <cell r="F55" t="str">
            <v>64.38</v>
          </cell>
          <cell r="G55">
            <v>90.13</v>
          </cell>
        </row>
        <row r="56">
          <cell r="B56">
            <v>52</v>
          </cell>
          <cell r="C56" t="str">
            <v>101</v>
          </cell>
          <cell r="D56">
            <v>141.4</v>
          </cell>
          <cell r="E56">
            <v>0</v>
          </cell>
          <cell r="F56" t="str">
            <v>65.63</v>
          </cell>
          <cell r="G56">
            <v>91.88</v>
          </cell>
        </row>
        <row r="57">
          <cell r="B57">
            <v>53</v>
          </cell>
          <cell r="C57" t="str">
            <v>102.93</v>
          </cell>
          <cell r="D57">
            <v>144.1</v>
          </cell>
          <cell r="E57">
            <v>0</v>
          </cell>
          <cell r="F57" t="str">
            <v>66.88</v>
          </cell>
          <cell r="G57">
            <v>93.63</v>
          </cell>
        </row>
        <row r="58">
          <cell r="B58">
            <v>54</v>
          </cell>
          <cell r="C58" t="str">
            <v>104.87</v>
          </cell>
          <cell r="D58">
            <v>146.82</v>
          </cell>
          <cell r="E58">
            <v>0</v>
          </cell>
          <cell r="F58" t="str">
            <v>68.13</v>
          </cell>
          <cell r="G58">
            <v>95.38</v>
          </cell>
        </row>
        <row r="59">
          <cell r="B59">
            <v>55</v>
          </cell>
          <cell r="C59" t="str">
            <v>106.78</v>
          </cell>
          <cell r="D59">
            <v>149.49</v>
          </cell>
          <cell r="E59">
            <v>0</v>
          </cell>
          <cell r="F59" t="str">
            <v>69.39</v>
          </cell>
          <cell r="G59">
            <v>97.15</v>
          </cell>
        </row>
        <row r="60">
          <cell r="B60">
            <v>56</v>
          </cell>
          <cell r="C60" t="str">
            <v>108.7</v>
          </cell>
          <cell r="D60">
            <v>152.18</v>
          </cell>
          <cell r="E60">
            <v>0</v>
          </cell>
          <cell r="F60" t="str">
            <v>70.63</v>
          </cell>
          <cell r="G60">
            <v>98.88</v>
          </cell>
        </row>
        <row r="61">
          <cell r="B61">
            <v>57</v>
          </cell>
          <cell r="C61" t="str">
            <v>110.63</v>
          </cell>
          <cell r="D61">
            <v>154.88</v>
          </cell>
          <cell r="E61">
            <v>0</v>
          </cell>
          <cell r="F61" t="str">
            <v>71.88</v>
          </cell>
          <cell r="G61">
            <v>100.63</v>
          </cell>
        </row>
        <row r="62">
          <cell r="B62">
            <v>58</v>
          </cell>
          <cell r="C62" t="str">
            <v>112.58</v>
          </cell>
          <cell r="D62">
            <v>157.61000000000001</v>
          </cell>
          <cell r="E62">
            <v>0</v>
          </cell>
          <cell r="F62" t="str">
            <v>73.13</v>
          </cell>
          <cell r="G62">
            <v>102.38</v>
          </cell>
        </row>
        <row r="63">
          <cell r="B63">
            <v>59</v>
          </cell>
          <cell r="C63" t="str">
            <v>114.49</v>
          </cell>
          <cell r="D63">
            <v>160.29</v>
          </cell>
          <cell r="E63">
            <v>0</v>
          </cell>
          <cell r="F63" t="str">
            <v>74.39</v>
          </cell>
          <cell r="G63">
            <v>104.15</v>
          </cell>
        </row>
        <row r="64">
          <cell r="B64">
            <v>60</v>
          </cell>
          <cell r="C64" t="str">
            <v>116.41</v>
          </cell>
          <cell r="D64">
            <v>162.97</v>
          </cell>
          <cell r="E64">
            <v>0</v>
          </cell>
          <cell r="F64" t="str">
            <v>75.65</v>
          </cell>
          <cell r="G64">
            <v>105.91</v>
          </cell>
        </row>
        <row r="65">
          <cell r="B65">
            <v>61</v>
          </cell>
          <cell r="C65" t="str">
            <v>118.34</v>
          </cell>
          <cell r="D65">
            <v>165.68</v>
          </cell>
          <cell r="E65">
            <v>0</v>
          </cell>
          <cell r="F65" t="str">
            <v>76.9</v>
          </cell>
          <cell r="G65">
            <v>107.66</v>
          </cell>
        </row>
        <row r="66">
          <cell r="B66">
            <v>62</v>
          </cell>
          <cell r="C66" t="str">
            <v>120.29</v>
          </cell>
          <cell r="D66">
            <v>168.41</v>
          </cell>
          <cell r="E66">
            <v>0</v>
          </cell>
          <cell r="F66" t="str">
            <v>78.15</v>
          </cell>
          <cell r="G66">
            <v>109.41</v>
          </cell>
        </row>
        <row r="67">
          <cell r="B67">
            <v>63</v>
          </cell>
          <cell r="C67" t="str">
            <v>122.19</v>
          </cell>
          <cell r="D67">
            <v>171.07</v>
          </cell>
          <cell r="E67">
            <v>0</v>
          </cell>
          <cell r="F67" t="str">
            <v>79.4</v>
          </cell>
          <cell r="G67">
            <v>111.16</v>
          </cell>
        </row>
        <row r="68">
          <cell r="B68">
            <v>64</v>
          </cell>
          <cell r="C68" t="str">
            <v>124.1</v>
          </cell>
          <cell r="D68">
            <v>173.74</v>
          </cell>
          <cell r="E68">
            <v>0</v>
          </cell>
          <cell r="F68" t="str">
            <v>80.65</v>
          </cell>
          <cell r="G68">
            <v>112.91</v>
          </cell>
        </row>
        <row r="69">
          <cell r="B69">
            <v>65</v>
          </cell>
          <cell r="C69" t="str">
            <v>126.02</v>
          </cell>
          <cell r="D69">
            <v>176.43</v>
          </cell>
          <cell r="E69">
            <v>0</v>
          </cell>
          <cell r="F69" t="str">
            <v>81.89</v>
          </cell>
          <cell r="G69">
            <v>114.65</v>
          </cell>
        </row>
        <row r="70">
          <cell r="B70">
            <v>66</v>
          </cell>
          <cell r="C70" t="str">
            <v>127.95</v>
          </cell>
          <cell r="D70">
            <v>179.13</v>
          </cell>
          <cell r="E70">
            <v>0</v>
          </cell>
          <cell r="F70" t="str">
            <v>83.16</v>
          </cell>
          <cell r="G70">
            <v>116.42</v>
          </cell>
        </row>
        <row r="71">
          <cell r="B71">
            <v>67</v>
          </cell>
          <cell r="C71" t="str">
            <v>129.89</v>
          </cell>
          <cell r="D71">
            <v>181.85</v>
          </cell>
          <cell r="E71">
            <v>0</v>
          </cell>
          <cell r="F71" t="str">
            <v>84.4</v>
          </cell>
          <cell r="G71">
            <v>118.16</v>
          </cell>
        </row>
        <row r="72">
          <cell r="B72">
            <v>68</v>
          </cell>
          <cell r="C72" t="str">
            <v>131.78</v>
          </cell>
          <cell r="D72">
            <v>184.49</v>
          </cell>
          <cell r="E72">
            <v>0</v>
          </cell>
          <cell r="F72" t="str">
            <v>85.65</v>
          </cell>
          <cell r="G72">
            <v>119.91</v>
          </cell>
        </row>
        <row r="73">
          <cell r="B73">
            <v>69</v>
          </cell>
          <cell r="C73" t="str">
            <v>133.75</v>
          </cell>
          <cell r="D73">
            <v>187.25</v>
          </cell>
          <cell r="E73">
            <v>0</v>
          </cell>
          <cell r="F73" t="str">
            <v>86.9</v>
          </cell>
          <cell r="G73">
            <v>121.66</v>
          </cell>
        </row>
        <row r="74">
          <cell r="B74">
            <v>70</v>
          </cell>
          <cell r="C74" t="str">
            <v>135.65</v>
          </cell>
          <cell r="D74">
            <v>189.91</v>
          </cell>
          <cell r="E74">
            <v>0</v>
          </cell>
          <cell r="F74" t="str">
            <v>88.16</v>
          </cell>
          <cell r="G74">
            <v>123.42</v>
          </cell>
        </row>
        <row r="75">
          <cell r="B75">
            <v>71</v>
          </cell>
          <cell r="C75" t="str">
            <v>137.57</v>
          </cell>
          <cell r="D75">
            <v>192.6</v>
          </cell>
          <cell r="E75">
            <v>0</v>
          </cell>
          <cell r="F75" t="str">
            <v>89.41</v>
          </cell>
          <cell r="G75">
            <v>125.17</v>
          </cell>
        </row>
        <row r="76">
          <cell r="B76">
            <v>72</v>
          </cell>
          <cell r="C76" t="str">
            <v>139.5</v>
          </cell>
          <cell r="D76">
            <v>195.3</v>
          </cell>
          <cell r="E76">
            <v>0</v>
          </cell>
          <cell r="F76" t="str">
            <v>90.67</v>
          </cell>
          <cell r="G76">
            <v>126.94</v>
          </cell>
        </row>
        <row r="77">
          <cell r="B77">
            <v>73</v>
          </cell>
          <cell r="C77" t="str">
            <v>141.43</v>
          </cell>
          <cell r="D77">
            <v>198</v>
          </cell>
          <cell r="E77">
            <v>0</v>
          </cell>
          <cell r="F77" t="str">
            <v>91.91</v>
          </cell>
          <cell r="G77">
            <v>128.66999999999999</v>
          </cell>
        </row>
        <row r="78">
          <cell r="B78">
            <v>74</v>
          </cell>
          <cell r="C78" t="str">
            <v>143.38</v>
          </cell>
          <cell r="D78">
            <v>200.73</v>
          </cell>
          <cell r="E78">
            <v>0</v>
          </cell>
          <cell r="F78" t="str">
            <v>93.18</v>
          </cell>
          <cell r="G78">
            <v>130.44999999999999</v>
          </cell>
        </row>
        <row r="79">
          <cell r="B79">
            <v>75</v>
          </cell>
          <cell r="C79" t="str">
            <v>145.26</v>
          </cell>
          <cell r="D79">
            <v>203.36</v>
          </cell>
          <cell r="E79">
            <v>0</v>
          </cell>
          <cell r="F79" t="str">
            <v>94.42</v>
          </cell>
          <cell r="G79">
            <v>132.19</v>
          </cell>
        </row>
        <row r="80">
          <cell r="B80">
            <v>76</v>
          </cell>
          <cell r="C80" t="str">
            <v>147.23</v>
          </cell>
          <cell r="D80">
            <v>206.12</v>
          </cell>
          <cell r="E80">
            <v>0</v>
          </cell>
          <cell r="F80" t="str">
            <v>95.67</v>
          </cell>
          <cell r="G80">
            <v>133.94</v>
          </cell>
        </row>
        <row r="81">
          <cell r="B81">
            <v>77</v>
          </cell>
          <cell r="C81" t="str">
            <v>149.12</v>
          </cell>
          <cell r="D81">
            <v>208.77</v>
          </cell>
          <cell r="E81">
            <v>0</v>
          </cell>
          <cell r="F81" t="str">
            <v>96.92</v>
          </cell>
          <cell r="G81">
            <v>135.69</v>
          </cell>
        </row>
        <row r="82">
          <cell r="B82">
            <v>78</v>
          </cell>
          <cell r="C82" t="str">
            <v>151.03</v>
          </cell>
          <cell r="D82">
            <v>211.44</v>
          </cell>
          <cell r="E82">
            <v>0</v>
          </cell>
          <cell r="F82" t="str">
            <v>98.17</v>
          </cell>
          <cell r="G82">
            <v>137.44</v>
          </cell>
        </row>
        <row r="83">
          <cell r="B83">
            <v>79</v>
          </cell>
          <cell r="C83" t="str">
            <v>153.02</v>
          </cell>
          <cell r="D83">
            <v>214.23</v>
          </cell>
          <cell r="E83">
            <v>0</v>
          </cell>
          <cell r="F83" t="str">
            <v>99.43</v>
          </cell>
          <cell r="G83">
            <v>139.19999999999999</v>
          </cell>
        </row>
        <row r="84">
          <cell r="B84">
            <v>80</v>
          </cell>
          <cell r="C84" t="str">
            <v>154.94</v>
          </cell>
          <cell r="D84">
            <v>216.92</v>
          </cell>
          <cell r="E84">
            <v>0</v>
          </cell>
          <cell r="F84" t="str">
            <v>100.68</v>
          </cell>
          <cell r="G84">
            <v>140.94999999999999</v>
          </cell>
        </row>
        <row r="85">
          <cell r="B85">
            <v>81</v>
          </cell>
          <cell r="C85" t="str">
            <v>156.87</v>
          </cell>
          <cell r="D85">
            <v>219.62</v>
          </cell>
          <cell r="E85">
            <v>0</v>
          </cell>
          <cell r="F85" t="str">
            <v>101.94</v>
          </cell>
          <cell r="G85">
            <v>142.72</v>
          </cell>
        </row>
        <row r="86">
          <cell r="B86">
            <v>82</v>
          </cell>
          <cell r="C86" t="str">
            <v>158.72</v>
          </cell>
          <cell r="D86">
            <v>222.21</v>
          </cell>
          <cell r="E86">
            <v>0</v>
          </cell>
          <cell r="F86" t="str">
            <v>103.18</v>
          </cell>
          <cell r="G86">
            <v>144.44999999999999</v>
          </cell>
        </row>
        <row r="87">
          <cell r="B87">
            <v>83</v>
          </cell>
          <cell r="C87" t="str">
            <v>160.67</v>
          </cell>
          <cell r="D87">
            <v>224.94</v>
          </cell>
          <cell r="E87">
            <v>0</v>
          </cell>
          <cell r="F87" t="str">
            <v>104.44</v>
          </cell>
          <cell r="G87">
            <v>146.22</v>
          </cell>
        </row>
        <row r="88">
          <cell r="B88">
            <v>84</v>
          </cell>
          <cell r="C88" t="str">
            <v>162.62</v>
          </cell>
          <cell r="D88">
            <v>227.67</v>
          </cell>
          <cell r="E88">
            <v>0</v>
          </cell>
          <cell r="F88" t="str">
            <v>105.68</v>
          </cell>
          <cell r="G88">
            <v>147.94999999999999</v>
          </cell>
        </row>
        <row r="89">
          <cell r="B89">
            <v>85</v>
          </cell>
          <cell r="C89" t="str">
            <v>164.58</v>
          </cell>
          <cell r="D89">
            <v>230.41</v>
          </cell>
          <cell r="E89">
            <v>0</v>
          </cell>
          <cell r="F89" t="str">
            <v>106.95</v>
          </cell>
          <cell r="G89">
            <v>149.72999999999999</v>
          </cell>
        </row>
        <row r="90">
          <cell r="B90">
            <v>86</v>
          </cell>
          <cell r="C90" t="str">
            <v>166.46</v>
          </cell>
          <cell r="D90">
            <v>233.04</v>
          </cell>
          <cell r="E90">
            <v>0</v>
          </cell>
          <cell r="F90" t="str">
            <v>108.19</v>
          </cell>
          <cell r="G90">
            <v>151.47</v>
          </cell>
        </row>
        <row r="91">
          <cell r="B91">
            <v>87</v>
          </cell>
          <cell r="C91" t="str">
            <v>168.34</v>
          </cell>
          <cell r="D91">
            <v>235.68</v>
          </cell>
          <cell r="E91">
            <v>0</v>
          </cell>
          <cell r="F91" t="str">
            <v>109.44</v>
          </cell>
          <cell r="G91">
            <v>153.22</v>
          </cell>
        </row>
        <row r="92">
          <cell r="B92">
            <v>88</v>
          </cell>
          <cell r="C92" t="str">
            <v>170.33</v>
          </cell>
          <cell r="D92">
            <v>238.46</v>
          </cell>
          <cell r="E92">
            <v>0</v>
          </cell>
          <cell r="F92" t="str">
            <v>110.68</v>
          </cell>
          <cell r="G92">
            <v>154.94999999999999</v>
          </cell>
        </row>
        <row r="93">
          <cell r="B93">
            <v>89</v>
          </cell>
          <cell r="C93" t="str">
            <v>172.22</v>
          </cell>
          <cell r="D93">
            <v>241.11</v>
          </cell>
          <cell r="E93">
            <v>0</v>
          </cell>
          <cell r="F93" t="str">
            <v>111.93</v>
          </cell>
          <cell r="G93">
            <v>156.69999999999999</v>
          </cell>
        </row>
        <row r="94">
          <cell r="B94">
            <v>90</v>
          </cell>
          <cell r="C94" t="str">
            <v>174.12</v>
          </cell>
          <cell r="D94">
            <v>243.77</v>
          </cell>
          <cell r="E94">
            <v>0</v>
          </cell>
          <cell r="F94" t="str">
            <v>113.21</v>
          </cell>
          <cell r="G94">
            <v>158.49</v>
          </cell>
        </row>
        <row r="95">
          <cell r="B95">
            <v>91</v>
          </cell>
          <cell r="C95" t="str">
            <v>176.14</v>
          </cell>
          <cell r="D95">
            <v>246.6</v>
          </cell>
          <cell r="E95">
            <v>0</v>
          </cell>
          <cell r="F95" t="str">
            <v>114.47</v>
          </cell>
          <cell r="G95">
            <v>160.26</v>
          </cell>
        </row>
        <row r="96">
          <cell r="B96">
            <v>92</v>
          </cell>
          <cell r="C96" t="str">
            <v>178.05</v>
          </cell>
          <cell r="D96">
            <v>249.27</v>
          </cell>
          <cell r="E96">
            <v>0</v>
          </cell>
          <cell r="F96" t="str">
            <v>115.69</v>
          </cell>
          <cell r="G96">
            <v>161.97</v>
          </cell>
        </row>
        <row r="97">
          <cell r="B97">
            <v>93</v>
          </cell>
          <cell r="C97" t="str">
            <v>179.98</v>
          </cell>
          <cell r="D97">
            <v>251.97</v>
          </cell>
          <cell r="E97">
            <v>0</v>
          </cell>
          <cell r="F97" t="str">
            <v>116.94</v>
          </cell>
          <cell r="G97">
            <v>163.72</v>
          </cell>
        </row>
        <row r="98">
          <cell r="B98">
            <v>94</v>
          </cell>
          <cell r="C98" t="str">
            <v>181.91</v>
          </cell>
          <cell r="D98">
            <v>254.67</v>
          </cell>
          <cell r="E98">
            <v>0</v>
          </cell>
          <cell r="F98" t="str">
            <v>118.2</v>
          </cell>
          <cell r="G98">
            <v>165.48</v>
          </cell>
        </row>
        <row r="99">
          <cell r="B99">
            <v>95</v>
          </cell>
          <cell r="C99" t="str">
            <v>183.73</v>
          </cell>
          <cell r="D99">
            <v>257.22000000000003</v>
          </cell>
          <cell r="E99">
            <v>0</v>
          </cell>
          <cell r="F99" t="str">
            <v>119.46</v>
          </cell>
          <cell r="G99">
            <v>167.24</v>
          </cell>
        </row>
        <row r="100">
          <cell r="B100">
            <v>96</v>
          </cell>
          <cell r="C100" t="str">
            <v>185.67</v>
          </cell>
          <cell r="D100">
            <v>259.94</v>
          </cell>
          <cell r="E100">
            <v>0</v>
          </cell>
          <cell r="F100" t="str">
            <v>120.73</v>
          </cell>
          <cell r="G100">
            <v>169.02</v>
          </cell>
        </row>
        <row r="101">
          <cell r="B101">
            <v>97</v>
          </cell>
          <cell r="C101" t="str">
            <v>187.62</v>
          </cell>
          <cell r="D101">
            <v>262.67</v>
          </cell>
          <cell r="E101">
            <v>0</v>
          </cell>
          <cell r="F101" t="str">
            <v>121.95</v>
          </cell>
          <cell r="G101">
            <v>170.73</v>
          </cell>
        </row>
        <row r="102">
          <cell r="B102">
            <v>98</v>
          </cell>
          <cell r="C102" t="str">
            <v>189.58</v>
          </cell>
          <cell r="D102">
            <v>265.41000000000003</v>
          </cell>
          <cell r="E102">
            <v>0</v>
          </cell>
          <cell r="F102" t="str">
            <v>123.22</v>
          </cell>
          <cell r="G102">
            <v>172.51</v>
          </cell>
        </row>
        <row r="103">
          <cell r="B103">
            <v>99</v>
          </cell>
          <cell r="C103" t="str">
            <v>191.55</v>
          </cell>
          <cell r="D103">
            <v>268.17</v>
          </cell>
          <cell r="E103">
            <v>0</v>
          </cell>
          <cell r="F103" t="str">
            <v>124.45</v>
          </cell>
          <cell r="G103">
            <v>174.23</v>
          </cell>
        </row>
        <row r="104">
          <cell r="B104">
            <v>100</v>
          </cell>
          <cell r="C104" t="str">
            <v>193.39</v>
          </cell>
          <cell r="D104">
            <v>270.75</v>
          </cell>
          <cell r="E104">
            <v>0</v>
          </cell>
          <cell r="F104" t="str">
            <v>125.72</v>
          </cell>
          <cell r="G104">
            <v>176.01</v>
          </cell>
        </row>
        <row r="105">
          <cell r="B105">
            <v>101</v>
          </cell>
          <cell r="C105" t="str">
            <v>195.37</v>
          </cell>
          <cell r="D105">
            <v>273.52</v>
          </cell>
          <cell r="E105">
            <v>0</v>
          </cell>
          <cell r="F105" t="str">
            <v>126.96</v>
          </cell>
          <cell r="G105">
            <v>177.74</v>
          </cell>
        </row>
        <row r="106">
          <cell r="B106">
            <v>102</v>
          </cell>
          <cell r="C106" t="str">
            <v>197.23</v>
          </cell>
          <cell r="D106">
            <v>276.12</v>
          </cell>
          <cell r="E106">
            <v>0</v>
          </cell>
          <cell r="F106" t="str">
            <v>128.23</v>
          </cell>
          <cell r="G106">
            <v>179.52</v>
          </cell>
        </row>
        <row r="107">
          <cell r="B107">
            <v>103</v>
          </cell>
          <cell r="C107" t="str">
            <v>199.23</v>
          </cell>
          <cell r="D107">
            <v>278.92</v>
          </cell>
          <cell r="E107">
            <v>0</v>
          </cell>
          <cell r="F107" t="str">
            <v>129.47</v>
          </cell>
          <cell r="G107">
            <v>181.26</v>
          </cell>
        </row>
        <row r="108">
          <cell r="B108">
            <v>104</v>
          </cell>
          <cell r="C108" t="str">
            <v>201.09</v>
          </cell>
          <cell r="D108">
            <v>281.52999999999997</v>
          </cell>
          <cell r="E108">
            <v>0</v>
          </cell>
          <cell r="F108" t="str">
            <v>130.71</v>
          </cell>
          <cell r="G108">
            <v>182.99</v>
          </cell>
        </row>
        <row r="109">
          <cell r="B109">
            <v>105</v>
          </cell>
          <cell r="C109" t="str">
            <v>203.1</v>
          </cell>
          <cell r="D109">
            <v>284.33999999999997</v>
          </cell>
          <cell r="E109">
            <v>0</v>
          </cell>
          <cell r="F109" t="str">
            <v>131.99</v>
          </cell>
          <cell r="G109">
            <v>184.79</v>
          </cell>
        </row>
        <row r="110">
          <cell r="B110">
            <v>106</v>
          </cell>
          <cell r="C110" t="str">
            <v>204.98</v>
          </cell>
          <cell r="D110">
            <v>286.97000000000003</v>
          </cell>
          <cell r="E110">
            <v>0</v>
          </cell>
          <cell r="F110" t="str">
            <v>133.24</v>
          </cell>
          <cell r="G110">
            <v>186.54</v>
          </cell>
        </row>
        <row r="111">
          <cell r="B111">
            <v>107</v>
          </cell>
          <cell r="C111" t="str">
            <v>206.86</v>
          </cell>
          <cell r="D111">
            <v>289.60000000000002</v>
          </cell>
          <cell r="E111">
            <v>0</v>
          </cell>
          <cell r="F111" t="str">
            <v>134.48</v>
          </cell>
          <cell r="G111">
            <v>188.27</v>
          </cell>
        </row>
        <row r="112">
          <cell r="B112">
            <v>108</v>
          </cell>
          <cell r="C112" t="str">
            <v>208.75</v>
          </cell>
          <cell r="D112">
            <v>292.25</v>
          </cell>
          <cell r="E112">
            <v>0</v>
          </cell>
          <cell r="F112" t="str">
            <v>135.72</v>
          </cell>
          <cell r="G112">
            <v>190.01</v>
          </cell>
        </row>
        <row r="113">
          <cell r="B113">
            <v>109</v>
          </cell>
          <cell r="C113" t="str">
            <v>210.79</v>
          </cell>
          <cell r="D113">
            <v>295.11</v>
          </cell>
          <cell r="E113">
            <v>0</v>
          </cell>
          <cell r="F113" t="str">
            <v>136.97</v>
          </cell>
          <cell r="G113">
            <v>191.76</v>
          </cell>
        </row>
        <row r="114">
          <cell r="B114">
            <v>110</v>
          </cell>
          <cell r="C114" t="str">
            <v>212.69</v>
          </cell>
          <cell r="D114">
            <v>297.77</v>
          </cell>
          <cell r="E114">
            <v>0</v>
          </cell>
          <cell r="F114" t="str">
            <v>138.22</v>
          </cell>
          <cell r="G114">
            <v>193.51</v>
          </cell>
        </row>
        <row r="115">
          <cell r="B115">
            <v>111</v>
          </cell>
          <cell r="C115" t="str">
            <v>214.59</v>
          </cell>
          <cell r="D115">
            <v>300.43</v>
          </cell>
          <cell r="E115">
            <v>0</v>
          </cell>
          <cell r="F115" t="str">
            <v>139.47</v>
          </cell>
          <cell r="G115">
            <v>195.26</v>
          </cell>
        </row>
        <row r="116">
          <cell r="B116">
            <v>112</v>
          </cell>
          <cell r="C116" t="str">
            <v>216.5</v>
          </cell>
          <cell r="D116">
            <v>303.10000000000002</v>
          </cell>
          <cell r="E116">
            <v>0</v>
          </cell>
          <cell r="F116" t="str">
            <v>140.72</v>
          </cell>
          <cell r="G116">
            <v>197.01</v>
          </cell>
        </row>
        <row r="117">
          <cell r="B117">
            <v>113</v>
          </cell>
          <cell r="C117" t="str">
            <v>218.42</v>
          </cell>
          <cell r="D117">
            <v>305.79000000000002</v>
          </cell>
          <cell r="E117">
            <v>0</v>
          </cell>
          <cell r="F117" t="str">
            <v>141.97</v>
          </cell>
          <cell r="G117">
            <v>198.76</v>
          </cell>
        </row>
        <row r="118">
          <cell r="B118">
            <v>114</v>
          </cell>
          <cell r="C118" t="str">
            <v>220.34</v>
          </cell>
          <cell r="D118">
            <v>308.48</v>
          </cell>
          <cell r="E118">
            <v>0</v>
          </cell>
          <cell r="F118" t="str">
            <v>143.23</v>
          </cell>
          <cell r="G118">
            <v>200.52</v>
          </cell>
        </row>
        <row r="119">
          <cell r="B119">
            <v>115</v>
          </cell>
          <cell r="C119" t="str">
            <v>222.26</v>
          </cell>
          <cell r="D119">
            <v>311.16000000000003</v>
          </cell>
          <cell r="E119">
            <v>0</v>
          </cell>
          <cell r="F119" t="str">
            <v>144.48</v>
          </cell>
          <cell r="G119">
            <v>202.27</v>
          </cell>
        </row>
        <row r="120">
          <cell r="B120">
            <v>116</v>
          </cell>
          <cell r="C120" t="str">
            <v>224.19</v>
          </cell>
          <cell r="D120">
            <v>313.87</v>
          </cell>
          <cell r="E120">
            <v>0</v>
          </cell>
          <cell r="F120" t="str">
            <v>145.74</v>
          </cell>
          <cell r="G120">
            <v>204.04</v>
          </cell>
        </row>
        <row r="121">
          <cell r="B121">
            <v>117</v>
          </cell>
          <cell r="C121" t="str">
            <v>226.13</v>
          </cell>
          <cell r="D121">
            <v>316.58</v>
          </cell>
          <cell r="E121">
            <v>0</v>
          </cell>
          <cell r="F121" t="str">
            <v>147</v>
          </cell>
          <cell r="G121">
            <v>205.8</v>
          </cell>
        </row>
        <row r="122">
          <cell r="B122">
            <v>118</v>
          </cell>
          <cell r="C122" t="str">
            <v>228.08</v>
          </cell>
          <cell r="D122">
            <v>319.31</v>
          </cell>
          <cell r="E122">
            <v>0</v>
          </cell>
          <cell r="F122" t="str">
            <v>148.26</v>
          </cell>
          <cell r="G122">
            <v>207.56</v>
          </cell>
        </row>
        <row r="123">
          <cell r="B123">
            <v>119</v>
          </cell>
          <cell r="C123" t="str">
            <v>230.02</v>
          </cell>
          <cell r="D123">
            <v>322.02999999999997</v>
          </cell>
          <cell r="E123">
            <v>0</v>
          </cell>
          <cell r="F123" t="str">
            <v>149.53</v>
          </cell>
          <cell r="G123">
            <v>209.34</v>
          </cell>
        </row>
        <row r="124">
          <cell r="B124">
            <v>120</v>
          </cell>
          <cell r="C124" t="str">
            <v>231.98</v>
          </cell>
          <cell r="D124">
            <v>324.77</v>
          </cell>
          <cell r="E124">
            <v>0</v>
          </cell>
          <cell r="F124" t="str">
            <v>150.74</v>
          </cell>
          <cell r="G124">
            <v>211.04</v>
          </cell>
        </row>
        <row r="125">
          <cell r="B125">
            <v>121</v>
          </cell>
          <cell r="C125" t="str">
            <v>233.76</v>
          </cell>
          <cell r="D125">
            <v>327.26</v>
          </cell>
          <cell r="E125">
            <v>0</v>
          </cell>
          <cell r="F125" t="str">
            <v>152</v>
          </cell>
          <cell r="G125">
            <v>212.8</v>
          </cell>
        </row>
        <row r="126">
          <cell r="B126">
            <v>122</v>
          </cell>
          <cell r="C126" t="str">
            <v>235.72</v>
          </cell>
          <cell r="D126">
            <v>330.01</v>
          </cell>
          <cell r="E126">
            <v>0</v>
          </cell>
          <cell r="F126" t="str">
            <v>153.27</v>
          </cell>
          <cell r="G126">
            <v>214.58</v>
          </cell>
        </row>
        <row r="127">
          <cell r="B127">
            <v>123</v>
          </cell>
          <cell r="C127" t="str">
            <v>237.7</v>
          </cell>
          <cell r="D127">
            <v>332.78</v>
          </cell>
          <cell r="E127">
            <v>0</v>
          </cell>
          <cell r="F127" t="str">
            <v>154.48</v>
          </cell>
          <cell r="G127">
            <v>216.27</v>
          </cell>
        </row>
        <row r="128">
          <cell r="B128">
            <v>124</v>
          </cell>
          <cell r="C128" t="str">
            <v>239.68</v>
          </cell>
          <cell r="D128">
            <v>335.55</v>
          </cell>
          <cell r="E128">
            <v>0</v>
          </cell>
          <cell r="F128" t="str">
            <v>155.76</v>
          </cell>
          <cell r="G128">
            <v>218.06</v>
          </cell>
        </row>
        <row r="129">
          <cell r="B129">
            <v>125</v>
          </cell>
          <cell r="C129" t="str">
            <v>241.46</v>
          </cell>
          <cell r="D129">
            <v>338.04</v>
          </cell>
          <cell r="E129">
            <v>0</v>
          </cell>
          <cell r="F129" t="str">
            <v>157.03</v>
          </cell>
          <cell r="G129">
            <v>219.84</v>
          </cell>
        </row>
        <row r="130">
          <cell r="B130">
            <v>126</v>
          </cell>
          <cell r="C130" t="str">
            <v>243.46</v>
          </cell>
          <cell r="D130">
            <v>340.84</v>
          </cell>
          <cell r="E130">
            <v>0</v>
          </cell>
          <cell r="F130" t="str">
            <v>158.25</v>
          </cell>
          <cell r="G130">
            <v>221.55</v>
          </cell>
        </row>
        <row r="131">
          <cell r="B131">
            <v>127</v>
          </cell>
          <cell r="C131" t="str">
            <v>245.45</v>
          </cell>
          <cell r="D131">
            <v>343.63</v>
          </cell>
          <cell r="E131">
            <v>0</v>
          </cell>
          <cell r="F131" t="str">
            <v>159.52</v>
          </cell>
          <cell r="G131">
            <v>223.33</v>
          </cell>
        </row>
        <row r="132">
          <cell r="B132">
            <v>128</v>
          </cell>
          <cell r="C132" t="str">
            <v>247.25</v>
          </cell>
          <cell r="D132">
            <v>346.15</v>
          </cell>
          <cell r="E132">
            <v>0</v>
          </cell>
          <cell r="F132" t="str">
            <v>160.8</v>
          </cell>
          <cell r="G132">
            <v>225.12</v>
          </cell>
        </row>
        <row r="133">
          <cell r="B133">
            <v>129</v>
          </cell>
          <cell r="C133" t="str">
            <v>249.26</v>
          </cell>
          <cell r="D133">
            <v>348.96</v>
          </cell>
          <cell r="E133">
            <v>0</v>
          </cell>
          <cell r="F133" t="str">
            <v>162.02</v>
          </cell>
          <cell r="G133">
            <v>226.83</v>
          </cell>
        </row>
        <row r="134">
          <cell r="B134">
            <v>130</v>
          </cell>
          <cell r="C134" t="str">
            <v>251.28</v>
          </cell>
          <cell r="D134">
            <v>351.79</v>
          </cell>
          <cell r="E134">
            <v>0</v>
          </cell>
          <cell r="F134" t="str">
            <v>163.31</v>
          </cell>
          <cell r="G134">
            <v>228.63</v>
          </cell>
        </row>
        <row r="135">
          <cell r="B135">
            <v>131</v>
          </cell>
          <cell r="C135" t="str">
            <v>253.09</v>
          </cell>
          <cell r="D135">
            <v>354.33</v>
          </cell>
          <cell r="E135">
            <v>0</v>
          </cell>
          <cell r="F135" t="str">
            <v>164.53</v>
          </cell>
          <cell r="G135">
            <v>230.34</v>
          </cell>
        </row>
        <row r="136">
          <cell r="B136">
            <v>132</v>
          </cell>
          <cell r="C136" t="str">
            <v>255.12</v>
          </cell>
          <cell r="D136">
            <v>357.17</v>
          </cell>
          <cell r="E136">
            <v>0</v>
          </cell>
          <cell r="F136" t="str">
            <v>165.75</v>
          </cell>
          <cell r="G136">
            <v>232.05</v>
          </cell>
        </row>
        <row r="137">
          <cell r="B137">
            <v>133</v>
          </cell>
          <cell r="C137" t="str">
            <v>256.93</v>
          </cell>
          <cell r="D137">
            <v>359.7</v>
          </cell>
          <cell r="E137">
            <v>0</v>
          </cell>
          <cell r="F137" t="str">
            <v>167.04</v>
          </cell>
          <cell r="G137">
            <v>233.86</v>
          </cell>
        </row>
        <row r="138">
          <cell r="B138">
            <v>134</v>
          </cell>
          <cell r="C138" t="str">
            <v>258.98</v>
          </cell>
          <cell r="D138">
            <v>362.57</v>
          </cell>
          <cell r="E138">
            <v>0</v>
          </cell>
          <cell r="F138" t="str">
            <v>168.26</v>
          </cell>
          <cell r="G138">
            <v>235.56</v>
          </cell>
        </row>
        <row r="139">
          <cell r="B139">
            <v>135</v>
          </cell>
          <cell r="C139" t="str">
            <v>260.8</v>
          </cell>
          <cell r="D139">
            <v>365.12</v>
          </cell>
          <cell r="E139">
            <v>0</v>
          </cell>
          <cell r="F139" t="str">
            <v>169.55</v>
          </cell>
          <cell r="G139">
            <v>237.37</v>
          </cell>
        </row>
        <row r="140">
          <cell r="B140">
            <v>136</v>
          </cell>
          <cell r="C140" t="str">
            <v>262.62</v>
          </cell>
          <cell r="D140">
            <v>367.67</v>
          </cell>
          <cell r="E140">
            <v>0</v>
          </cell>
          <cell r="F140" t="str">
            <v>170.78</v>
          </cell>
          <cell r="G140">
            <v>239.09</v>
          </cell>
        </row>
        <row r="141">
          <cell r="B141">
            <v>137</v>
          </cell>
          <cell r="C141" t="str">
            <v>264.68</v>
          </cell>
          <cell r="D141">
            <v>370.55</v>
          </cell>
          <cell r="E141">
            <v>0</v>
          </cell>
          <cell r="F141" t="str">
            <v>172.08</v>
          </cell>
          <cell r="G141">
            <v>240.91</v>
          </cell>
        </row>
        <row r="142">
          <cell r="B142">
            <v>138</v>
          </cell>
          <cell r="C142" t="str">
            <v>266.52</v>
          </cell>
          <cell r="D142">
            <v>373.13</v>
          </cell>
          <cell r="E142">
            <v>0</v>
          </cell>
          <cell r="F142" t="str">
            <v>173.3</v>
          </cell>
          <cell r="G142">
            <v>242.62</v>
          </cell>
        </row>
        <row r="143">
          <cell r="B143">
            <v>139</v>
          </cell>
          <cell r="C143" t="str">
            <v>268.59</v>
          </cell>
          <cell r="D143">
            <v>376.03</v>
          </cell>
          <cell r="E143">
            <v>0</v>
          </cell>
          <cell r="F143" t="str">
            <v>174.53</v>
          </cell>
          <cell r="G143">
            <v>244.34</v>
          </cell>
        </row>
        <row r="144">
          <cell r="B144">
            <v>140</v>
          </cell>
          <cell r="C144" t="str">
            <v>270.43</v>
          </cell>
          <cell r="D144">
            <v>378.6</v>
          </cell>
          <cell r="E144">
            <v>0</v>
          </cell>
          <cell r="F144" t="str">
            <v>175.76</v>
          </cell>
          <cell r="G144">
            <v>246.06</v>
          </cell>
        </row>
        <row r="145">
          <cell r="B145">
            <v>141</v>
          </cell>
          <cell r="C145" t="str">
            <v>272.27</v>
          </cell>
          <cell r="D145">
            <v>381.18</v>
          </cell>
          <cell r="E145">
            <v>0</v>
          </cell>
          <cell r="F145" t="str">
            <v>177.07</v>
          </cell>
          <cell r="G145">
            <v>247.9</v>
          </cell>
        </row>
        <row r="146">
          <cell r="B146">
            <v>142</v>
          </cell>
          <cell r="C146" t="str">
            <v>274.37</v>
          </cell>
          <cell r="D146">
            <v>384.12</v>
          </cell>
          <cell r="E146">
            <v>0</v>
          </cell>
          <cell r="F146" t="str">
            <v>178.3</v>
          </cell>
          <cell r="G146">
            <v>249.62</v>
          </cell>
        </row>
        <row r="147">
          <cell r="B147">
            <v>143</v>
          </cell>
          <cell r="C147" t="str">
            <v>276.22</v>
          </cell>
          <cell r="D147">
            <v>386.71</v>
          </cell>
          <cell r="E147">
            <v>0</v>
          </cell>
          <cell r="F147" t="str">
            <v>179.53</v>
          </cell>
          <cell r="G147">
            <v>251.34</v>
          </cell>
        </row>
        <row r="148">
          <cell r="B148">
            <v>144</v>
          </cell>
          <cell r="C148" t="str">
            <v>278.07</v>
          </cell>
          <cell r="D148">
            <v>389.3</v>
          </cell>
          <cell r="E148">
            <v>0</v>
          </cell>
          <cell r="F148" t="str">
            <v>180.84</v>
          </cell>
          <cell r="G148">
            <v>253.18</v>
          </cell>
        </row>
        <row r="149">
          <cell r="B149">
            <v>145</v>
          </cell>
          <cell r="C149" t="str">
            <v>280.19</v>
          </cell>
          <cell r="D149">
            <v>392.27</v>
          </cell>
          <cell r="E149">
            <v>0</v>
          </cell>
          <cell r="F149" t="str">
            <v>182.08</v>
          </cell>
          <cell r="G149">
            <v>254.91</v>
          </cell>
        </row>
        <row r="150">
          <cell r="B150">
            <v>146</v>
          </cell>
          <cell r="C150" t="str">
            <v>282.05</v>
          </cell>
          <cell r="D150">
            <v>394.87</v>
          </cell>
          <cell r="E150">
            <v>0</v>
          </cell>
          <cell r="F150" t="str">
            <v>183.31</v>
          </cell>
          <cell r="G150">
            <v>256.63</v>
          </cell>
        </row>
        <row r="151">
          <cell r="B151">
            <v>147</v>
          </cell>
          <cell r="C151" t="str">
            <v>283.91</v>
          </cell>
          <cell r="D151">
            <v>397.47</v>
          </cell>
          <cell r="E151">
            <v>0</v>
          </cell>
          <cell r="F151" t="str">
            <v>184.55</v>
          </cell>
          <cell r="G151">
            <v>258.37</v>
          </cell>
        </row>
        <row r="152">
          <cell r="B152">
            <v>148</v>
          </cell>
          <cell r="C152" t="str">
            <v>285.78</v>
          </cell>
          <cell r="D152">
            <v>400.09</v>
          </cell>
          <cell r="E152">
            <v>0</v>
          </cell>
          <cell r="F152" t="str">
            <v>185.78</v>
          </cell>
          <cell r="G152">
            <v>260.08999999999997</v>
          </cell>
        </row>
        <row r="153">
          <cell r="B153">
            <v>149</v>
          </cell>
          <cell r="C153" t="str">
            <v>287.65</v>
          </cell>
          <cell r="D153">
            <v>402.71</v>
          </cell>
          <cell r="E153">
            <v>0</v>
          </cell>
          <cell r="F153" t="str">
            <v>187.11</v>
          </cell>
          <cell r="G153">
            <v>261.95</v>
          </cell>
        </row>
        <row r="154">
          <cell r="B154">
            <v>150</v>
          </cell>
          <cell r="C154" t="str">
            <v>289.8</v>
          </cell>
          <cell r="D154">
            <v>405.72</v>
          </cell>
          <cell r="E154">
            <v>0</v>
          </cell>
          <cell r="F154" t="str">
            <v>188.35</v>
          </cell>
          <cell r="G154">
            <v>263.69</v>
          </cell>
        </row>
        <row r="155">
          <cell r="B155">
            <v>151</v>
          </cell>
          <cell r="C155" t="str">
            <v>291.68</v>
          </cell>
          <cell r="D155">
            <v>408.35</v>
          </cell>
          <cell r="E155">
            <v>0</v>
          </cell>
          <cell r="F155" t="str">
            <v>189.59</v>
          </cell>
          <cell r="G155">
            <v>265.43</v>
          </cell>
        </row>
        <row r="156">
          <cell r="B156">
            <v>152</v>
          </cell>
          <cell r="C156" t="str">
            <v>293.57</v>
          </cell>
          <cell r="D156">
            <v>411</v>
          </cell>
          <cell r="E156">
            <v>0</v>
          </cell>
          <cell r="F156" t="str">
            <v>190.83</v>
          </cell>
          <cell r="G156">
            <v>267.16000000000003</v>
          </cell>
        </row>
        <row r="157">
          <cell r="B157">
            <v>153</v>
          </cell>
          <cell r="C157" t="str">
            <v>295.45</v>
          </cell>
          <cell r="D157">
            <v>413.63</v>
          </cell>
          <cell r="E157">
            <v>0</v>
          </cell>
          <cell r="F157" t="str">
            <v>192.07</v>
          </cell>
          <cell r="G157">
            <v>268.89999999999998</v>
          </cell>
        </row>
        <row r="158">
          <cell r="B158">
            <v>154</v>
          </cell>
          <cell r="C158" t="str">
            <v>297.34</v>
          </cell>
          <cell r="D158">
            <v>416.28</v>
          </cell>
          <cell r="E158">
            <v>0</v>
          </cell>
          <cell r="F158" t="str">
            <v>193.32</v>
          </cell>
          <cell r="G158">
            <v>270.64999999999998</v>
          </cell>
        </row>
        <row r="159">
          <cell r="B159">
            <v>155</v>
          </cell>
          <cell r="C159" t="str">
            <v>299.23</v>
          </cell>
          <cell r="D159">
            <v>418.92</v>
          </cell>
          <cell r="E159">
            <v>0</v>
          </cell>
          <cell r="F159" t="str">
            <v>194.56</v>
          </cell>
          <cell r="G159">
            <v>272.38</v>
          </cell>
        </row>
        <row r="160">
          <cell r="B160">
            <v>156</v>
          </cell>
          <cell r="C160" t="str">
            <v>301.13</v>
          </cell>
          <cell r="D160">
            <v>421.58</v>
          </cell>
          <cell r="E160">
            <v>0</v>
          </cell>
          <cell r="F160" t="str">
            <v>195.81</v>
          </cell>
          <cell r="G160">
            <v>274.13</v>
          </cell>
        </row>
        <row r="161">
          <cell r="B161">
            <v>157</v>
          </cell>
          <cell r="C161" t="str">
            <v>303.03</v>
          </cell>
          <cell r="D161">
            <v>424.24</v>
          </cell>
          <cell r="E161">
            <v>0</v>
          </cell>
          <cell r="F161" t="str">
            <v>197.06</v>
          </cell>
          <cell r="G161">
            <v>275.88</v>
          </cell>
        </row>
        <row r="162">
          <cell r="B162">
            <v>158</v>
          </cell>
          <cell r="C162" t="str">
            <v>305.24</v>
          </cell>
          <cell r="D162">
            <v>427.34</v>
          </cell>
          <cell r="E162">
            <v>0</v>
          </cell>
          <cell r="F162" t="str">
            <v>198.31</v>
          </cell>
          <cell r="G162">
            <v>277.63</v>
          </cell>
        </row>
        <row r="163">
          <cell r="B163">
            <v>159</v>
          </cell>
          <cell r="C163" t="str">
            <v>307.15</v>
          </cell>
          <cell r="D163">
            <v>430.01</v>
          </cell>
          <cell r="E163">
            <v>0</v>
          </cell>
          <cell r="F163" t="str">
            <v>199.56</v>
          </cell>
          <cell r="G163">
            <v>279.38</v>
          </cell>
        </row>
        <row r="164">
          <cell r="B164">
            <v>160</v>
          </cell>
          <cell r="C164" t="str">
            <v>309.06</v>
          </cell>
          <cell r="D164">
            <v>432.68</v>
          </cell>
          <cell r="E164">
            <v>0</v>
          </cell>
          <cell r="F164" t="str">
            <v>200.81</v>
          </cell>
          <cell r="G164">
            <v>281.13</v>
          </cell>
        </row>
        <row r="165">
          <cell r="B165">
            <v>161</v>
          </cell>
          <cell r="C165" t="str">
            <v>310.98</v>
          </cell>
          <cell r="D165">
            <v>435.37</v>
          </cell>
          <cell r="E165">
            <v>0</v>
          </cell>
          <cell r="F165" t="str">
            <v>202.06</v>
          </cell>
          <cell r="G165">
            <v>282.88</v>
          </cell>
        </row>
        <row r="166">
          <cell r="B166">
            <v>162</v>
          </cell>
          <cell r="C166" t="str">
            <v>312.9</v>
          </cell>
          <cell r="D166">
            <v>438.06</v>
          </cell>
          <cell r="E166">
            <v>0</v>
          </cell>
          <cell r="F166" t="str">
            <v>203.31</v>
          </cell>
          <cell r="G166">
            <v>284.63</v>
          </cell>
        </row>
        <row r="167">
          <cell r="B167">
            <v>163</v>
          </cell>
          <cell r="C167" t="str">
            <v>314.83</v>
          </cell>
          <cell r="D167">
            <v>440.76</v>
          </cell>
          <cell r="E167">
            <v>0</v>
          </cell>
          <cell r="F167" t="str">
            <v>204.57</v>
          </cell>
          <cell r="G167">
            <v>286.39999999999998</v>
          </cell>
        </row>
        <row r="168">
          <cell r="B168">
            <v>164</v>
          </cell>
          <cell r="C168" t="str">
            <v>316.76</v>
          </cell>
          <cell r="D168">
            <v>443.46</v>
          </cell>
          <cell r="E168">
            <v>0</v>
          </cell>
          <cell r="F168" t="str">
            <v>205.82</v>
          </cell>
          <cell r="G168">
            <v>288.14999999999998</v>
          </cell>
        </row>
        <row r="169">
          <cell r="B169">
            <v>165</v>
          </cell>
          <cell r="C169" t="str">
            <v>318.69</v>
          </cell>
          <cell r="D169">
            <v>446.17</v>
          </cell>
          <cell r="E169">
            <v>0</v>
          </cell>
          <cell r="F169" t="str">
            <v>207.08</v>
          </cell>
          <cell r="G169">
            <v>289.91000000000003</v>
          </cell>
        </row>
        <row r="170">
          <cell r="B170">
            <v>166</v>
          </cell>
          <cell r="C170" t="str">
            <v>320.63</v>
          </cell>
          <cell r="D170">
            <v>448.88</v>
          </cell>
          <cell r="E170">
            <v>0</v>
          </cell>
          <cell r="F170" t="str">
            <v>208.34</v>
          </cell>
          <cell r="G170">
            <v>291.68</v>
          </cell>
        </row>
        <row r="171">
          <cell r="B171">
            <v>167</v>
          </cell>
          <cell r="C171" t="str">
            <v>322.57</v>
          </cell>
          <cell r="D171">
            <v>451.6</v>
          </cell>
          <cell r="E171">
            <v>0</v>
          </cell>
          <cell r="F171" t="str">
            <v>209.6</v>
          </cell>
          <cell r="G171">
            <v>293.44</v>
          </cell>
        </row>
        <row r="172">
          <cell r="B172">
            <v>168</v>
          </cell>
          <cell r="C172" t="str">
            <v>324.52</v>
          </cell>
          <cell r="D172">
            <v>454.33</v>
          </cell>
          <cell r="E172">
            <v>0</v>
          </cell>
          <cell r="F172" t="str">
            <v>210.86</v>
          </cell>
          <cell r="G172">
            <v>295.2</v>
          </cell>
        </row>
        <row r="173">
          <cell r="B173">
            <v>169</v>
          </cell>
          <cell r="C173" t="str">
            <v>326.11</v>
          </cell>
          <cell r="D173">
            <v>456.55</v>
          </cell>
          <cell r="E173">
            <v>0</v>
          </cell>
          <cell r="F173" t="str">
            <v>212.12</v>
          </cell>
          <cell r="G173">
            <v>296.97000000000003</v>
          </cell>
        </row>
        <row r="174">
          <cell r="B174">
            <v>170</v>
          </cell>
          <cell r="C174" t="str">
            <v>328.06</v>
          </cell>
          <cell r="D174">
            <v>459.28</v>
          </cell>
          <cell r="E174">
            <v>0</v>
          </cell>
          <cell r="F174" t="str">
            <v>213.38</v>
          </cell>
          <cell r="G174">
            <v>298.73</v>
          </cell>
        </row>
        <row r="175">
          <cell r="B175">
            <v>171</v>
          </cell>
          <cell r="C175" t="str">
            <v>330.02</v>
          </cell>
          <cell r="D175">
            <v>462.03</v>
          </cell>
          <cell r="E175">
            <v>0</v>
          </cell>
          <cell r="F175" t="str">
            <v>214.65</v>
          </cell>
          <cell r="G175">
            <v>300.51</v>
          </cell>
        </row>
        <row r="176">
          <cell r="B176">
            <v>172</v>
          </cell>
          <cell r="C176" t="str">
            <v>331.98</v>
          </cell>
          <cell r="D176">
            <v>464.77</v>
          </cell>
          <cell r="E176">
            <v>0</v>
          </cell>
          <cell r="F176" t="str">
            <v>215.91</v>
          </cell>
          <cell r="G176">
            <v>302.27</v>
          </cell>
        </row>
        <row r="177">
          <cell r="B177">
            <v>173</v>
          </cell>
          <cell r="C177" t="str">
            <v>333.94</v>
          </cell>
          <cell r="D177">
            <v>467.52</v>
          </cell>
          <cell r="E177">
            <v>0</v>
          </cell>
          <cell r="F177" t="str">
            <v>217.07</v>
          </cell>
          <cell r="G177">
            <v>303.89999999999998</v>
          </cell>
        </row>
        <row r="178">
          <cell r="B178">
            <v>174</v>
          </cell>
          <cell r="C178" t="str">
            <v>335.91</v>
          </cell>
          <cell r="D178">
            <v>470.27</v>
          </cell>
          <cell r="E178">
            <v>0</v>
          </cell>
          <cell r="F178" t="str">
            <v>218.33</v>
          </cell>
          <cell r="G178">
            <v>305.66000000000003</v>
          </cell>
        </row>
        <row r="179">
          <cell r="B179">
            <v>175</v>
          </cell>
          <cell r="C179" t="str">
            <v>337.89</v>
          </cell>
          <cell r="D179">
            <v>473.05</v>
          </cell>
          <cell r="E179">
            <v>0</v>
          </cell>
          <cell r="F179" t="str">
            <v>219.6</v>
          </cell>
          <cell r="G179">
            <v>307.44</v>
          </cell>
        </row>
        <row r="180">
          <cell r="B180">
            <v>176</v>
          </cell>
          <cell r="C180" t="str">
            <v>339.87</v>
          </cell>
          <cell r="D180">
            <v>475.82</v>
          </cell>
          <cell r="E180">
            <v>0</v>
          </cell>
          <cell r="F180" t="str">
            <v>220.88</v>
          </cell>
          <cell r="G180">
            <v>309.23</v>
          </cell>
        </row>
        <row r="181">
          <cell r="B181">
            <v>177</v>
          </cell>
          <cell r="C181" t="str">
            <v>341.85</v>
          </cell>
          <cell r="D181">
            <v>478.59</v>
          </cell>
          <cell r="E181">
            <v>0</v>
          </cell>
          <cell r="F181" t="str">
            <v>222.15</v>
          </cell>
          <cell r="G181">
            <v>311.01</v>
          </cell>
        </row>
        <row r="182">
          <cell r="B182">
            <v>178</v>
          </cell>
          <cell r="C182" t="str">
            <v>343.44</v>
          </cell>
          <cell r="D182">
            <v>480.82</v>
          </cell>
          <cell r="E182">
            <v>0</v>
          </cell>
          <cell r="F182" t="str">
            <v>223.42</v>
          </cell>
          <cell r="G182">
            <v>312.79000000000002</v>
          </cell>
        </row>
        <row r="183">
          <cell r="B183">
            <v>179</v>
          </cell>
          <cell r="C183" t="str">
            <v>345.43</v>
          </cell>
          <cell r="D183">
            <v>483.6</v>
          </cell>
          <cell r="E183">
            <v>0</v>
          </cell>
          <cell r="F183" t="str">
            <v>224.58</v>
          </cell>
          <cell r="G183">
            <v>314.41000000000003</v>
          </cell>
        </row>
        <row r="184">
          <cell r="B184">
            <v>180</v>
          </cell>
          <cell r="C184" t="str">
            <v>347.43</v>
          </cell>
          <cell r="D184">
            <v>486.4</v>
          </cell>
          <cell r="E184">
            <v>0</v>
          </cell>
          <cell r="F184" t="str">
            <v>225.85</v>
          </cell>
          <cell r="G184">
            <v>316.19</v>
          </cell>
        </row>
        <row r="185">
          <cell r="B185">
            <v>181</v>
          </cell>
          <cell r="C185" t="str">
            <v>349.43</v>
          </cell>
          <cell r="D185">
            <v>489.2</v>
          </cell>
          <cell r="E185">
            <v>0</v>
          </cell>
          <cell r="F185" t="str">
            <v>227.13</v>
          </cell>
          <cell r="G185">
            <v>317.98</v>
          </cell>
        </row>
        <row r="186">
          <cell r="B186">
            <v>182</v>
          </cell>
          <cell r="C186" t="str">
            <v>351.43</v>
          </cell>
          <cell r="D186">
            <v>492</v>
          </cell>
          <cell r="E186">
            <v>0</v>
          </cell>
          <cell r="F186" t="str">
            <v>228.41</v>
          </cell>
          <cell r="G186">
            <v>319.77</v>
          </cell>
        </row>
        <row r="187">
          <cell r="B187">
            <v>183</v>
          </cell>
          <cell r="C187" t="str">
            <v>353.44</v>
          </cell>
          <cell r="D187">
            <v>494.82</v>
          </cell>
          <cell r="E187">
            <v>0</v>
          </cell>
          <cell r="F187" t="str">
            <v>229.69</v>
          </cell>
          <cell r="G187">
            <v>321.57</v>
          </cell>
        </row>
        <row r="188">
          <cell r="B188">
            <v>184</v>
          </cell>
          <cell r="C188" t="str">
            <v>355.04</v>
          </cell>
          <cell r="D188">
            <v>497.06</v>
          </cell>
          <cell r="E188">
            <v>0</v>
          </cell>
          <cell r="F188" t="str">
            <v>230.842</v>
          </cell>
          <cell r="G188">
            <v>323.18</v>
          </cell>
        </row>
        <row r="189">
          <cell r="B189">
            <v>185</v>
          </cell>
          <cell r="C189" t="str">
            <v>357.06</v>
          </cell>
          <cell r="D189">
            <v>499.88</v>
          </cell>
          <cell r="E189">
            <v>0</v>
          </cell>
          <cell r="F189" t="str">
            <v>232.12</v>
          </cell>
          <cell r="G189">
            <v>324.97000000000003</v>
          </cell>
        </row>
        <row r="190">
          <cell r="B190">
            <v>186</v>
          </cell>
          <cell r="C190" t="str">
            <v>359.08</v>
          </cell>
          <cell r="D190">
            <v>502.71</v>
          </cell>
          <cell r="E190">
            <v>0</v>
          </cell>
          <cell r="F190" t="str">
            <v>233.14</v>
          </cell>
          <cell r="G190">
            <v>326.39999999999998</v>
          </cell>
        </row>
        <row r="191">
          <cell r="B191">
            <v>187</v>
          </cell>
          <cell r="C191" t="str">
            <v>361.11</v>
          </cell>
          <cell r="D191">
            <v>505.55</v>
          </cell>
          <cell r="E191">
            <v>0</v>
          </cell>
          <cell r="F191" t="str">
            <v>234.7</v>
          </cell>
          <cell r="G191">
            <v>328.58</v>
          </cell>
        </row>
        <row r="192">
          <cell r="B192">
            <v>188</v>
          </cell>
          <cell r="C192" t="str">
            <v>362.7</v>
          </cell>
          <cell r="D192">
            <v>507.78</v>
          </cell>
          <cell r="E192">
            <v>0</v>
          </cell>
          <cell r="F192" t="str">
            <v>235.85</v>
          </cell>
          <cell r="G192">
            <v>330.19</v>
          </cell>
        </row>
        <row r="193">
          <cell r="B193">
            <v>189</v>
          </cell>
          <cell r="C193" t="str">
            <v>364.74</v>
          </cell>
          <cell r="D193">
            <v>510.64</v>
          </cell>
          <cell r="E193">
            <v>0</v>
          </cell>
          <cell r="F193" t="str">
            <v>237.14</v>
          </cell>
          <cell r="G193">
            <v>332</v>
          </cell>
        </row>
        <row r="194">
          <cell r="B194">
            <v>190</v>
          </cell>
          <cell r="C194" t="str">
            <v>366.78</v>
          </cell>
          <cell r="D194">
            <v>513.49</v>
          </cell>
          <cell r="E194">
            <v>0</v>
          </cell>
          <cell r="F194" t="str">
            <v>238.43</v>
          </cell>
          <cell r="G194">
            <v>333.8</v>
          </cell>
        </row>
        <row r="195">
          <cell r="B195">
            <v>191</v>
          </cell>
          <cell r="C195" t="str">
            <v>368.82</v>
          </cell>
          <cell r="D195">
            <v>516.35</v>
          </cell>
          <cell r="E195">
            <v>0</v>
          </cell>
          <cell r="F195" t="str">
            <v>239.722</v>
          </cell>
          <cell r="G195">
            <v>335.61</v>
          </cell>
        </row>
        <row r="196">
          <cell r="B196">
            <v>192</v>
          </cell>
          <cell r="C196" t="str">
            <v>370.42</v>
          </cell>
          <cell r="D196">
            <v>518.59</v>
          </cell>
          <cell r="E196">
            <v>0</v>
          </cell>
          <cell r="F196" t="str">
            <v>240.87</v>
          </cell>
          <cell r="G196">
            <v>337.22</v>
          </cell>
        </row>
        <row r="197">
          <cell r="B197">
            <v>193</v>
          </cell>
          <cell r="C197" t="str">
            <v>372.47</v>
          </cell>
          <cell r="D197">
            <v>521.46</v>
          </cell>
          <cell r="E197">
            <v>0</v>
          </cell>
          <cell r="F197" t="str">
            <v>242.17</v>
          </cell>
          <cell r="G197">
            <v>339.04</v>
          </cell>
        </row>
        <row r="198">
          <cell r="B198">
            <v>194</v>
          </cell>
          <cell r="C198" t="str">
            <v>374.53</v>
          </cell>
          <cell r="D198">
            <v>524.34</v>
          </cell>
          <cell r="E198">
            <v>0</v>
          </cell>
          <cell r="F198" t="str">
            <v>243.46</v>
          </cell>
          <cell r="G198">
            <v>340.84</v>
          </cell>
        </row>
        <row r="199">
          <cell r="B199">
            <v>195</v>
          </cell>
          <cell r="C199" t="str">
            <v>376.6</v>
          </cell>
          <cell r="D199">
            <v>527.24</v>
          </cell>
          <cell r="E199">
            <v>0</v>
          </cell>
          <cell r="F199" t="str">
            <v>244.62</v>
          </cell>
          <cell r="G199">
            <v>342.47</v>
          </cell>
        </row>
        <row r="200">
          <cell r="B200">
            <v>196</v>
          </cell>
          <cell r="C200" t="str">
            <v>378.19</v>
          </cell>
          <cell r="D200">
            <v>529.47</v>
          </cell>
          <cell r="E200">
            <v>0</v>
          </cell>
          <cell r="F200" t="str">
            <v>245.92</v>
          </cell>
          <cell r="G200">
            <v>344.29</v>
          </cell>
        </row>
        <row r="201">
          <cell r="B201">
            <v>197</v>
          </cell>
          <cell r="C201" t="str">
            <v>380.27</v>
          </cell>
          <cell r="D201">
            <v>532.38</v>
          </cell>
          <cell r="E201">
            <v>0</v>
          </cell>
          <cell r="F201" t="str">
            <v>247.22</v>
          </cell>
          <cell r="G201">
            <v>346.11</v>
          </cell>
        </row>
        <row r="202">
          <cell r="B202">
            <v>198</v>
          </cell>
          <cell r="C202" t="str">
            <v>382.35</v>
          </cell>
          <cell r="D202">
            <v>535.29</v>
          </cell>
          <cell r="E202">
            <v>0</v>
          </cell>
          <cell r="F202" t="str">
            <v>248.37</v>
          </cell>
          <cell r="G202">
            <v>347.72</v>
          </cell>
        </row>
        <row r="203">
          <cell r="B203">
            <v>199</v>
          </cell>
          <cell r="C203" t="str">
            <v>383.94</v>
          </cell>
          <cell r="D203">
            <v>537.52</v>
          </cell>
          <cell r="E203">
            <v>0</v>
          </cell>
          <cell r="F203" t="str">
            <v>249.67</v>
          </cell>
          <cell r="G203">
            <v>349.54</v>
          </cell>
        </row>
        <row r="204">
          <cell r="B204">
            <v>200</v>
          </cell>
          <cell r="C204" t="str">
            <v>386.03</v>
          </cell>
          <cell r="D204">
            <v>540.44000000000005</v>
          </cell>
          <cell r="E204">
            <v>0</v>
          </cell>
          <cell r="F204" t="str">
            <v>250.98</v>
          </cell>
          <cell r="G204">
            <v>351.37</v>
          </cell>
        </row>
        <row r="205">
          <cell r="B205">
            <v>201</v>
          </cell>
          <cell r="C205">
            <v>387.96</v>
          </cell>
          <cell r="D205">
            <v>543.14</v>
          </cell>
          <cell r="E205">
            <v>0</v>
          </cell>
          <cell r="F205">
            <v>252.23999999999998</v>
          </cell>
          <cell r="G205">
            <v>353.14</v>
          </cell>
        </row>
        <row r="206">
          <cell r="B206">
            <v>202</v>
          </cell>
          <cell r="C206">
            <v>389.89</v>
          </cell>
          <cell r="D206">
            <v>545.85</v>
          </cell>
          <cell r="E206">
            <v>0</v>
          </cell>
          <cell r="F206">
            <v>253.49999999999997</v>
          </cell>
          <cell r="G206">
            <v>354.9</v>
          </cell>
        </row>
        <row r="207">
          <cell r="B207">
            <v>203</v>
          </cell>
          <cell r="C207">
            <v>391.82</v>
          </cell>
          <cell r="D207">
            <v>548.54999999999995</v>
          </cell>
          <cell r="E207">
            <v>0</v>
          </cell>
          <cell r="F207">
            <v>254.75999999999996</v>
          </cell>
          <cell r="G207">
            <v>356.66</v>
          </cell>
        </row>
        <row r="208">
          <cell r="B208">
            <v>204</v>
          </cell>
          <cell r="C208">
            <v>393.75</v>
          </cell>
          <cell r="D208">
            <v>551.25</v>
          </cell>
          <cell r="E208">
            <v>0</v>
          </cell>
          <cell r="F208">
            <v>256.02</v>
          </cell>
          <cell r="G208">
            <v>358.43</v>
          </cell>
        </row>
        <row r="209">
          <cell r="B209">
            <v>205</v>
          </cell>
          <cell r="C209">
            <v>395.68</v>
          </cell>
          <cell r="D209">
            <v>553.95000000000005</v>
          </cell>
          <cell r="E209">
            <v>0</v>
          </cell>
          <cell r="F209">
            <v>257.27999999999997</v>
          </cell>
          <cell r="G209">
            <v>360.19</v>
          </cell>
        </row>
        <row r="210">
          <cell r="B210">
            <v>206</v>
          </cell>
          <cell r="C210">
            <v>397.61</v>
          </cell>
          <cell r="D210">
            <v>556.65</v>
          </cell>
          <cell r="E210">
            <v>0</v>
          </cell>
          <cell r="F210">
            <v>258.53999999999996</v>
          </cell>
          <cell r="G210">
            <v>361.96</v>
          </cell>
        </row>
        <row r="211">
          <cell r="B211">
            <v>207</v>
          </cell>
          <cell r="C211">
            <v>399.54</v>
          </cell>
          <cell r="D211">
            <v>559.36</v>
          </cell>
          <cell r="E211">
            <v>0</v>
          </cell>
          <cell r="F211">
            <v>259.79999999999995</v>
          </cell>
          <cell r="G211">
            <v>363.72</v>
          </cell>
        </row>
        <row r="212">
          <cell r="B212">
            <v>208</v>
          </cell>
          <cell r="C212">
            <v>401.47</v>
          </cell>
          <cell r="D212">
            <v>562.05999999999995</v>
          </cell>
          <cell r="E212">
            <v>0</v>
          </cell>
          <cell r="F212">
            <v>261.05999999999995</v>
          </cell>
          <cell r="G212">
            <v>365.48</v>
          </cell>
        </row>
        <row r="213">
          <cell r="B213">
            <v>209</v>
          </cell>
          <cell r="C213">
            <v>403.40000000000003</v>
          </cell>
          <cell r="D213">
            <v>564.76</v>
          </cell>
          <cell r="E213">
            <v>0</v>
          </cell>
          <cell r="F213">
            <v>262.31999999999994</v>
          </cell>
          <cell r="G213">
            <v>367.25</v>
          </cell>
        </row>
        <row r="214">
          <cell r="B214">
            <v>210</v>
          </cell>
          <cell r="C214">
            <v>405.33000000000004</v>
          </cell>
          <cell r="D214">
            <v>567.46</v>
          </cell>
          <cell r="E214">
            <v>0</v>
          </cell>
          <cell r="F214">
            <v>263.57999999999993</v>
          </cell>
          <cell r="G214">
            <v>369.01</v>
          </cell>
        </row>
        <row r="215">
          <cell r="B215">
            <v>211</v>
          </cell>
          <cell r="C215">
            <v>407.26000000000005</v>
          </cell>
          <cell r="D215">
            <v>570.16</v>
          </cell>
          <cell r="E215">
            <v>0</v>
          </cell>
          <cell r="F215">
            <v>264.83999999999992</v>
          </cell>
          <cell r="G215">
            <v>370.78</v>
          </cell>
        </row>
        <row r="216">
          <cell r="B216">
            <v>212</v>
          </cell>
          <cell r="C216">
            <v>409.19000000000005</v>
          </cell>
          <cell r="D216">
            <v>572.87</v>
          </cell>
          <cell r="E216">
            <v>0</v>
          </cell>
          <cell r="F216">
            <v>266.09999999999991</v>
          </cell>
          <cell r="G216">
            <v>372.54</v>
          </cell>
        </row>
        <row r="217">
          <cell r="B217">
            <v>213</v>
          </cell>
          <cell r="C217">
            <v>411.12000000000006</v>
          </cell>
          <cell r="D217">
            <v>575.57000000000005</v>
          </cell>
          <cell r="E217">
            <v>0</v>
          </cell>
          <cell r="F217">
            <v>267.3599999999999</v>
          </cell>
          <cell r="G217">
            <v>374.3</v>
          </cell>
        </row>
        <row r="218">
          <cell r="B218">
            <v>214</v>
          </cell>
          <cell r="C218">
            <v>413.05000000000007</v>
          </cell>
          <cell r="D218">
            <v>578.27</v>
          </cell>
          <cell r="E218">
            <v>0</v>
          </cell>
          <cell r="F218">
            <v>268.61999999999989</v>
          </cell>
          <cell r="G218">
            <v>376.07</v>
          </cell>
        </row>
        <row r="219">
          <cell r="B219">
            <v>215</v>
          </cell>
          <cell r="C219">
            <v>414.98000000000008</v>
          </cell>
          <cell r="D219">
            <v>580.97</v>
          </cell>
          <cell r="E219">
            <v>0</v>
          </cell>
          <cell r="F219">
            <v>269.87999999999988</v>
          </cell>
          <cell r="G219">
            <v>377.83</v>
          </cell>
        </row>
        <row r="220">
          <cell r="B220">
            <v>216</v>
          </cell>
          <cell r="C220">
            <v>416.91000000000008</v>
          </cell>
          <cell r="D220">
            <v>583.66999999999996</v>
          </cell>
          <cell r="E220">
            <v>0</v>
          </cell>
          <cell r="F220">
            <v>271.13999999999987</v>
          </cell>
          <cell r="G220">
            <v>379.6</v>
          </cell>
        </row>
        <row r="221">
          <cell r="B221">
            <v>217</v>
          </cell>
          <cell r="C221">
            <v>418.84000000000009</v>
          </cell>
          <cell r="D221">
            <v>586.38</v>
          </cell>
          <cell r="E221">
            <v>0</v>
          </cell>
          <cell r="F221">
            <v>272.39999999999986</v>
          </cell>
          <cell r="G221">
            <v>381.36</v>
          </cell>
        </row>
        <row r="222">
          <cell r="B222">
            <v>218</v>
          </cell>
          <cell r="C222">
            <v>420.7700000000001</v>
          </cell>
          <cell r="D222">
            <v>589.08000000000004</v>
          </cell>
          <cell r="E222">
            <v>0</v>
          </cell>
          <cell r="F222">
            <v>273.65999999999985</v>
          </cell>
          <cell r="G222">
            <v>383.12</v>
          </cell>
        </row>
        <row r="223">
          <cell r="B223">
            <v>219</v>
          </cell>
          <cell r="C223">
            <v>422.7000000000001</v>
          </cell>
          <cell r="D223">
            <v>591.78</v>
          </cell>
          <cell r="E223">
            <v>0</v>
          </cell>
          <cell r="F223">
            <v>274.91999999999985</v>
          </cell>
          <cell r="G223">
            <v>384.89</v>
          </cell>
        </row>
        <row r="224">
          <cell r="B224">
            <v>220</v>
          </cell>
          <cell r="C224">
            <v>424.63000000000011</v>
          </cell>
          <cell r="D224">
            <v>594.48</v>
          </cell>
          <cell r="E224">
            <v>0</v>
          </cell>
          <cell r="F224">
            <v>276.17999999999984</v>
          </cell>
          <cell r="G224">
            <v>386.65</v>
          </cell>
        </row>
        <row r="225">
          <cell r="B225">
            <v>221</v>
          </cell>
          <cell r="C225">
            <v>426.56000000000012</v>
          </cell>
          <cell r="D225">
            <v>597.17999999999995</v>
          </cell>
          <cell r="E225">
            <v>0</v>
          </cell>
          <cell r="F225">
            <v>277.43999999999983</v>
          </cell>
          <cell r="G225">
            <v>388.42</v>
          </cell>
        </row>
        <row r="226">
          <cell r="B226">
            <v>222</v>
          </cell>
          <cell r="C226">
            <v>428.49000000000012</v>
          </cell>
          <cell r="D226">
            <v>599.89</v>
          </cell>
          <cell r="E226">
            <v>0</v>
          </cell>
          <cell r="F226">
            <v>278.69999999999982</v>
          </cell>
          <cell r="G226">
            <v>390.18</v>
          </cell>
        </row>
        <row r="227">
          <cell r="B227">
            <v>223</v>
          </cell>
          <cell r="C227">
            <v>430.42000000000013</v>
          </cell>
          <cell r="D227">
            <v>602.59</v>
          </cell>
          <cell r="E227">
            <v>0</v>
          </cell>
          <cell r="F227">
            <v>279.95999999999981</v>
          </cell>
          <cell r="G227">
            <v>391.94</v>
          </cell>
        </row>
        <row r="228">
          <cell r="B228">
            <v>224</v>
          </cell>
          <cell r="C228">
            <v>432.35000000000014</v>
          </cell>
          <cell r="D228">
            <v>605.29</v>
          </cell>
          <cell r="E228">
            <v>0</v>
          </cell>
          <cell r="F228">
            <v>281.2199999999998</v>
          </cell>
          <cell r="G228">
            <v>393.71</v>
          </cell>
        </row>
        <row r="229">
          <cell r="B229">
            <v>225</v>
          </cell>
          <cell r="C229">
            <v>434.28000000000014</v>
          </cell>
          <cell r="D229">
            <v>607.99</v>
          </cell>
          <cell r="E229">
            <v>0</v>
          </cell>
          <cell r="F229">
            <v>282.47999999999979</v>
          </cell>
          <cell r="G229">
            <v>395.47</v>
          </cell>
        </row>
        <row r="230">
          <cell r="B230">
            <v>226</v>
          </cell>
          <cell r="C230">
            <v>436.21000000000015</v>
          </cell>
          <cell r="D230">
            <v>610.69000000000005</v>
          </cell>
          <cell r="E230">
            <v>0</v>
          </cell>
          <cell r="F230">
            <v>283.73999999999978</v>
          </cell>
          <cell r="G230">
            <v>397.24</v>
          </cell>
        </row>
        <row r="231">
          <cell r="B231">
            <v>227</v>
          </cell>
          <cell r="C231">
            <v>438.14000000000016</v>
          </cell>
          <cell r="D231">
            <v>613.4</v>
          </cell>
          <cell r="E231">
            <v>0</v>
          </cell>
          <cell r="F231">
            <v>284.99999999999977</v>
          </cell>
          <cell r="G231">
            <v>399</v>
          </cell>
        </row>
        <row r="232">
          <cell r="B232">
            <v>228</v>
          </cell>
          <cell r="C232">
            <v>440.07000000000016</v>
          </cell>
          <cell r="D232">
            <v>616.1</v>
          </cell>
          <cell r="E232">
            <v>0</v>
          </cell>
          <cell r="F232">
            <v>286.25999999999976</v>
          </cell>
          <cell r="G232">
            <v>400.76</v>
          </cell>
        </row>
        <row r="233">
          <cell r="B233">
            <v>229</v>
          </cell>
          <cell r="C233">
            <v>442.00000000000017</v>
          </cell>
          <cell r="D233">
            <v>618.79999999999995</v>
          </cell>
          <cell r="E233">
            <v>0</v>
          </cell>
          <cell r="F233">
            <v>287.51999999999975</v>
          </cell>
          <cell r="G233">
            <v>402.53</v>
          </cell>
        </row>
        <row r="234">
          <cell r="B234">
            <v>230</v>
          </cell>
          <cell r="C234">
            <v>443.93000000000018</v>
          </cell>
          <cell r="D234">
            <v>621.5</v>
          </cell>
          <cell r="E234">
            <v>0</v>
          </cell>
          <cell r="F234">
            <v>288.77999999999975</v>
          </cell>
          <cell r="G234">
            <v>404.29</v>
          </cell>
        </row>
        <row r="235">
          <cell r="B235">
            <v>231</v>
          </cell>
          <cell r="C235">
            <v>445.86000000000018</v>
          </cell>
          <cell r="D235">
            <v>624.20000000000005</v>
          </cell>
          <cell r="E235">
            <v>0</v>
          </cell>
          <cell r="F235">
            <v>290.03999999999974</v>
          </cell>
          <cell r="G235">
            <v>406.06</v>
          </cell>
        </row>
        <row r="236">
          <cell r="B236">
            <v>232</v>
          </cell>
          <cell r="C236">
            <v>447.79000000000019</v>
          </cell>
          <cell r="D236">
            <v>626.91</v>
          </cell>
          <cell r="E236">
            <v>0</v>
          </cell>
          <cell r="F236">
            <v>291.29999999999973</v>
          </cell>
          <cell r="G236">
            <v>407.82</v>
          </cell>
        </row>
        <row r="237">
          <cell r="B237">
            <v>233</v>
          </cell>
          <cell r="C237">
            <v>449.7200000000002</v>
          </cell>
          <cell r="D237">
            <v>629.61</v>
          </cell>
          <cell r="E237">
            <v>0</v>
          </cell>
          <cell r="F237">
            <v>292.55999999999972</v>
          </cell>
          <cell r="G237">
            <v>409.58</v>
          </cell>
        </row>
        <row r="238">
          <cell r="B238">
            <v>234</v>
          </cell>
          <cell r="C238">
            <v>451.6500000000002</v>
          </cell>
          <cell r="D238">
            <v>632.30999999999995</v>
          </cell>
          <cell r="E238">
            <v>0</v>
          </cell>
          <cell r="F238">
            <v>293.81999999999971</v>
          </cell>
          <cell r="G238">
            <v>411.35</v>
          </cell>
        </row>
        <row r="239">
          <cell r="B239">
            <v>235</v>
          </cell>
          <cell r="C239">
            <v>453.58000000000021</v>
          </cell>
          <cell r="D239">
            <v>635.01</v>
          </cell>
          <cell r="E239">
            <v>0</v>
          </cell>
          <cell r="F239">
            <v>295.0799999999997</v>
          </cell>
          <cell r="G239">
            <v>413.11</v>
          </cell>
        </row>
        <row r="240">
          <cell r="B240">
            <v>236</v>
          </cell>
          <cell r="C240">
            <v>455.51000000000022</v>
          </cell>
          <cell r="D240">
            <v>637.71</v>
          </cell>
          <cell r="E240">
            <v>0</v>
          </cell>
          <cell r="F240">
            <v>296.33999999999969</v>
          </cell>
          <cell r="G240">
            <v>414.88</v>
          </cell>
        </row>
        <row r="241">
          <cell r="B241">
            <v>237</v>
          </cell>
          <cell r="C241">
            <v>457.44000000000023</v>
          </cell>
          <cell r="D241">
            <v>640.41999999999996</v>
          </cell>
          <cell r="E241">
            <v>0</v>
          </cell>
          <cell r="F241">
            <v>297.59999999999968</v>
          </cell>
          <cell r="G241">
            <v>416.64</v>
          </cell>
        </row>
        <row r="242">
          <cell r="B242">
            <v>238</v>
          </cell>
          <cell r="C242">
            <v>459.37000000000023</v>
          </cell>
          <cell r="D242">
            <v>643.12</v>
          </cell>
          <cell r="E242">
            <v>0</v>
          </cell>
          <cell r="F242">
            <v>298.85999999999967</v>
          </cell>
          <cell r="G242">
            <v>418.4</v>
          </cell>
        </row>
        <row r="243">
          <cell r="B243">
            <v>239</v>
          </cell>
          <cell r="C243">
            <v>461.30000000000024</v>
          </cell>
          <cell r="D243">
            <v>645.82000000000005</v>
          </cell>
          <cell r="E243">
            <v>0</v>
          </cell>
          <cell r="F243">
            <v>300.11999999999966</v>
          </cell>
          <cell r="G243">
            <v>420.17</v>
          </cell>
        </row>
        <row r="244">
          <cell r="B244">
            <v>240</v>
          </cell>
          <cell r="C244">
            <v>463.23000000000025</v>
          </cell>
          <cell r="D244">
            <v>648.52</v>
          </cell>
          <cell r="E244">
            <v>0</v>
          </cell>
          <cell r="F244">
            <v>301.37999999999965</v>
          </cell>
          <cell r="G244">
            <v>421.93</v>
          </cell>
        </row>
        <row r="245">
          <cell r="B245">
            <v>241</v>
          </cell>
          <cell r="C245">
            <v>465.16000000000025</v>
          </cell>
          <cell r="D245">
            <v>651.22</v>
          </cell>
          <cell r="E245">
            <v>0</v>
          </cell>
          <cell r="F245">
            <v>302.63999999999965</v>
          </cell>
          <cell r="G245">
            <v>423.7</v>
          </cell>
        </row>
        <row r="246">
          <cell r="B246">
            <v>242</v>
          </cell>
          <cell r="C246">
            <v>467.09000000000026</v>
          </cell>
          <cell r="D246">
            <v>653.92999999999995</v>
          </cell>
          <cell r="E246">
            <v>0</v>
          </cell>
          <cell r="F246">
            <v>303.89999999999964</v>
          </cell>
          <cell r="G246">
            <v>425.46</v>
          </cell>
        </row>
        <row r="247">
          <cell r="B247">
            <v>243</v>
          </cell>
          <cell r="C247">
            <v>469.02000000000027</v>
          </cell>
          <cell r="D247">
            <v>656.63</v>
          </cell>
          <cell r="E247">
            <v>0</v>
          </cell>
          <cell r="F247">
            <v>305.15999999999963</v>
          </cell>
          <cell r="G247">
            <v>427.22</v>
          </cell>
        </row>
        <row r="248">
          <cell r="B248">
            <v>244</v>
          </cell>
          <cell r="C248">
            <v>470.95000000000027</v>
          </cell>
          <cell r="D248">
            <v>659.33</v>
          </cell>
          <cell r="E248">
            <v>0</v>
          </cell>
          <cell r="F248">
            <v>306.41999999999962</v>
          </cell>
          <cell r="G248">
            <v>428.99</v>
          </cell>
        </row>
        <row r="249">
          <cell r="B249">
            <v>245</v>
          </cell>
          <cell r="C249">
            <v>472.88000000000028</v>
          </cell>
          <cell r="D249">
            <v>662.03</v>
          </cell>
          <cell r="E249">
            <v>0</v>
          </cell>
          <cell r="F249">
            <v>307.67999999999961</v>
          </cell>
          <cell r="G249">
            <v>430.75</v>
          </cell>
        </row>
        <row r="250">
          <cell r="B250">
            <v>246</v>
          </cell>
          <cell r="C250">
            <v>474.81000000000029</v>
          </cell>
          <cell r="D250">
            <v>664.73</v>
          </cell>
          <cell r="E250">
            <v>0</v>
          </cell>
          <cell r="F250">
            <v>308.9399999999996</v>
          </cell>
          <cell r="G250">
            <v>432.52</v>
          </cell>
        </row>
        <row r="251">
          <cell r="B251">
            <v>247</v>
          </cell>
          <cell r="C251">
            <v>476.74000000000029</v>
          </cell>
          <cell r="D251">
            <v>667.44</v>
          </cell>
          <cell r="E251">
            <v>0</v>
          </cell>
          <cell r="F251">
            <v>310.19999999999959</v>
          </cell>
          <cell r="G251">
            <v>434.28</v>
          </cell>
        </row>
        <row r="252">
          <cell r="B252">
            <v>248</v>
          </cell>
          <cell r="C252">
            <v>478.6700000000003</v>
          </cell>
          <cell r="D252">
            <v>670.14</v>
          </cell>
          <cell r="E252">
            <v>0</v>
          </cell>
          <cell r="F252">
            <v>311.45999999999958</v>
          </cell>
          <cell r="G252">
            <v>436.04</v>
          </cell>
        </row>
        <row r="253">
          <cell r="B253">
            <v>249</v>
          </cell>
          <cell r="C253">
            <v>480.60000000000031</v>
          </cell>
          <cell r="D253">
            <v>672.84</v>
          </cell>
          <cell r="E253">
            <v>0</v>
          </cell>
          <cell r="F253">
            <v>312.71999999999957</v>
          </cell>
          <cell r="G253">
            <v>437.81</v>
          </cell>
        </row>
        <row r="254">
          <cell r="B254">
            <v>250</v>
          </cell>
          <cell r="C254">
            <v>482.53000000000031</v>
          </cell>
          <cell r="D254">
            <v>675.54</v>
          </cell>
          <cell r="E254">
            <v>0</v>
          </cell>
          <cell r="F254">
            <v>313.97999999999956</v>
          </cell>
          <cell r="G254">
            <v>439.57</v>
          </cell>
        </row>
        <row r="255">
          <cell r="B255">
            <v>251</v>
          </cell>
          <cell r="C255">
            <v>484.46000000000032</v>
          </cell>
          <cell r="D255">
            <v>678.24</v>
          </cell>
          <cell r="E255">
            <v>0</v>
          </cell>
          <cell r="F255">
            <v>315.23999999999955</v>
          </cell>
          <cell r="G255">
            <v>441.34</v>
          </cell>
        </row>
        <row r="256">
          <cell r="B256">
            <v>252</v>
          </cell>
          <cell r="C256">
            <v>486.39000000000033</v>
          </cell>
          <cell r="D256">
            <v>680.95</v>
          </cell>
          <cell r="E256">
            <v>0</v>
          </cell>
          <cell r="F256">
            <v>316.49999999999955</v>
          </cell>
          <cell r="G256">
            <v>443.1</v>
          </cell>
        </row>
        <row r="257">
          <cell r="B257">
            <v>253</v>
          </cell>
          <cell r="C257">
            <v>488.32000000000033</v>
          </cell>
          <cell r="D257">
            <v>683.65</v>
          </cell>
          <cell r="E257">
            <v>0</v>
          </cell>
          <cell r="F257">
            <v>317.75999999999954</v>
          </cell>
          <cell r="G257">
            <v>444.86</v>
          </cell>
        </row>
        <row r="258">
          <cell r="B258">
            <v>254</v>
          </cell>
          <cell r="C258">
            <v>490.25000000000034</v>
          </cell>
          <cell r="D258">
            <v>686.35</v>
          </cell>
          <cell r="E258">
            <v>0</v>
          </cell>
          <cell r="F258">
            <v>319.01999999999953</v>
          </cell>
          <cell r="G258">
            <v>446.63</v>
          </cell>
        </row>
        <row r="259">
          <cell r="B259">
            <v>255</v>
          </cell>
          <cell r="C259">
            <v>492.18000000000035</v>
          </cell>
          <cell r="D259">
            <v>689.05</v>
          </cell>
          <cell r="E259">
            <v>0</v>
          </cell>
          <cell r="F259">
            <v>320.27999999999952</v>
          </cell>
          <cell r="G259">
            <v>448.39</v>
          </cell>
        </row>
        <row r="260">
          <cell r="B260">
            <v>256</v>
          </cell>
          <cell r="C260">
            <v>494.11000000000035</v>
          </cell>
          <cell r="D260">
            <v>691.75</v>
          </cell>
          <cell r="E260">
            <v>0</v>
          </cell>
          <cell r="F260">
            <v>321.53999999999951</v>
          </cell>
          <cell r="G260">
            <v>450.16</v>
          </cell>
        </row>
        <row r="261">
          <cell r="B261">
            <v>257</v>
          </cell>
          <cell r="C261">
            <v>496.04000000000036</v>
          </cell>
          <cell r="D261">
            <v>694.46</v>
          </cell>
          <cell r="E261">
            <v>0</v>
          </cell>
          <cell r="F261">
            <v>322.7999999999995</v>
          </cell>
          <cell r="G261">
            <v>451.92</v>
          </cell>
        </row>
        <row r="262">
          <cell r="B262">
            <v>258</v>
          </cell>
          <cell r="C262">
            <v>497.97000000000037</v>
          </cell>
          <cell r="D262">
            <v>697.16</v>
          </cell>
          <cell r="E262">
            <v>0</v>
          </cell>
          <cell r="F262">
            <v>324.05999999999949</v>
          </cell>
          <cell r="G262">
            <v>453.68</v>
          </cell>
        </row>
        <row r="263">
          <cell r="B263">
            <v>259</v>
          </cell>
          <cell r="C263">
            <v>499.90000000000038</v>
          </cell>
          <cell r="D263">
            <v>699.86</v>
          </cell>
          <cell r="E263">
            <v>0</v>
          </cell>
          <cell r="F263">
            <v>325.31999999999948</v>
          </cell>
          <cell r="G263">
            <v>455.45</v>
          </cell>
        </row>
        <row r="264">
          <cell r="B264">
            <v>260</v>
          </cell>
          <cell r="C264">
            <v>501.83000000000038</v>
          </cell>
          <cell r="D264">
            <v>702.56</v>
          </cell>
          <cell r="E264">
            <v>0</v>
          </cell>
          <cell r="F264">
            <v>326.57999999999947</v>
          </cell>
          <cell r="G264">
            <v>457.21</v>
          </cell>
        </row>
        <row r="265">
          <cell r="B265">
            <v>261</v>
          </cell>
          <cell r="C265">
            <v>503.76000000000039</v>
          </cell>
          <cell r="D265">
            <v>705.26</v>
          </cell>
          <cell r="E265">
            <v>0</v>
          </cell>
          <cell r="F265">
            <v>327.83999999999946</v>
          </cell>
          <cell r="G265">
            <v>458.98</v>
          </cell>
        </row>
        <row r="266">
          <cell r="B266">
            <v>262</v>
          </cell>
          <cell r="C266">
            <v>505.6900000000004</v>
          </cell>
          <cell r="D266">
            <v>707.97</v>
          </cell>
          <cell r="E266">
            <v>0</v>
          </cell>
          <cell r="F266">
            <v>329.09999999999945</v>
          </cell>
          <cell r="G266">
            <v>460.74</v>
          </cell>
        </row>
        <row r="267">
          <cell r="B267">
            <v>263</v>
          </cell>
          <cell r="C267">
            <v>507.6200000000004</v>
          </cell>
          <cell r="D267">
            <v>710.67</v>
          </cell>
          <cell r="E267">
            <v>0</v>
          </cell>
          <cell r="F267">
            <v>330.35999999999945</v>
          </cell>
          <cell r="G267">
            <v>462.5</v>
          </cell>
        </row>
        <row r="268">
          <cell r="B268">
            <v>264</v>
          </cell>
          <cell r="C268">
            <v>509.55000000000041</v>
          </cell>
          <cell r="D268">
            <v>713.37</v>
          </cell>
          <cell r="E268">
            <v>0</v>
          </cell>
          <cell r="F268">
            <v>331.61999999999944</v>
          </cell>
          <cell r="G268">
            <v>464.27</v>
          </cell>
        </row>
        <row r="269">
          <cell r="B269">
            <v>265</v>
          </cell>
          <cell r="C269">
            <v>511.48000000000042</v>
          </cell>
          <cell r="D269">
            <v>716.07</v>
          </cell>
          <cell r="E269">
            <v>0</v>
          </cell>
          <cell r="F269">
            <v>332.87999999999943</v>
          </cell>
          <cell r="G269">
            <v>466.03</v>
          </cell>
        </row>
        <row r="270">
          <cell r="B270">
            <v>266</v>
          </cell>
          <cell r="C270">
            <v>513.41000000000042</v>
          </cell>
          <cell r="D270">
            <v>718.77</v>
          </cell>
          <cell r="E270">
            <v>0</v>
          </cell>
          <cell r="F270">
            <v>334.13999999999942</v>
          </cell>
          <cell r="G270">
            <v>467.8</v>
          </cell>
        </row>
        <row r="271">
          <cell r="B271">
            <v>267</v>
          </cell>
          <cell r="C271">
            <v>515.34000000000037</v>
          </cell>
          <cell r="D271">
            <v>721.48</v>
          </cell>
          <cell r="E271">
            <v>0</v>
          </cell>
          <cell r="F271">
            <v>335.39999999999941</v>
          </cell>
          <cell r="G271">
            <v>469.56</v>
          </cell>
        </row>
        <row r="272">
          <cell r="B272">
            <v>268</v>
          </cell>
          <cell r="C272">
            <v>517.27000000000032</v>
          </cell>
          <cell r="D272">
            <v>724.18</v>
          </cell>
          <cell r="E272">
            <v>0</v>
          </cell>
          <cell r="F272">
            <v>336.6599999999994</v>
          </cell>
          <cell r="G272">
            <v>471.32</v>
          </cell>
        </row>
        <row r="273">
          <cell r="B273">
            <v>269</v>
          </cell>
          <cell r="C273">
            <v>519.20000000000027</v>
          </cell>
          <cell r="D273">
            <v>726.88</v>
          </cell>
          <cell r="E273">
            <v>0</v>
          </cell>
          <cell r="F273">
            <v>337.91999999999939</v>
          </cell>
          <cell r="G273">
            <v>473.09</v>
          </cell>
        </row>
        <row r="274">
          <cell r="B274">
            <v>270</v>
          </cell>
          <cell r="C274">
            <v>521.13000000000022</v>
          </cell>
          <cell r="D274">
            <v>729.58</v>
          </cell>
          <cell r="E274">
            <v>0</v>
          </cell>
          <cell r="F274">
            <v>339.17999999999938</v>
          </cell>
          <cell r="G274">
            <v>474.85</v>
          </cell>
        </row>
        <row r="275">
          <cell r="B275">
            <v>271</v>
          </cell>
          <cell r="C275">
            <v>523.06000000000017</v>
          </cell>
          <cell r="D275">
            <v>732.28</v>
          </cell>
          <cell r="E275">
            <v>0</v>
          </cell>
          <cell r="F275">
            <v>340.43999999999937</v>
          </cell>
          <cell r="G275">
            <v>476.62</v>
          </cell>
        </row>
        <row r="276">
          <cell r="B276">
            <v>272</v>
          </cell>
          <cell r="C276">
            <v>524.99000000000012</v>
          </cell>
          <cell r="D276">
            <v>734.99</v>
          </cell>
          <cell r="E276">
            <v>0</v>
          </cell>
          <cell r="F276">
            <v>341.69999999999936</v>
          </cell>
          <cell r="G276">
            <v>478.38</v>
          </cell>
        </row>
        <row r="277">
          <cell r="B277">
            <v>273</v>
          </cell>
          <cell r="C277">
            <v>526.92000000000007</v>
          </cell>
          <cell r="D277">
            <v>737.69</v>
          </cell>
          <cell r="E277">
            <v>0</v>
          </cell>
          <cell r="F277">
            <v>342.95999999999935</v>
          </cell>
          <cell r="G277">
            <v>480.14</v>
          </cell>
        </row>
        <row r="278">
          <cell r="B278">
            <v>274</v>
          </cell>
          <cell r="C278">
            <v>528.85</v>
          </cell>
          <cell r="D278">
            <v>740.39</v>
          </cell>
          <cell r="E278">
            <v>0</v>
          </cell>
          <cell r="F278">
            <v>344.21999999999935</v>
          </cell>
          <cell r="G278">
            <v>481.91</v>
          </cell>
        </row>
        <row r="279">
          <cell r="B279">
            <v>275</v>
          </cell>
          <cell r="C279">
            <v>530.78</v>
          </cell>
          <cell r="D279">
            <v>743.09</v>
          </cell>
          <cell r="E279">
            <v>0</v>
          </cell>
          <cell r="F279">
            <v>345.47999999999934</v>
          </cell>
          <cell r="G279">
            <v>483.67</v>
          </cell>
        </row>
        <row r="280">
          <cell r="B280">
            <v>276</v>
          </cell>
          <cell r="C280">
            <v>532.70999999999992</v>
          </cell>
          <cell r="D280">
            <v>745.79</v>
          </cell>
          <cell r="E280">
            <v>0</v>
          </cell>
          <cell r="F280">
            <v>346.73999999999933</v>
          </cell>
          <cell r="G280">
            <v>485.44</v>
          </cell>
        </row>
        <row r="281">
          <cell r="B281">
            <v>277</v>
          </cell>
          <cell r="C281">
            <v>534.63999999999987</v>
          </cell>
          <cell r="D281">
            <v>748.5</v>
          </cell>
          <cell r="E281">
            <v>0</v>
          </cell>
          <cell r="F281">
            <v>347.99999999999932</v>
          </cell>
          <cell r="G281">
            <v>487.2</v>
          </cell>
        </row>
        <row r="282">
          <cell r="B282">
            <v>278</v>
          </cell>
          <cell r="C282">
            <v>536.56999999999982</v>
          </cell>
          <cell r="D282">
            <v>751.2</v>
          </cell>
          <cell r="E282">
            <v>0</v>
          </cell>
          <cell r="F282">
            <v>349.25999999999931</v>
          </cell>
          <cell r="G282">
            <v>488.96</v>
          </cell>
        </row>
        <row r="283">
          <cell r="B283">
            <v>279</v>
          </cell>
          <cell r="C283">
            <v>538.49999999999977</v>
          </cell>
          <cell r="D283">
            <v>753.9</v>
          </cell>
          <cell r="E283">
            <v>0</v>
          </cell>
          <cell r="F283">
            <v>350.5199999999993</v>
          </cell>
          <cell r="G283">
            <v>490.73</v>
          </cell>
        </row>
        <row r="284">
          <cell r="B284">
            <v>280</v>
          </cell>
          <cell r="C284">
            <v>540.42999999999972</v>
          </cell>
          <cell r="D284">
            <v>756.6</v>
          </cell>
          <cell r="E284">
            <v>0</v>
          </cell>
          <cell r="F284">
            <v>351.77999999999929</v>
          </cell>
          <cell r="G284">
            <v>492.49</v>
          </cell>
        </row>
        <row r="285">
          <cell r="B285">
            <v>281</v>
          </cell>
          <cell r="C285">
            <v>542.35999999999967</v>
          </cell>
          <cell r="D285">
            <v>759.3</v>
          </cell>
          <cell r="E285">
            <v>0</v>
          </cell>
          <cell r="F285">
            <v>353.03999999999928</v>
          </cell>
          <cell r="G285">
            <v>494.26</v>
          </cell>
        </row>
        <row r="286">
          <cell r="B286">
            <v>282</v>
          </cell>
          <cell r="C286">
            <v>544.28999999999962</v>
          </cell>
          <cell r="D286">
            <v>762.01</v>
          </cell>
          <cell r="E286">
            <v>0</v>
          </cell>
          <cell r="F286">
            <v>354.29999999999927</v>
          </cell>
          <cell r="G286">
            <v>496.02</v>
          </cell>
        </row>
        <row r="287">
          <cell r="B287">
            <v>283</v>
          </cell>
          <cell r="C287">
            <v>546.21999999999957</v>
          </cell>
          <cell r="D287">
            <v>764.71</v>
          </cell>
          <cell r="E287">
            <v>0</v>
          </cell>
          <cell r="F287">
            <v>355.55999999999926</v>
          </cell>
          <cell r="G287">
            <v>497.78</v>
          </cell>
        </row>
        <row r="288">
          <cell r="B288">
            <v>284</v>
          </cell>
          <cell r="C288">
            <v>548.14999999999952</v>
          </cell>
          <cell r="D288">
            <v>767.41</v>
          </cell>
          <cell r="E288">
            <v>0</v>
          </cell>
          <cell r="F288">
            <v>356.81999999999925</v>
          </cell>
          <cell r="G288">
            <v>499.55</v>
          </cell>
        </row>
        <row r="289">
          <cell r="B289">
            <v>285</v>
          </cell>
          <cell r="C289">
            <v>550.07999999999947</v>
          </cell>
          <cell r="D289">
            <v>770.11</v>
          </cell>
          <cell r="E289">
            <v>0</v>
          </cell>
          <cell r="F289">
            <v>358.07999999999925</v>
          </cell>
          <cell r="G289">
            <v>501.31</v>
          </cell>
        </row>
        <row r="290">
          <cell r="B290">
            <v>286</v>
          </cell>
          <cell r="C290">
            <v>552.00999999999942</v>
          </cell>
          <cell r="D290">
            <v>772.81</v>
          </cell>
          <cell r="E290">
            <v>0</v>
          </cell>
          <cell r="F290">
            <v>359.33999999999924</v>
          </cell>
          <cell r="G290">
            <v>503.08</v>
          </cell>
        </row>
        <row r="291">
          <cell r="B291">
            <v>287</v>
          </cell>
          <cell r="C291">
            <v>553.93999999999937</v>
          </cell>
          <cell r="D291">
            <v>775.52</v>
          </cell>
          <cell r="E291">
            <v>0</v>
          </cell>
          <cell r="F291">
            <v>360.59999999999923</v>
          </cell>
          <cell r="G291">
            <v>504.84</v>
          </cell>
        </row>
        <row r="292">
          <cell r="B292">
            <v>288</v>
          </cell>
          <cell r="C292">
            <v>555.86999999999932</v>
          </cell>
          <cell r="D292">
            <v>778.22</v>
          </cell>
          <cell r="E292">
            <v>0</v>
          </cell>
          <cell r="F292">
            <v>361.85999999999922</v>
          </cell>
          <cell r="G292">
            <v>506.6</v>
          </cell>
        </row>
        <row r="293">
          <cell r="B293">
            <v>289</v>
          </cell>
          <cell r="C293">
            <v>557.79999999999927</v>
          </cell>
          <cell r="D293">
            <v>780.92</v>
          </cell>
          <cell r="E293">
            <v>0</v>
          </cell>
          <cell r="F293">
            <v>363.11999999999921</v>
          </cell>
          <cell r="G293">
            <v>508.37</v>
          </cell>
        </row>
        <row r="294">
          <cell r="B294">
            <v>290</v>
          </cell>
          <cell r="C294">
            <v>559.72999999999922</v>
          </cell>
          <cell r="D294">
            <v>783.62</v>
          </cell>
          <cell r="E294">
            <v>0</v>
          </cell>
          <cell r="F294">
            <v>364.3799999999992</v>
          </cell>
          <cell r="G294">
            <v>510.13</v>
          </cell>
        </row>
        <row r="295">
          <cell r="B295">
            <v>291</v>
          </cell>
          <cell r="C295">
            <v>561.65999999999917</v>
          </cell>
          <cell r="D295">
            <v>786.32</v>
          </cell>
          <cell r="E295">
            <v>0</v>
          </cell>
          <cell r="F295">
            <v>365.63999999999919</v>
          </cell>
          <cell r="G295">
            <v>511.9</v>
          </cell>
        </row>
        <row r="296">
          <cell r="B296">
            <v>292</v>
          </cell>
          <cell r="C296">
            <v>563.58999999999912</v>
          </cell>
          <cell r="D296">
            <v>789.03</v>
          </cell>
          <cell r="E296">
            <v>0</v>
          </cell>
          <cell r="F296">
            <v>366.89999999999918</v>
          </cell>
          <cell r="G296">
            <v>513.66</v>
          </cell>
        </row>
        <row r="297">
          <cell r="B297">
            <v>293</v>
          </cell>
          <cell r="C297">
            <v>565.51999999999907</v>
          </cell>
          <cell r="D297">
            <v>791.73</v>
          </cell>
          <cell r="E297">
            <v>0</v>
          </cell>
          <cell r="F297">
            <v>368.15999999999917</v>
          </cell>
          <cell r="G297">
            <v>515.41999999999996</v>
          </cell>
        </row>
        <row r="298">
          <cell r="B298">
            <v>294</v>
          </cell>
          <cell r="C298">
            <v>567.44999999999902</v>
          </cell>
          <cell r="D298">
            <v>794.43</v>
          </cell>
          <cell r="E298">
            <v>0</v>
          </cell>
          <cell r="F298">
            <v>369.41999999999916</v>
          </cell>
          <cell r="G298">
            <v>517.19000000000005</v>
          </cell>
        </row>
        <row r="299">
          <cell r="B299">
            <v>295</v>
          </cell>
          <cell r="C299">
            <v>569.37999999999897</v>
          </cell>
          <cell r="D299">
            <v>797.13</v>
          </cell>
          <cell r="E299">
            <v>0</v>
          </cell>
          <cell r="F299">
            <v>370.67999999999915</v>
          </cell>
          <cell r="G299">
            <v>518.95000000000005</v>
          </cell>
        </row>
        <row r="300">
          <cell r="B300">
            <v>296</v>
          </cell>
          <cell r="C300">
            <v>571.30999999999892</v>
          </cell>
          <cell r="D300">
            <v>799.83</v>
          </cell>
          <cell r="E300">
            <v>0</v>
          </cell>
          <cell r="F300">
            <v>371.93999999999915</v>
          </cell>
          <cell r="G300">
            <v>520.72</v>
          </cell>
        </row>
        <row r="301">
          <cell r="B301">
            <v>297</v>
          </cell>
          <cell r="C301">
            <v>573.23999999999887</v>
          </cell>
          <cell r="D301">
            <v>802.54</v>
          </cell>
          <cell r="E301">
            <v>0</v>
          </cell>
          <cell r="F301">
            <v>373.19999999999914</v>
          </cell>
          <cell r="G301">
            <v>522.48</v>
          </cell>
        </row>
        <row r="302">
          <cell r="B302">
            <v>298</v>
          </cell>
          <cell r="C302">
            <v>575.16999999999882</v>
          </cell>
          <cell r="D302">
            <v>805.24</v>
          </cell>
          <cell r="E302">
            <v>0</v>
          </cell>
          <cell r="F302">
            <v>374.45999999999913</v>
          </cell>
          <cell r="G302">
            <v>524.24</v>
          </cell>
        </row>
        <row r="303">
          <cell r="B303">
            <v>299</v>
          </cell>
          <cell r="C303">
            <v>577.09999999999877</v>
          </cell>
          <cell r="D303">
            <v>807.94</v>
          </cell>
          <cell r="E303">
            <v>0</v>
          </cell>
          <cell r="F303">
            <v>375.71999999999912</v>
          </cell>
          <cell r="G303">
            <v>526.01</v>
          </cell>
        </row>
        <row r="304">
          <cell r="B304">
            <v>300</v>
          </cell>
          <cell r="C304">
            <v>579.02999999999872</v>
          </cell>
          <cell r="D304">
            <v>810.64</v>
          </cell>
          <cell r="E304">
            <v>0</v>
          </cell>
          <cell r="F304">
            <v>376.97999999999911</v>
          </cell>
          <cell r="G304">
            <v>527.77</v>
          </cell>
        </row>
        <row r="305">
          <cell r="B305">
            <v>301</v>
          </cell>
          <cell r="C305">
            <v>580.95999999999867</v>
          </cell>
          <cell r="D305">
            <v>813.34</v>
          </cell>
          <cell r="E305">
            <v>0</v>
          </cell>
          <cell r="F305">
            <v>378.2399999999991</v>
          </cell>
          <cell r="G305">
            <v>529.54</v>
          </cell>
        </row>
        <row r="306">
          <cell r="B306">
            <v>302</v>
          </cell>
          <cell r="C306">
            <v>582.88999999999862</v>
          </cell>
          <cell r="D306">
            <v>816.05</v>
          </cell>
          <cell r="E306">
            <v>0</v>
          </cell>
          <cell r="F306">
            <v>379.49999999999909</v>
          </cell>
          <cell r="G306">
            <v>531.29999999999995</v>
          </cell>
        </row>
        <row r="307">
          <cell r="B307">
            <v>303</v>
          </cell>
          <cell r="C307">
            <v>584.81999999999857</v>
          </cell>
          <cell r="D307">
            <v>818.75</v>
          </cell>
          <cell r="E307">
            <v>0</v>
          </cell>
          <cell r="F307">
            <v>380.75999999999908</v>
          </cell>
          <cell r="G307">
            <v>533.05999999999995</v>
          </cell>
        </row>
        <row r="308">
          <cell r="B308">
            <v>304</v>
          </cell>
          <cell r="C308">
            <v>586.74999999999852</v>
          </cell>
          <cell r="D308">
            <v>821.45</v>
          </cell>
          <cell r="E308">
            <v>0</v>
          </cell>
          <cell r="F308">
            <v>382.01999999999907</v>
          </cell>
          <cell r="G308">
            <v>534.83000000000004</v>
          </cell>
        </row>
        <row r="309">
          <cell r="B309">
            <v>305</v>
          </cell>
          <cell r="C309">
            <v>588.67999999999847</v>
          </cell>
          <cell r="D309">
            <v>824.15</v>
          </cell>
          <cell r="E309">
            <v>0</v>
          </cell>
          <cell r="F309">
            <v>383.27999999999906</v>
          </cell>
          <cell r="G309">
            <v>536.59</v>
          </cell>
        </row>
        <row r="310">
          <cell r="B310">
            <v>306</v>
          </cell>
          <cell r="C310">
            <v>590.60999999999842</v>
          </cell>
          <cell r="D310">
            <v>826.85</v>
          </cell>
          <cell r="E310">
            <v>0</v>
          </cell>
          <cell r="F310">
            <v>384.53999999999905</v>
          </cell>
          <cell r="G310">
            <v>538.36</v>
          </cell>
        </row>
        <row r="311">
          <cell r="B311">
            <v>307</v>
          </cell>
          <cell r="C311">
            <v>592.53999999999837</v>
          </cell>
          <cell r="D311">
            <v>829.56</v>
          </cell>
          <cell r="E311">
            <v>0</v>
          </cell>
          <cell r="F311">
            <v>385.79999999999905</v>
          </cell>
          <cell r="G311">
            <v>540.12</v>
          </cell>
        </row>
        <row r="312">
          <cell r="B312">
            <v>308</v>
          </cell>
          <cell r="C312">
            <v>594.46999999999832</v>
          </cell>
          <cell r="D312">
            <v>832.26</v>
          </cell>
          <cell r="E312">
            <v>0</v>
          </cell>
          <cell r="F312">
            <v>387.05999999999904</v>
          </cell>
          <cell r="G312">
            <v>541.88</v>
          </cell>
        </row>
        <row r="313">
          <cell r="B313">
            <v>309</v>
          </cell>
          <cell r="C313">
            <v>596.39999999999827</v>
          </cell>
          <cell r="D313">
            <v>834.96</v>
          </cell>
          <cell r="E313">
            <v>0</v>
          </cell>
          <cell r="F313">
            <v>388.31999999999903</v>
          </cell>
          <cell r="G313">
            <v>543.65</v>
          </cell>
        </row>
        <row r="314">
          <cell r="B314">
            <v>310</v>
          </cell>
          <cell r="C314">
            <v>598.32999999999822</v>
          </cell>
          <cell r="D314">
            <v>837.66</v>
          </cell>
          <cell r="E314">
            <v>0</v>
          </cell>
          <cell r="F314">
            <v>389.57999999999902</v>
          </cell>
          <cell r="G314">
            <v>545.41</v>
          </cell>
        </row>
        <row r="315">
          <cell r="B315">
            <v>311</v>
          </cell>
          <cell r="C315">
            <v>600.25999999999817</v>
          </cell>
          <cell r="D315">
            <v>840.36</v>
          </cell>
          <cell r="E315">
            <v>0</v>
          </cell>
          <cell r="F315">
            <v>390.83999999999901</v>
          </cell>
          <cell r="G315">
            <v>547.17999999999995</v>
          </cell>
        </row>
        <row r="316">
          <cell r="B316">
            <v>312</v>
          </cell>
          <cell r="C316">
            <v>602.18999999999812</v>
          </cell>
          <cell r="D316">
            <v>843.07</v>
          </cell>
          <cell r="E316">
            <v>0</v>
          </cell>
          <cell r="F316">
            <v>392.099999999999</v>
          </cell>
          <cell r="G316">
            <v>548.94000000000005</v>
          </cell>
        </row>
        <row r="317">
          <cell r="B317">
            <v>313</v>
          </cell>
          <cell r="C317">
            <v>604.11999999999807</v>
          </cell>
          <cell r="D317">
            <v>845.77</v>
          </cell>
          <cell r="E317">
            <v>0</v>
          </cell>
          <cell r="F317">
            <v>393.35999999999899</v>
          </cell>
          <cell r="G317">
            <v>550.70000000000005</v>
          </cell>
        </row>
        <row r="318">
          <cell r="B318">
            <v>314</v>
          </cell>
          <cell r="C318">
            <v>606.04999999999802</v>
          </cell>
          <cell r="D318">
            <v>848.47</v>
          </cell>
          <cell r="E318">
            <v>0</v>
          </cell>
          <cell r="F318">
            <v>394.61999999999898</v>
          </cell>
          <cell r="G318">
            <v>552.47</v>
          </cell>
        </row>
        <row r="319">
          <cell r="B319">
            <v>315</v>
          </cell>
          <cell r="C319">
            <v>607.97999999999797</v>
          </cell>
          <cell r="D319">
            <v>851.17</v>
          </cell>
          <cell r="E319">
            <v>0</v>
          </cell>
          <cell r="F319">
            <v>395.87999999999897</v>
          </cell>
          <cell r="G319">
            <v>554.23</v>
          </cell>
        </row>
        <row r="320">
          <cell r="B320">
            <v>316</v>
          </cell>
          <cell r="C320">
            <v>609.90999999999792</v>
          </cell>
          <cell r="D320">
            <v>853.87</v>
          </cell>
          <cell r="E320">
            <v>0</v>
          </cell>
          <cell r="F320">
            <v>397.13999999999896</v>
          </cell>
          <cell r="G320">
            <v>556</v>
          </cell>
        </row>
        <row r="321">
          <cell r="B321">
            <v>317</v>
          </cell>
          <cell r="C321">
            <v>611.83999999999787</v>
          </cell>
          <cell r="D321">
            <v>856.58</v>
          </cell>
          <cell r="E321">
            <v>0</v>
          </cell>
          <cell r="F321">
            <v>398.39999999999895</v>
          </cell>
          <cell r="G321">
            <v>557.76</v>
          </cell>
        </row>
        <row r="322">
          <cell r="B322">
            <v>318</v>
          </cell>
          <cell r="C322">
            <v>613.76999999999782</v>
          </cell>
          <cell r="D322">
            <v>859.28</v>
          </cell>
          <cell r="E322">
            <v>0</v>
          </cell>
          <cell r="F322">
            <v>399.65999999999894</v>
          </cell>
          <cell r="G322">
            <v>559.52</v>
          </cell>
        </row>
        <row r="323">
          <cell r="B323">
            <v>319</v>
          </cell>
          <cell r="C323">
            <v>615.69999999999777</v>
          </cell>
          <cell r="D323">
            <v>861.98</v>
          </cell>
          <cell r="E323">
            <v>0</v>
          </cell>
          <cell r="F323">
            <v>400.91999999999894</v>
          </cell>
          <cell r="G323">
            <v>561.29</v>
          </cell>
        </row>
        <row r="324">
          <cell r="B324">
            <v>320</v>
          </cell>
          <cell r="C324">
            <v>617.62999999999772</v>
          </cell>
          <cell r="D324">
            <v>864.68</v>
          </cell>
          <cell r="E324">
            <v>0</v>
          </cell>
          <cell r="F324">
            <v>402.17999999999893</v>
          </cell>
          <cell r="G324">
            <v>563.04999999999995</v>
          </cell>
        </row>
        <row r="325">
          <cell r="B325">
            <v>321</v>
          </cell>
          <cell r="C325">
            <v>619.55999999999767</v>
          </cell>
          <cell r="D325">
            <v>867.38</v>
          </cell>
          <cell r="E325">
            <v>0</v>
          </cell>
          <cell r="F325">
            <v>403.43999999999892</v>
          </cell>
          <cell r="G325">
            <v>564.82000000000005</v>
          </cell>
        </row>
        <row r="326">
          <cell r="B326">
            <v>322</v>
          </cell>
          <cell r="C326">
            <v>621.48999999999762</v>
          </cell>
          <cell r="D326">
            <v>870.09</v>
          </cell>
          <cell r="E326">
            <v>0</v>
          </cell>
          <cell r="F326">
            <v>404.69999999999891</v>
          </cell>
          <cell r="G326">
            <v>566.58000000000004</v>
          </cell>
        </row>
        <row r="327">
          <cell r="B327">
            <v>323</v>
          </cell>
          <cell r="C327">
            <v>623.41999999999757</v>
          </cell>
          <cell r="D327">
            <v>872.79</v>
          </cell>
          <cell r="E327">
            <v>0</v>
          </cell>
          <cell r="F327">
            <v>405.9599999999989</v>
          </cell>
          <cell r="G327">
            <v>568.34</v>
          </cell>
        </row>
        <row r="328">
          <cell r="B328">
            <v>324</v>
          </cell>
          <cell r="C328">
            <v>625.34999999999752</v>
          </cell>
          <cell r="D328">
            <v>875.49</v>
          </cell>
          <cell r="E328">
            <v>0</v>
          </cell>
          <cell r="F328">
            <v>407.21999999999889</v>
          </cell>
          <cell r="G328">
            <v>570.11</v>
          </cell>
        </row>
        <row r="329">
          <cell r="B329">
            <v>325</v>
          </cell>
          <cell r="C329">
            <v>627.27999999999747</v>
          </cell>
          <cell r="D329">
            <v>878.19</v>
          </cell>
          <cell r="E329">
            <v>0</v>
          </cell>
          <cell r="F329">
            <v>408.47999999999888</v>
          </cell>
          <cell r="G329">
            <v>571.87</v>
          </cell>
        </row>
        <row r="330">
          <cell r="B330">
            <v>326</v>
          </cell>
          <cell r="C330">
            <v>629.20999999999742</v>
          </cell>
          <cell r="D330">
            <v>880.89</v>
          </cell>
          <cell r="E330">
            <v>0</v>
          </cell>
          <cell r="F330">
            <v>409.73999999999887</v>
          </cell>
          <cell r="G330">
            <v>573.64</v>
          </cell>
        </row>
        <row r="331">
          <cell r="B331">
            <v>327</v>
          </cell>
          <cell r="C331">
            <v>631.13999999999737</v>
          </cell>
          <cell r="D331">
            <v>883.6</v>
          </cell>
          <cell r="E331">
            <v>0</v>
          </cell>
          <cell r="F331">
            <v>410.99999999999886</v>
          </cell>
          <cell r="G331">
            <v>575.4</v>
          </cell>
        </row>
        <row r="332">
          <cell r="B332">
            <v>328</v>
          </cell>
          <cell r="C332">
            <v>633.06999999999732</v>
          </cell>
          <cell r="D332">
            <v>886.3</v>
          </cell>
          <cell r="E332">
            <v>0</v>
          </cell>
          <cell r="F332">
            <v>412.25999999999885</v>
          </cell>
          <cell r="G332">
            <v>577.16</v>
          </cell>
        </row>
        <row r="333">
          <cell r="B333">
            <v>329</v>
          </cell>
          <cell r="C333">
            <v>634.99999999999727</v>
          </cell>
          <cell r="D333">
            <v>889</v>
          </cell>
          <cell r="E333">
            <v>0</v>
          </cell>
          <cell r="F333">
            <v>413.51999999999884</v>
          </cell>
          <cell r="G333">
            <v>578.92999999999995</v>
          </cell>
        </row>
        <row r="334">
          <cell r="B334">
            <v>330</v>
          </cell>
          <cell r="C334">
            <v>636.92999999999722</v>
          </cell>
          <cell r="D334">
            <v>891.7</v>
          </cell>
          <cell r="E334">
            <v>0</v>
          </cell>
          <cell r="F334">
            <v>414.77999999999884</v>
          </cell>
          <cell r="G334">
            <v>580.69000000000005</v>
          </cell>
        </row>
        <row r="335">
          <cell r="B335">
            <v>331</v>
          </cell>
          <cell r="C335">
            <v>638.85999999999717</v>
          </cell>
          <cell r="D335">
            <v>894.4</v>
          </cell>
          <cell r="E335">
            <v>0</v>
          </cell>
          <cell r="F335">
            <v>416.03999999999883</v>
          </cell>
          <cell r="G335">
            <v>582.46</v>
          </cell>
        </row>
        <row r="336">
          <cell r="B336">
            <v>332</v>
          </cell>
          <cell r="C336">
            <v>640.78999999999712</v>
          </cell>
          <cell r="D336">
            <v>897.11</v>
          </cell>
          <cell r="E336">
            <v>0</v>
          </cell>
          <cell r="F336">
            <v>417.29999999999882</v>
          </cell>
          <cell r="G336">
            <v>584.22</v>
          </cell>
        </row>
        <row r="337">
          <cell r="B337">
            <v>333</v>
          </cell>
          <cell r="C337">
            <v>642.71999999999707</v>
          </cell>
          <cell r="D337">
            <v>899.81</v>
          </cell>
          <cell r="E337">
            <v>0</v>
          </cell>
          <cell r="F337">
            <v>418.55999999999881</v>
          </cell>
          <cell r="G337">
            <v>585.98</v>
          </cell>
        </row>
        <row r="338">
          <cell r="B338">
            <v>334</v>
          </cell>
          <cell r="C338">
            <v>644.64999999999702</v>
          </cell>
          <cell r="D338">
            <v>902.51</v>
          </cell>
          <cell r="E338">
            <v>0</v>
          </cell>
          <cell r="F338">
            <v>419.8199999999988</v>
          </cell>
          <cell r="G338">
            <v>587.75</v>
          </cell>
        </row>
        <row r="339">
          <cell r="B339">
            <v>335</v>
          </cell>
          <cell r="C339">
            <v>646.57999999999697</v>
          </cell>
          <cell r="D339">
            <v>905.21</v>
          </cell>
          <cell r="E339">
            <v>0</v>
          </cell>
          <cell r="F339">
            <v>421.07999999999879</v>
          </cell>
          <cell r="G339">
            <v>589.51</v>
          </cell>
        </row>
        <row r="340">
          <cell r="B340">
            <v>336</v>
          </cell>
          <cell r="C340">
            <v>648.50999999999692</v>
          </cell>
          <cell r="D340">
            <v>907.91</v>
          </cell>
          <cell r="E340">
            <v>0</v>
          </cell>
          <cell r="F340">
            <v>422.33999999999878</v>
          </cell>
          <cell r="G340">
            <v>591.28</v>
          </cell>
        </row>
        <row r="341">
          <cell r="B341">
            <v>337</v>
          </cell>
          <cell r="C341">
            <v>650.43999999999687</v>
          </cell>
          <cell r="D341">
            <v>910.62</v>
          </cell>
          <cell r="E341">
            <v>0</v>
          </cell>
          <cell r="F341">
            <v>423.59999999999877</v>
          </cell>
          <cell r="G341">
            <v>593.04</v>
          </cell>
        </row>
        <row r="342">
          <cell r="B342">
            <v>338</v>
          </cell>
          <cell r="C342">
            <v>652.36999999999682</v>
          </cell>
          <cell r="D342">
            <v>913.32</v>
          </cell>
          <cell r="E342">
            <v>0</v>
          </cell>
          <cell r="F342">
            <v>424.85999999999876</v>
          </cell>
          <cell r="G342">
            <v>594.79999999999995</v>
          </cell>
        </row>
        <row r="343">
          <cell r="B343">
            <v>339</v>
          </cell>
          <cell r="C343">
            <v>654.29999999999677</v>
          </cell>
          <cell r="D343">
            <v>916.02</v>
          </cell>
          <cell r="E343">
            <v>0</v>
          </cell>
          <cell r="F343">
            <v>426.11999999999875</v>
          </cell>
          <cell r="G343">
            <v>596.57000000000005</v>
          </cell>
        </row>
        <row r="344">
          <cell r="B344">
            <v>340</v>
          </cell>
          <cell r="C344">
            <v>656.22999999999672</v>
          </cell>
          <cell r="D344">
            <v>918.72</v>
          </cell>
          <cell r="E344">
            <v>0</v>
          </cell>
          <cell r="F344">
            <v>427.37999999999874</v>
          </cell>
          <cell r="G344">
            <v>598.33000000000004</v>
          </cell>
        </row>
        <row r="345">
          <cell r="B345">
            <v>341</v>
          </cell>
          <cell r="C345">
            <v>658.15999999999667</v>
          </cell>
          <cell r="D345">
            <v>921.42</v>
          </cell>
          <cell r="E345">
            <v>0</v>
          </cell>
          <cell r="F345">
            <v>428.63999999999874</v>
          </cell>
          <cell r="G345">
            <v>600.1</v>
          </cell>
        </row>
        <row r="346">
          <cell r="B346">
            <v>342</v>
          </cell>
          <cell r="C346">
            <v>660.08999999999662</v>
          </cell>
          <cell r="D346">
            <v>924.13</v>
          </cell>
          <cell r="E346">
            <v>0</v>
          </cell>
          <cell r="F346">
            <v>429.89999999999873</v>
          </cell>
          <cell r="G346">
            <v>601.86</v>
          </cell>
        </row>
        <row r="347">
          <cell r="B347">
            <v>343</v>
          </cell>
          <cell r="C347">
            <v>662.01999999999657</v>
          </cell>
          <cell r="D347">
            <v>926.83</v>
          </cell>
          <cell r="E347">
            <v>0</v>
          </cell>
          <cell r="F347">
            <v>431.15999999999872</v>
          </cell>
          <cell r="G347">
            <v>603.62</v>
          </cell>
        </row>
        <row r="348">
          <cell r="B348">
            <v>344</v>
          </cell>
          <cell r="C348">
            <v>663.94999999999652</v>
          </cell>
          <cell r="D348">
            <v>929.53</v>
          </cell>
          <cell r="E348">
            <v>0</v>
          </cell>
          <cell r="F348">
            <v>432.41999999999871</v>
          </cell>
          <cell r="G348">
            <v>605.39</v>
          </cell>
        </row>
        <row r="349">
          <cell r="B349">
            <v>345</v>
          </cell>
          <cell r="C349">
            <v>665.87999999999647</v>
          </cell>
          <cell r="D349">
            <v>932.23</v>
          </cell>
          <cell r="E349">
            <v>0</v>
          </cell>
          <cell r="F349">
            <v>433.6799999999987</v>
          </cell>
          <cell r="G349">
            <v>607.15</v>
          </cell>
        </row>
        <row r="350">
          <cell r="B350">
            <v>346</v>
          </cell>
          <cell r="C350">
            <v>667.80999999999642</v>
          </cell>
          <cell r="D350">
            <v>934.93</v>
          </cell>
          <cell r="E350">
            <v>0</v>
          </cell>
          <cell r="F350">
            <v>434.93999999999869</v>
          </cell>
          <cell r="G350">
            <v>608.91999999999996</v>
          </cell>
        </row>
        <row r="351">
          <cell r="B351">
            <v>347</v>
          </cell>
          <cell r="C351">
            <v>669.73999999999637</v>
          </cell>
          <cell r="D351">
            <v>937.64</v>
          </cell>
          <cell r="E351">
            <v>0</v>
          </cell>
          <cell r="F351">
            <v>436.19999999999868</v>
          </cell>
          <cell r="G351">
            <v>610.67999999999995</v>
          </cell>
        </row>
        <row r="352">
          <cell r="B352">
            <v>348</v>
          </cell>
          <cell r="C352">
            <v>671.66999999999632</v>
          </cell>
          <cell r="D352">
            <v>940.34</v>
          </cell>
          <cell r="E352">
            <v>0</v>
          </cell>
          <cell r="F352">
            <v>437.45999999999867</v>
          </cell>
          <cell r="G352">
            <v>612.44000000000005</v>
          </cell>
        </row>
        <row r="353">
          <cell r="B353">
            <v>349</v>
          </cell>
          <cell r="C353">
            <v>673.59999999999627</v>
          </cell>
          <cell r="D353">
            <v>943.04</v>
          </cell>
          <cell r="E353">
            <v>0</v>
          </cell>
          <cell r="F353">
            <v>438.71999999999866</v>
          </cell>
          <cell r="G353">
            <v>614.21</v>
          </cell>
        </row>
        <row r="354">
          <cell r="B354">
            <v>350</v>
          </cell>
          <cell r="C354">
            <v>675.52999999999622</v>
          </cell>
          <cell r="D354">
            <v>945.74</v>
          </cell>
          <cell r="E354">
            <v>0</v>
          </cell>
          <cell r="F354">
            <v>439.97999999999865</v>
          </cell>
          <cell r="G354">
            <v>615.97</v>
          </cell>
        </row>
        <row r="355">
          <cell r="B355">
            <v>351</v>
          </cell>
          <cell r="C355">
            <v>677.45999999999617</v>
          </cell>
          <cell r="D355">
            <v>948.44</v>
          </cell>
          <cell r="E355">
            <v>0</v>
          </cell>
          <cell r="F355">
            <v>441.23999999999864</v>
          </cell>
          <cell r="G355">
            <v>617.74</v>
          </cell>
        </row>
        <row r="356">
          <cell r="B356">
            <v>352</v>
          </cell>
          <cell r="C356">
            <v>679.38999999999612</v>
          </cell>
          <cell r="D356">
            <v>951.15</v>
          </cell>
          <cell r="E356">
            <v>0</v>
          </cell>
          <cell r="F356">
            <v>442.49999999999864</v>
          </cell>
          <cell r="G356">
            <v>619.5</v>
          </cell>
        </row>
        <row r="357">
          <cell r="B357">
            <v>353</v>
          </cell>
          <cell r="C357">
            <v>681.31999999999607</v>
          </cell>
          <cell r="D357">
            <v>953.85</v>
          </cell>
          <cell r="E357">
            <v>0</v>
          </cell>
          <cell r="F357">
            <v>443.75999999999863</v>
          </cell>
          <cell r="G357">
            <v>621.26</v>
          </cell>
        </row>
        <row r="358">
          <cell r="B358">
            <v>354</v>
          </cell>
          <cell r="C358">
            <v>683.24999999999602</v>
          </cell>
          <cell r="D358">
            <v>956.55</v>
          </cell>
          <cell r="E358">
            <v>0</v>
          </cell>
          <cell r="F358">
            <v>445.01999999999862</v>
          </cell>
          <cell r="G358">
            <v>623.03</v>
          </cell>
        </row>
        <row r="359">
          <cell r="B359">
            <v>355</v>
          </cell>
          <cell r="C359">
            <v>685.17999999999597</v>
          </cell>
          <cell r="D359">
            <v>959.25</v>
          </cell>
          <cell r="E359">
            <v>0</v>
          </cell>
          <cell r="F359">
            <v>446.27999999999861</v>
          </cell>
          <cell r="G359">
            <v>624.79</v>
          </cell>
        </row>
        <row r="360">
          <cell r="B360">
            <v>356</v>
          </cell>
          <cell r="C360">
            <v>687.10999999999592</v>
          </cell>
          <cell r="D360">
            <v>961.95</v>
          </cell>
          <cell r="E360">
            <v>0</v>
          </cell>
          <cell r="F360">
            <v>447.5399999999986</v>
          </cell>
          <cell r="G360">
            <v>626.55999999999995</v>
          </cell>
        </row>
        <row r="361">
          <cell r="B361">
            <v>357</v>
          </cell>
          <cell r="C361">
            <v>689.03999999999587</v>
          </cell>
          <cell r="D361">
            <v>964.66</v>
          </cell>
          <cell r="E361">
            <v>0</v>
          </cell>
          <cell r="F361">
            <v>448.79999999999859</v>
          </cell>
          <cell r="G361">
            <v>628.32000000000005</v>
          </cell>
        </row>
        <row r="362">
          <cell r="B362">
            <v>358</v>
          </cell>
          <cell r="C362">
            <v>690.96999999999582</v>
          </cell>
          <cell r="D362">
            <v>967.36</v>
          </cell>
          <cell r="E362">
            <v>0</v>
          </cell>
          <cell r="F362">
            <v>450.05999999999858</v>
          </cell>
          <cell r="G362">
            <v>630.08000000000004</v>
          </cell>
        </row>
        <row r="363">
          <cell r="B363">
            <v>359</v>
          </cell>
          <cell r="C363">
            <v>692.89999999999577</v>
          </cell>
          <cell r="D363">
            <v>970.06</v>
          </cell>
          <cell r="E363">
            <v>0</v>
          </cell>
          <cell r="F363">
            <v>451.31999999999857</v>
          </cell>
          <cell r="G363">
            <v>631.85</v>
          </cell>
        </row>
        <row r="364">
          <cell r="B364">
            <v>360</v>
          </cell>
          <cell r="C364">
            <v>694.82999999999572</v>
          </cell>
          <cell r="D364">
            <v>972.76</v>
          </cell>
          <cell r="E364">
            <v>0</v>
          </cell>
          <cell r="F364">
            <v>452.57999999999856</v>
          </cell>
          <cell r="G364">
            <v>633.61</v>
          </cell>
        </row>
        <row r="365">
          <cell r="B365">
            <v>361</v>
          </cell>
          <cell r="C365">
            <v>696.75999999999567</v>
          </cell>
          <cell r="D365">
            <v>975.46</v>
          </cell>
          <cell r="E365">
            <v>0</v>
          </cell>
          <cell r="F365">
            <v>453.83999999999855</v>
          </cell>
          <cell r="G365">
            <v>635.38</v>
          </cell>
        </row>
        <row r="366">
          <cell r="B366">
            <v>362</v>
          </cell>
          <cell r="C366">
            <v>698.68999999999562</v>
          </cell>
          <cell r="D366">
            <v>978.17</v>
          </cell>
          <cell r="E366">
            <v>0</v>
          </cell>
          <cell r="F366">
            <v>455.09999999999854</v>
          </cell>
          <cell r="G366">
            <v>637.14</v>
          </cell>
        </row>
        <row r="367">
          <cell r="B367">
            <v>363</v>
          </cell>
          <cell r="C367">
            <v>700.61999999999557</v>
          </cell>
          <cell r="D367">
            <v>980.87</v>
          </cell>
          <cell r="E367">
            <v>0</v>
          </cell>
          <cell r="F367">
            <v>456.35999999999854</v>
          </cell>
          <cell r="G367">
            <v>638.9</v>
          </cell>
        </row>
        <row r="368">
          <cell r="B368">
            <v>364</v>
          </cell>
          <cell r="C368">
            <v>702.54999999999552</v>
          </cell>
          <cell r="D368">
            <v>983.57</v>
          </cell>
          <cell r="E368">
            <v>0</v>
          </cell>
          <cell r="F368">
            <v>457.61999999999853</v>
          </cell>
          <cell r="G368">
            <v>640.66999999999996</v>
          </cell>
        </row>
        <row r="369">
          <cell r="B369">
            <v>365</v>
          </cell>
          <cell r="C369">
            <v>704.47999999999547</v>
          </cell>
          <cell r="D369">
            <v>986.27</v>
          </cell>
          <cell r="E369">
            <v>0</v>
          </cell>
          <cell r="F369">
            <v>458.87999999999852</v>
          </cell>
          <cell r="G369">
            <v>642.42999999999995</v>
          </cell>
        </row>
        <row r="370">
          <cell r="B370">
            <v>366</v>
          </cell>
          <cell r="C370">
            <v>706.40999999999542</v>
          </cell>
          <cell r="D370">
            <v>988.97</v>
          </cell>
          <cell r="E370">
            <v>0</v>
          </cell>
          <cell r="F370">
            <v>460.13999999999851</v>
          </cell>
          <cell r="G370">
            <v>644.20000000000005</v>
          </cell>
        </row>
        <row r="371">
          <cell r="B371">
            <v>367</v>
          </cell>
          <cell r="C371">
            <v>708.33999999999537</v>
          </cell>
          <cell r="D371">
            <v>991.68</v>
          </cell>
          <cell r="E371">
            <v>0</v>
          </cell>
          <cell r="F371">
            <v>461.3999999999985</v>
          </cell>
          <cell r="G371">
            <v>645.96</v>
          </cell>
        </row>
        <row r="372">
          <cell r="B372">
            <v>368</v>
          </cell>
          <cell r="C372">
            <v>710.26999999999532</v>
          </cell>
          <cell r="D372">
            <v>994.38</v>
          </cell>
          <cell r="E372">
            <v>0</v>
          </cell>
          <cell r="F372">
            <v>462.65999999999849</v>
          </cell>
          <cell r="G372">
            <v>647.72</v>
          </cell>
        </row>
        <row r="373">
          <cell r="B373">
            <v>369</v>
          </cell>
          <cell r="C373">
            <v>712.19999999999527</v>
          </cell>
          <cell r="D373">
            <v>997.08</v>
          </cell>
          <cell r="E373">
            <v>0</v>
          </cell>
          <cell r="F373">
            <v>463.91999999999848</v>
          </cell>
          <cell r="G373">
            <v>649.49</v>
          </cell>
        </row>
        <row r="374">
          <cell r="B374">
            <v>370</v>
          </cell>
          <cell r="C374">
            <v>714.12999999999522</v>
          </cell>
          <cell r="D374">
            <v>999.78</v>
          </cell>
          <cell r="E374">
            <v>0</v>
          </cell>
          <cell r="F374">
            <v>465.17999999999847</v>
          </cell>
          <cell r="G374">
            <v>651.25</v>
          </cell>
        </row>
        <row r="375">
          <cell r="B375">
            <v>371</v>
          </cell>
          <cell r="C375">
            <v>716.05999999999517</v>
          </cell>
          <cell r="D375">
            <v>1002.48</v>
          </cell>
          <cell r="E375">
            <v>0</v>
          </cell>
          <cell r="F375">
            <v>466.43999999999846</v>
          </cell>
          <cell r="G375">
            <v>653.02</v>
          </cell>
        </row>
        <row r="376">
          <cell r="B376">
            <v>372</v>
          </cell>
          <cell r="C376">
            <v>717.98999999999512</v>
          </cell>
          <cell r="D376">
            <v>1005.19</v>
          </cell>
          <cell r="E376">
            <v>0</v>
          </cell>
          <cell r="F376">
            <v>467.69999999999845</v>
          </cell>
          <cell r="G376">
            <v>654.78</v>
          </cell>
        </row>
        <row r="377">
          <cell r="B377">
            <v>373</v>
          </cell>
          <cell r="C377">
            <v>719.91999999999507</v>
          </cell>
          <cell r="D377">
            <v>1007.89</v>
          </cell>
          <cell r="E377">
            <v>0</v>
          </cell>
          <cell r="F377">
            <v>468.95999999999844</v>
          </cell>
          <cell r="G377">
            <v>656.54</v>
          </cell>
        </row>
        <row r="378">
          <cell r="B378">
            <v>374</v>
          </cell>
          <cell r="C378">
            <v>721.84999999999502</v>
          </cell>
          <cell r="D378">
            <v>1010.59</v>
          </cell>
          <cell r="E378">
            <v>0</v>
          </cell>
          <cell r="F378">
            <v>470.21999999999844</v>
          </cell>
          <cell r="G378">
            <v>658.31</v>
          </cell>
        </row>
        <row r="379">
          <cell r="B379">
            <v>375</v>
          </cell>
          <cell r="C379">
            <v>723.77999999999497</v>
          </cell>
          <cell r="D379">
            <v>1013.29</v>
          </cell>
          <cell r="E379">
            <v>0</v>
          </cell>
          <cell r="F379">
            <v>471.47999999999843</v>
          </cell>
          <cell r="G379">
            <v>660.07</v>
          </cell>
        </row>
        <row r="380">
          <cell r="B380">
            <v>376</v>
          </cell>
          <cell r="C380">
            <v>725.70999999999492</v>
          </cell>
          <cell r="D380">
            <v>1015.99</v>
          </cell>
          <cell r="E380">
            <v>0</v>
          </cell>
          <cell r="F380">
            <v>472.73999999999842</v>
          </cell>
          <cell r="G380">
            <v>661.84</v>
          </cell>
        </row>
        <row r="381">
          <cell r="B381">
            <v>377</v>
          </cell>
          <cell r="C381">
            <v>727.63999999999487</v>
          </cell>
          <cell r="D381">
            <v>1018.7</v>
          </cell>
          <cell r="E381">
            <v>0</v>
          </cell>
          <cell r="F381">
            <v>473.99999999999841</v>
          </cell>
          <cell r="G381">
            <v>663.6</v>
          </cell>
        </row>
        <row r="382">
          <cell r="B382">
            <v>378</v>
          </cell>
          <cell r="C382">
            <v>729.56999999999482</v>
          </cell>
          <cell r="D382">
            <v>1021.4</v>
          </cell>
          <cell r="E382">
            <v>0</v>
          </cell>
          <cell r="F382">
            <v>475.2599999999984</v>
          </cell>
          <cell r="G382">
            <v>665.36</v>
          </cell>
        </row>
        <row r="383">
          <cell r="B383">
            <v>379</v>
          </cell>
          <cell r="C383">
            <v>731.49999999999477</v>
          </cell>
          <cell r="D383">
            <v>1024.0999999999999</v>
          </cell>
          <cell r="E383">
            <v>0</v>
          </cell>
          <cell r="F383">
            <v>476.51999999999839</v>
          </cell>
          <cell r="G383">
            <v>667.13</v>
          </cell>
        </row>
        <row r="384">
          <cell r="B384">
            <v>380</v>
          </cell>
          <cell r="C384">
            <v>733.42999999999472</v>
          </cell>
          <cell r="D384">
            <v>1026.8</v>
          </cell>
          <cell r="E384">
            <v>0</v>
          </cell>
          <cell r="F384">
            <v>477.77999999999838</v>
          </cell>
          <cell r="G384">
            <v>668.89</v>
          </cell>
        </row>
        <row r="385">
          <cell r="B385">
            <v>381</v>
          </cell>
          <cell r="C385">
            <v>735.35999999999467</v>
          </cell>
          <cell r="D385">
            <v>1029.5</v>
          </cell>
          <cell r="E385">
            <v>0</v>
          </cell>
          <cell r="F385">
            <v>479.03999999999837</v>
          </cell>
          <cell r="G385">
            <v>670.66</v>
          </cell>
        </row>
        <row r="386">
          <cell r="B386">
            <v>382</v>
          </cell>
          <cell r="C386">
            <v>737.28999999999462</v>
          </cell>
          <cell r="D386">
            <v>1032.21</v>
          </cell>
          <cell r="E386">
            <v>0</v>
          </cell>
          <cell r="F386">
            <v>480.29999999999836</v>
          </cell>
          <cell r="G386">
            <v>672.42</v>
          </cell>
        </row>
        <row r="387">
          <cell r="B387">
            <v>383</v>
          </cell>
          <cell r="C387">
            <v>739.21999999999457</v>
          </cell>
          <cell r="D387">
            <v>1034.9100000000001</v>
          </cell>
          <cell r="E387">
            <v>0</v>
          </cell>
          <cell r="F387">
            <v>481.55999999999835</v>
          </cell>
          <cell r="G387">
            <v>674.18</v>
          </cell>
        </row>
        <row r="388">
          <cell r="B388">
            <v>384</v>
          </cell>
          <cell r="C388">
            <v>741.14999999999452</v>
          </cell>
          <cell r="D388">
            <v>1037.6099999999999</v>
          </cell>
          <cell r="E388">
            <v>0</v>
          </cell>
          <cell r="F388">
            <v>482.81999999999834</v>
          </cell>
          <cell r="G388">
            <v>675.95</v>
          </cell>
        </row>
        <row r="389">
          <cell r="B389">
            <v>385</v>
          </cell>
          <cell r="C389">
            <v>743.07999999999447</v>
          </cell>
          <cell r="D389">
            <v>1040.31</v>
          </cell>
          <cell r="E389">
            <v>0</v>
          </cell>
          <cell r="F389">
            <v>484.07999999999834</v>
          </cell>
          <cell r="G389">
            <v>677.71</v>
          </cell>
        </row>
        <row r="390">
          <cell r="B390">
            <v>386</v>
          </cell>
          <cell r="C390">
            <v>745.00999999999442</v>
          </cell>
          <cell r="D390">
            <v>1043.01</v>
          </cell>
          <cell r="E390">
            <v>0</v>
          </cell>
          <cell r="F390">
            <v>485.33999999999833</v>
          </cell>
          <cell r="G390">
            <v>679.48</v>
          </cell>
        </row>
        <row r="391">
          <cell r="B391">
            <v>387</v>
          </cell>
          <cell r="C391">
            <v>746.93999999999437</v>
          </cell>
          <cell r="D391">
            <v>1045.72</v>
          </cell>
          <cell r="E391">
            <v>0</v>
          </cell>
          <cell r="F391">
            <v>486.59999999999832</v>
          </cell>
          <cell r="G391">
            <v>681.24</v>
          </cell>
        </row>
        <row r="392">
          <cell r="B392">
            <v>388</v>
          </cell>
          <cell r="C392">
            <v>748.86999999999432</v>
          </cell>
          <cell r="D392">
            <v>1048.42</v>
          </cell>
          <cell r="E392">
            <v>0</v>
          </cell>
          <cell r="F392">
            <v>487.85999999999831</v>
          </cell>
          <cell r="G392">
            <v>683</v>
          </cell>
        </row>
        <row r="393">
          <cell r="B393">
            <v>389</v>
          </cell>
          <cell r="C393">
            <v>750.79999999999427</v>
          </cell>
          <cell r="D393">
            <v>1051.1199999999999</v>
          </cell>
          <cell r="E393">
            <v>0</v>
          </cell>
          <cell r="F393">
            <v>489.1199999999983</v>
          </cell>
          <cell r="G393">
            <v>684.77</v>
          </cell>
        </row>
        <row r="394">
          <cell r="B394">
            <v>390</v>
          </cell>
          <cell r="C394">
            <v>752.72999999999422</v>
          </cell>
          <cell r="D394">
            <v>1053.82</v>
          </cell>
          <cell r="E394">
            <v>0</v>
          </cell>
          <cell r="F394">
            <v>490.37999999999829</v>
          </cell>
          <cell r="G394">
            <v>686.53</v>
          </cell>
        </row>
        <row r="395">
          <cell r="B395">
            <v>391</v>
          </cell>
          <cell r="C395">
            <v>754.65999999999417</v>
          </cell>
          <cell r="D395">
            <v>1056.52</v>
          </cell>
          <cell r="E395">
            <v>0</v>
          </cell>
          <cell r="F395">
            <v>491.63999999999828</v>
          </cell>
          <cell r="G395">
            <v>688.3</v>
          </cell>
        </row>
        <row r="396">
          <cell r="B396">
            <v>392</v>
          </cell>
          <cell r="C396">
            <v>756.58999999999412</v>
          </cell>
          <cell r="D396">
            <v>1059.23</v>
          </cell>
          <cell r="E396">
            <v>0</v>
          </cell>
          <cell r="F396">
            <v>492.89999999999827</v>
          </cell>
          <cell r="G396">
            <v>690.06</v>
          </cell>
        </row>
        <row r="397">
          <cell r="B397">
            <v>393</v>
          </cell>
          <cell r="C397">
            <v>758.51999999999407</v>
          </cell>
          <cell r="D397">
            <v>1061.93</v>
          </cell>
          <cell r="E397">
            <v>0</v>
          </cell>
          <cell r="F397">
            <v>494.15999999999826</v>
          </cell>
          <cell r="G397">
            <v>691.82</v>
          </cell>
        </row>
        <row r="398">
          <cell r="B398">
            <v>394</v>
          </cell>
          <cell r="C398">
            <v>760.44999999999402</v>
          </cell>
          <cell r="D398">
            <v>1064.6300000000001</v>
          </cell>
          <cell r="E398">
            <v>0</v>
          </cell>
          <cell r="F398">
            <v>495.41999999999825</v>
          </cell>
          <cell r="G398">
            <v>693.59</v>
          </cell>
        </row>
        <row r="399">
          <cell r="B399">
            <v>395</v>
          </cell>
          <cell r="C399">
            <v>762.37999999999397</v>
          </cell>
          <cell r="D399">
            <v>1067.33</v>
          </cell>
          <cell r="E399">
            <v>0</v>
          </cell>
          <cell r="F399">
            <v>496.67999999999824</v>
          </cell>
          <cell r="G399">
            <v>695.35</v>
          </cell>
        </row>
        <row r="400">
          <cell r="B400">
            <v>396</v>
          </cell>
          <cell r="C400">
            <v>764.30999999999392</v>
          </cell>
          <cell r="D400">
            <v>1070.03</v>
          </cell>
          <cell r="E400">
            <v>0</v>
          </cell>
          <cell r="F400">
            <v>497.93999999999824</v>
          </cell>
          <cell r="G400">
            <v>697.12</v>
          </cell>
        </row>
        <row r="401">
          <cell r="B401">
            <v>397</v>
          </cell>
          <cell r="C401">
            <v>766.23999999999387</v>
          </cell>
          <cell r="D401">
            <v>1072.74</v>
          </cell>
          <cell r="E401">
            <v>0</v>
          </cell>
          <cell r="F401">
            <v>499.19999999999823</v>
          </cell>
          <cell r="G401">
            <v>698.88</v>
          </cell>
        </row>
        <row r="402">
          <cell r="B402">
            <v>398</v>
          </cell>
          <cell r="C402">
            <v>768.16999999999382</v>
          </cell>
          <cell r="D402">
            <v>1075.44</v>
          </cell>
          <cell r="E402">
            <v>0</v>
          </cell>
          <cell r="F402">
            <v>500.45999999999822</v>
          </cell>
          <cell r="G402">
            <v>700.64</v>
          </cell>
        </row>
        <row r="403">
          <cell r="B403">
            <v>399</v>
          </cell>
          <cell r="C403">
            <v>770.09999999999377</v>
          </cell>
          <cell r="D403">
            <v>1078.1400000000001</v>
          </cell>
          <cell r="E403">
            <v>0</v>
          </cell>
          <cell r="F403">
            <v>501.71999999999821</v>
          </cell>
          <cell r="G403">
            <v>702.41</v>
          </cell>
        </row>
        <row r="404">
          <cell r="B404">
            <v>400</v>
          </cell>
          <cell r="C404">
            <v>772.02999999999372</v>
          </cell>
          <cell r="D404">
            <v>1080.8399999999999</v>
          </cell>
          <cell r="E404">
            <v>0</v>
          </cell>
          <cell r="F404">
            <v>502.9799999999982</v>
          </cell>
          <cell r="G404">
            <v>704.17</v>
          </cell>
        </row>
        <row r="405">
          <cell r="B405">
            <v>401</v>
          </cell>
          <cell r="C405">
            <v>773.95999999999367</v>
          </cell>
          <cell r="D405">
            <v>1083.54</v>
          </cell>
          <cell r="E405">
            <v>0</v>
          </cell>
          <cell r="F405">
            <v>504.23999999999819</v>
          </cell>
          <cell r="G405">
            <v>705.94</v>
          </cell>
        </row>
        <row r="406">
          <cell r="B406">
            <v>402</v>
          </cell>
          <cell r="C406">
            <v>775.88999999999362</v>
          </cell>
          <cell r="D406">
            <v>1086.25</v>
          </cell>
          <cell r="E406">
            <v>0</v>
          </cell>
          <cell r="F406">
            <v>505.49999999999818</v>
          </cell>
          <cell r="G406">
            <v>707.7</v>
          </cell>
        </row>
        <row r="407">
          <cell r="B407">
            <v>403</v>
          </cell>
          <cell r="C407">
            <v>777.81999999999357</v>
          </cell>
          <cell r="D407">
            <v>1088.95</v>
          </cell>
          <cell r="E407">
            <v>0</v>
          </cell>
          <cell r="F407">
            <v>506.75999999999817</v>
          </cell>
          <cell r="G407">
            <v>709.46</v>
          </cell>
        </row>
        <row r="408">
          <cell r="B408">
            <v>404</v>
          </cell>
          <cell r="C408">
            <v>779.74999999999352</v>
          </cell>
          <cell r="D408">
            <v>1091.6500000000001</v>
          </cell>
          <cell r="E408">
            <v>0</v>
          </cell>
          <cell r="F408">
            <v>508.01999999999816</v>
          </cell>
          <cell r="G408">
            <v>711.23</v>
          </cell>
        </row>
        <row r="409">
          <cell r="B409">
            <v>405</v>
          </cell>
          <cell r="C409">
            <v>781.67999999999347</v>
          </cell>
          <cell r="D409">
            <v>1094.3499999999999</v>
          </cell>
          <cell r="E409">
            <v>0</v>
          </cell>
          <cell r="F409">
            <v>509.27999999999815</v>
          </cell>
          <cell r="G409">
            <v>712.99</v>
          </cell>
        </row>
        <row r="410">
          <cell r="B410">
            <v>406</v>
          </cell>
          <cell r="C410">
            <v>783.60999999999342</v>
          </cell>
          <cell r="D410">
            <v>1097.05</v>
          </cell>
          <cell r="E410">
            <v>0</v>
          </cell>
          <cell r="F410">
            <v>510.53999999999814</v>
          </cell>
          <cell r="G410">
            <v>714.76</v>
          </cell>
        </row>
        <row r="411">
          <cell r="B411">
            <v>407</v>
          </cell>
          <cell r="C411">
            <v>785.53999999999337</v>
          </cell>
          <cell r="D411">
            <v>1099.76</v>
          </cell>
          <cell r="E411">
            <v>0</v>
          </cell>
          <cell r="F411">
            <v>511.79999999999814</v>
          </cell>
          <cell r="G411">
            <v>716.52</v>
          </cell>
        </row>
        <row r="412">
          <cell r="B412">
            <v>408</v>
          </cell>
          <cell r="C412">
            <v>787.46999999999332</v>
          </cell>
          <cell r="D412">
            <v>1102.46</v>
          </cell>
          <cell r="E412">
            <v>0</v>
          </cell>
          <cell r="F412">
            <v>513.05999999999813</v>
          </cell>
          <cell r="G412">
            <v>718.28</v>
          </cell>
        </row>
        <row r="413">
          <cell r="B413">
            <v>409</v>
          </cell>
          <cell r="C413">
            <v>789.39999999999327</v>
          </cell>
          <cell r="D413">
            <v>1105.1600000000001</v>
          </cell>
          <cell r="E413">
            <v>0</v>
          </cell>
          <cell r="F413">
            <v>514.31999999999812</v>
          </cell>
          <cell r="G413">
            <v>720.05</v>
          </cell>
        </row>
        <row r="414">
          <cell r="B414">
            <v>410</v>
          </cell>
          <cell r="C414">
            <v>791.32999999999322</v>
          </cell>
          <cell r="D414">
            <v>1107.8599999999999</v>
          </cell>
          <cell r="E414">
            <v>0</v>
          </cell>
          <cell r="F414">
            <v>515.57999999999811</v>
          </cell>
          <cell r="G414">
            <v>721.81</v>
          </cell>
        </row>
        <row r="415">
          <cell r="B415">
            <v>411</v>
          </cell>
          <cell r="C415">
            <v>793.25999999999317</v>
          </cell>
          <cell r="D415">
            <v>1110.56</v>
          </cell>
          <cell r="E415">
            <v>0</v>
          </cell>
          <cell r="F415">
            <v>516.8399999999981</v>
          </cell>
          <cell r="G415">
            <v>723.58</v>
          </cell>
        </row>
        <row r="416">
          <cell r="B416">
            <v>412</v>
          </cell>
          <cell r="C416">
            <v>795.18999999999312</v>
          </cell>
          <cell r="D416">
            <v>1113.27</v>
          </cell>
          <cell r="E416">
            <v>0</v>
          </cell>
          <cell r="F416">
            <v>518.09999999999809</v>
          </cell>
          <cell r="G416">
            <v>725.34</v>
          </cell>
        </row>
        <row r="417">
          <cell r="B417">
            <v>413</v>
          </cell>
          <cell r="C417">
            <v>797.11999999999307</v>
          </cell>
          <cell r="D417">
            <v>1115.97</v>
          </cell>
          <cell r="E417">
            <v>0</v>
          </cell>
          <cell r="F417">
            <v>519.35999999999808</v>
          </cell>
          <cell r="G417">
            <v>727.1</v>
          </cell>
        </row>
        <row r="418">
          <cell r="B418">
            <v>414</v>
          </cell>
          <cell r="C418">
            <v>799.04999999999302</v>
          </cell>
          <cell r="D418">
            <v>1118.67</v>
          </cell>
          <cell r="E418">
            <v>0</v>
          </cell>
          <cell r="F418">
            <v>520.61999999999807</v>
          </cell>
          <cell r="G418">
            <v>728.87</v>
          </cell>
        </row>
        <row r="419">
          <cell r="B419">
            <v>415</v>
          </cell>
          <cell r="C419">
            <v>800.97999999999297</v>
          </cell>
          <cell r="D419">
            <v>1121.3699999999999</v>
          </cell>
          <cell r="E419">
            <v>0</v>
          </cell>
          <cell r="F419">
            <v>521.87999999999806</v>
          </cell>
          <cell r="G419">
            <v>730.63</v>
          </cell>
        </row>
        <row r="420">
          <cell r="B420">
            <v>416</v>
          </cell>
          <cell r="C420">
            <v>802.90999999999292</v>
          </cell>
          <cell r="D420">
            <v>1124.07</v>
          </cell>
          <cell r="E420">
            <v>0</v>
          </cell>
          <cell r="F420">
            <v>523.13999999999805</v>
          </cell>
          <cell r="G420">
            <v>732.4</v>
          </cell>
        </row>
        <row r="421">
          <cell r="B421">
            <v>417</v>
          </cell>
          <cell r="C421">
            <v>804.83999999999287</v>
          </cell>
          <cell r="D421">
            <v>1126.78</v>
          </cell>
          <cell r="E421">
            <v>0</v>
          </cell>
          <cell r="F421">
            <v>524.39999999999804</v>
          </cell>
          <cell r="G421">
            <v>734.16</v>
          </cell>
        </row>
        <row r="422">
          <cell r="B422">
            <v>418</v>
          </cell>
          <cell r="C422">
            <v>806.76999999999282</v>
          </cell>
          <cell r="D422">
            <v>1129.48</v>
          </cell>
          <cell r="E422">
            <v>0</v>
          </cell>
          <cell r="F422">
            <v>525.65999999999804</v>
          </cell>
          <cell r="G422">
            <v>735.92</v>
          </cell>
        </row>
        <row r="423">
          <cell r="B423">
            <v>419</v>
          </cell>
          <cell r="C423">
            <v>808.69999999999277</v>
          </cell>
          <cell r="D423">
            <v>1132.18</v>
          </cell>
          <cell r="E423">
            <v>0</v>
          </cell>
          <cell r="F423">
            <v>526.91999999999803</v>
          </cell>
          <cell r="G423">
            <v>737.69</v>
          </cell>
        </row>
        <row r="424">
          <cell r="B424">
            <v>420</v>
          </cell>
          <cell r="C424">
            <v>810.62999999999272</v>
          </cell>
          <cell r="D424">
            <v>1134.8800000000001</v>
          </cell>
          <cell r="E424">
            <v>0</v>
          </cell>
          <cell r="F424">
            <v>528.17999999999802</v>
          </cell>
          <cell r="G424">
            <v>739.45</v>
          </cell>
        </row>
        <row r="425">
          <cell r="B425">
            <v>421</v>
          </cell>
          <cell r="C425">
            <v>812.55999999999267</v>
          </cell>
          <cell r="D425">
            <v>1137.58</v>
          </cell>
          <cell r="E425">
            <v>0</v>
          </cell>
          <cell r="F425">
            <v>529.43999999999801</v>
          </cell>
          <cell r="G425">
            <v>741.22</v>
          </cell>
        </row>
        <row r="426">
          <cell r="B426">
            <v>422</v>
          </cell>
          <cell r="C426">
            <v>814.48999999999262</v>
          </cell>
          <cell r="D426">
            <v>1140.29</v>
          </cell>
          <cell r="E426">
            <v>0</v>
          </cell>
          <cell r="F426">
            <v>530.699999999998</v>
          </cell>
          <cell r="G426">
            <v>742.98</v>
          </cell>
        </row>
        <row r="427">
          <cell r="B427">
            <v>423</v>
          </cell>
          <cell r="C427">
            <v>816.41999999999257</v>
          </cell>
          <cell r="D427">
            <v>1142.99</v>
          </cell>
          <cell r="E427">
            <v>0</v>
          </cell>
          <cell r="F427">
            <v>531.95999999999799</v>
          </cell>
          <cell r="G427">
            <v>744.74</v>
          </cell>
        </row>
        <row r="428">
          <cell r="B428">
            <v>424</v>
          </cell>
          <cell r="C428">
            <v>818.34999999999252</v>
          </cell>
          <cell r="D428">
            <v>1145.69</v>
          </cell>
          <cell r="E428">
            <v>0</v>
          </cell>
          <cell r="F428">
            <v>533.21999999999798</v>
          </cell>
          <cell r="G428">
            <v>746.51</v>
          </cell>
        </row>
        <row r="429">
          <cell r="B429">
            <v>425</v>
          </cell>
          <cell r="C429">
            <v>820.27999999999247</v>
          </cell>
          <cell r="D429">
            <v>1148.3900000000001</v>
          </cell>
          <cell r="E429">
            <v>0</v>
          </cell>
          <cell r="F429">
            <v>534.47999999999797</v>
          </cell>
          <cell r="G429">
            <v>748.27</v>
          </cell>
        </row>
        <row r="430">
          <cell r="B430">
            <v>426</v>
          </cell>
          <cell r="C430">
            <v>822.20999999999242</v>
          </cell>
          <cell r="D430">
            <v>1151.0899999999999</v>
          </cell>
          <cell r="E430">
            <v>0</v>
          </cell>
          <cell r="F430">
            <v>535.73999999999796</v>
          </cell>
          <cell r="G430">
            <v>750.04</v>
          </cell>
        </row>
        <row r="431">
          <cell r="B431">
            <v>427</v>
          </cell>
          <cell r="C431">
            <v>824.13999999999237</v>
          </cell>
          <cell r="D431">
            <v>1153.8</v>
          </cell>
          <cell r="E431">
            <v>0</v>
          </cell>
          <cell r="F431">
            <v>536.99999999999795</v>
          </cell>
          <cell r="G431">
            <v>751.8</v>
          </cell>
        </row>
        <row r="432">
          <cell r="B432">
            <v>428</v>
          </cell>
          <cell r="C432">
            <v>826.06999999999232</v>
          </cell>
          <cell r="D432">
            <v>1156.5</v>
          </cell>
          <cell r="E432">
            <v>0</v>
          </cell>
          <cell r="F432">
            <v>538.25999999999794</v>
          </cell>
          <cell r="G432">
            <v>753.56</v>
          </cell>
        </row>
        <row r="433">
          <cell r="B433">
            <v>429</v>
          </cell>
          <cell r="C433">
            <v>827.99999999999227</v>
          </cell>
          <cell r="D433">
            <v>1159.2</v>
          </cell>
          <cell r="E433">
            <v>0</v>
          </cell>
          <cell r="F433">
            <v>539.51999999999794</v>
          </cell>
          <cell r="G433">
            <v>755.33</v>
          </cell>
        </row>
        <row r="434">
          <cell r="B434">
            <v>430</v>
          </cell>
          <cell r="C434">
            <v>829.92999999999222</v>
          </cell>
          <cell r="D434">
            <v>1161.9000000000001</v>
          </cell>
          <cell r="E434">
            <v>0</v>
          </cell>
          <cell r="F434">
            <v>540.77999999999793</v>
          </cell>
          <cell r="G434">
            <v>757.09</v>
          </cell>
        </row>
        <row r="435">
          <cell r="B435">
            <v>431</v>
          </cell>
          <cell r="C435">
            <v>831.85999999999217</v>
          </cell>
          <cell r="D435">
            <v>1164.5999999999999</v>
          </cell>
          <cell r="E435">
            <v>0</v>
          </cell>
          <cell r="F435">
            <v>542.03999999999792</v>
          </cell>
          <cell r="G435">
            <v>758.86</v>
          </cell>
        </row>
        <row r="436">
          <cell r="B436">
            <v>432</v>
          </cell>
          <cell r="C436">
            <v>833.78999999999212</v>
          </cell>
          <cell r="D436">
            <v>1167.31</v>
          </cell>
          <cell r="E436">
            <v>0</v>
          </cell>
          <cell r="F436">
            <v>543.29999999999791</v>
          </cell>
          <cell r="G436">
            <v>760.62</v>
          </cell>
        </row>
        <row r="437">
          <cell r="B437">
            <v>433</v>
          </cell>
          <cell r="C437">
            <v>835.71999999999207</v>
          </cell>
          <cell r="D437">
            <v>1170.01</v>
          </cell>
          <cell r="E437">
            <v>0</v>
          </cell>
          <cell r="F437">
            <v>544.5599999999979</v>
          </cell>
          <cell r="G437">
            <v>762.38</v>
          </cell>
        </row>
        <row r="438">
          <cell r="B438">
            <v>434</v>
          </cell>
          <cell r="C438">
            <v>837.64999999999202</v>
          </cell>
          <cell r="D438">
            <v>1172.71</v>
          </cell>
          <cell r="E438">
            <v>0</v>
          </cell>
          <cell r="F438">
            <v>545.81999999999789</v>
          </cell>
          <cell r="G438">
            <v>764.15</v>
          </cell>
        </row>
        <row r="439">
          <cell r="B439">
            <v>435</v>
          </cell>
          <cell r="C439">
            <v>839.57999999999197</v>
          </cell>
          <cell r="D439">
            <v>1175.4100000000001</v>
          </cell>
          <cell r="E439">
            <v>0</v>
          </cell>
          <cell r="F439">
            <v>547.07999999999788</v>
          </cell>
          <cell r="G439">
            <v>765.91</v>
          </cell>
        </row>
        <row r="440">
          <cell r="B440">
            <v>436</v>
          </cell>
          <cell r="C440">
            <v>841.50999999999192</v>
          </cell>
          <cell r="D440">
            <v>1178.1099999999999</v>
          </cell>
          <cell r="E440">
            <v>0</v>
          </cell>
          <cell r="F440">
            <v>548.33999999999787</v>
          </cell>
          <cell r="G440">
            <v>767.68</v>
          </cell>
        </row>
        <row r="441">
          <cell r="B441">
            <v>437</v>
          </cell>
          <cell r="C441">
            <v>843.43999999999187</v>
          </cell>
          <cell r="D441">
            <v>1180.82</v>
          </cell>
          <cell r="E441">
            <v>0</v>
          </cell>
          <cell r="F441">
            <v>549.59999999999786</v>
          </cell>
          <cell r="G441">
            <v>769.44</v>
          </cell>
        </row>
        <row r="442">
          <cell r="B442">
            <v>438</v>
          </cell>
          <cell r="C442">
            <v>845.36999999999182</v>
          </cell>
          <cell r="D442">
            <v>1183.52</v>
          </cell>
          <cell r="E442">
            <v>0</v>
          </cell>
          <cell r="F442">
            <v>550.85999999999785</v>
          </cell>
          <cell r="G442">
            <v>771.2</v>
          </cell>
        </row>
        <row r="443">
          <cell r="B443">
            <v>439</v>
          </cell>
          <cell r="C443">
            <v>847.29999999999177</v>
          </cell>
          <cell r="D443">
            <v>1186.22</v>
          </cell>
          <cell r="E443">
            <v>0</v>
          </cell>
          <cell r="F443">
            <v>552.11999999999784</v>
          </cell>
          <cell r="G443">
            <v>772.97</v>
          </cell>
        </row>
        <row r="444">
          <cell r="B444">
            <v>440</v>
          </cell>
          <cell r="C444">
            <v>849.22999999999172</v>
          </cell>
          <cell r="D444">
            <v>1188.92</v>
          </cell>
          <cell r="E444">
            <v>0</v>
          </cell>
          <cell r="F444">
            <v>553.37999999999784</v>
          </cell>
          <cell r="G444">
            <v>774.73</v>
          </cell>
        </row>
        <row r="445">
          <cell r="B445">
            <v>441</v>
          </cell>
          <cell r="C445">
            <v>851.15999999999167</v>
          </cell>
          <cell r="D445">
            <v>1191.6199999999999</v>
          </cell>
          <cell r="E445">
            <v>0</v>
          </cell>
          <cell r="F445">
            <v>554.63999999999783</v>
          </cell>
          <cell r="G445">
            <v>776.5</v>
          </cell>
        </row>
        <row r="446">
          <cell r="B446">
            <v>442</v>
          </cell>
          <cell r="C446">
            <v>853.08999999999162</v>
          </cell>
          <cell r="D446">
            <v>1194.33</v>
          </cell>
          <cell r="E446">
            <v>0</v>
          </cell>
          <cell r="F446">
            <v>555.89999999999782</v>
          </cell>
          <cell r="G446">
            <v>778.26</v>
          </cell>
        </row>
        <row r="447">
          <cell r="B447">
            <v>443</v>
          </cell>
          <cell r="C447">
            <v>855.01999999999157</v>
          </cell>
          <cell r="D447">
            <v>1197.03</v>
          </cell>
          <cell r="E447">
            <v>0</v>
          </cell>
          <cell r="F447">
            <v>557.15999999999781</v>
          </cell>
          <cell r="G447">
            <v>780.02</v>
          </cell>
        </row>
        <row r="448">
          <cell r="B448">
            <v>444</v>
          </cell>
          <cell r="C448">
            <v>856.94999999999152</v>
          </cell>
          <cell r="D448">
            <v>1199.73</v>
          </cell>
          <cell r="E448">
            <v>0</v>
          </cell>
          <cell r="F448">
            <v>558.4199999999978</v>
          </cell>
          <cell r="G448">
            <v>781.79</v>
          </cell>
        </row>
        <row r="449">
          <cell r="B449">
            <v>445</v>
          </cell>
          <cell r="C449">
            <v>858.87999999999147</v>
          </cell>
          <cell r="D449">
            <v>1202.43</v>
          </cell>
          <cell r="E449">
            <v>0</v>
          </cell>
          <cell r="F449">
            <v>559.67999999999779</v>
          </cell>
          <cell r="G449">
            <v>783.55</v>
          </cell>
        </row>
        <row r="450">
          <cell r="B450">
            <v>446</v>
          </cell>
          <cell r="C450">
            <v>860.80999999999142</v>
          </cell>
          <cell r="D450">
            <v>1205.1300000000001</v>
          </cell>
          <cell r="E450">
            <v>0</v>
          </cell>
          <cell r="F450">
            <v>560.93999999999778</v>
          </cell>
          <cell r="G450">
            <v>785.32</v>
          </cell>
        </row>
        <row r="451">
          <cell r="B451">
            <v>447</v>
          </cell>
          <cell r="C451">
            <v>862.73999999999137</v>
          </cell>
          <cell r="D451">
            <v>1207.8399999999999</v>
          </cell>
          <cell r="E451">
            <v>0</v>
          </cell>
          <cell r="F451">
            <v>562.19999999999777</v>
          </cell>
          <cell r="G451">
            <v>787.08</v>
          </cell>
        </row>
        <row r="452">
          <cell r="B452">
            <v>448</v>
          </cell>
          <cell r="C452">
            <v>864.66999999999132</v>
          </cell>
          <cell r="D452">
            <v>1210.54</v>
          </cell>
          <cell r="E452">
            <v>0</v>
          </cell>
          <cell r="F452">
            <v>563.45999999999776</v>
          </cell>
          <cell r="G452">
            <v>788.84</v>
          </cell>
        </row>
        <row r="453">
          <cell r="B453">
            <v>449</v>
          </cell>
          <cell r="C453">
            <v>866.59999999999127</v>
          </cell>
          <cell r="D453">
            <v>1213.24</v>
          </cell>
          <cell r="E453">
            <v>0</v>
          </cell>
          <cell r="F453">
            <v>564.71999999999775</v>
          </cell>
          <cell r="G453">
            <v>790.61</v>
          </cell>
        </row>
        <row r="454">
          <cell r="B454">
            <v>450</v>
          </cell>
          <cell r="C454">
            <v>868.52999999999122</v>
          </cell>
          <cell r="D454">
            <v>1215.94</v>
          </cell>
          <cell r="E454">
            <v>0</v>
          </cell>
          <cell r="F454">
            <v>565.97999999999774</v>
          </cell>
          <cell r="G454">
            <v>792.37</v>
          </cell>
        </row>
        <row r="455">
          <cell r="B455">
            <v>451</v>
          </cell>
          <cell r="C455">
            <v>870.45999999999117</v>
          </cell>
          <cell r="D455">
            <v>1218.6400000000001</v>
          </cell>
          <cell r="E455">
            <v>0</v>
          </cell>
          <cell r="F455">
            <v>567.23999999999774</v>
          </cell>
          <cell r="G455">
            <v>794.14</v>
          </cell>
        </row>
        <row r="456">
          <cell r="B456">
            <v>452</v>
          </cell>
          <cell r="C456">
            <v>872.38999999999112</v>
          </cell>
          <cell r="D456">
            <v>1221.3499999999999</v>
          </cell>
          <cell r="E456">
            <v>0</v>
          </cell>
          <cell r="F456">
            <v>568.49999999999773</v>
          </cell>
          <cell r="G456">
            <v>795.9</v>
          </cell>
        </row>
        <row r="457">
          <cell r="B457">
            <v>453</v>
          </cell>
          <cell r="C457">
            <v>874.31999999999107</v>
          </cell>
          <cell r="D457">
            <v>1224.05</v>
          </cell>
          <cell r="E457">
            <v>0</v>
          </cell>
          <cell r="F457">
            <v>569.75999999999772</v>
          </cell>
          <cell r="G457">
            <v>797.66</v>
          </cell>
        </row>
        <row r="458">
          <cell r="B458">
            <v>454</v>
          </cell>
          <cell r="C458">
            <v>876.24999999999102</v>
          </cell>
          <cell r="D458">
            <v>1226.75</v>
          </cell>
          <cell r="E458">
            <v>0</v>
          </cell>
          <cell r="F458">
            <v>571.01999999999771</v>
          </cell>
          <cell r="G458">
            <v>799.43</v>
          </cell>
        </row>
        <row r="459">
          <cell r="B459">
            <v>455</v>
          </cell>
          <cell r="C459">
            <v>878.17999999999097</v>
          </cell>
          <cell r="D459">
            <v>1229.45</v>
          </cell>
          <cell r="E459">
            <v>0</v>
          </cell>
          <cell r="F459">
            <v>572.2799999999977</v>
          </cell>
          <cell r="G459">
            <v>801.19</v>
          </cell>
        </row>
        <row r="460">
          <cell r="B460">
            <v>456</v>
          </cell>
          <cell r="C460">
            <v>880.10999999999092</v>
          </cell>
          <cell r="D460">
            <v>1232.1500000000001</v>
          </cell>
          <cell r="E460">
            <v>0</v>
          </cell>
          <cell r="F460">
            <v>573.53999999999769</v>
          </cell>
          <cell r="G460">
            <v>802.96</v>
          </cell>
        </row>
        <row r="461">
          <cell r="B461">
            <v>457</v>
          </cell>
          <cell r="C461">
            <v>882.03999999999087</v>
          </cell>
          <cell r="D461">
            <v>1234.8599999999999</v>
          </cell>
          <cell r="E461">
            <v>0</v>
          </cell>
          <cell r="F461">
            <v>574.79999999999768</v>
          </cell>
          <cell r="G461">
            <v>804.72</v>
          </cell>
        </row>
        <row r="462">
          <cell r="B462">
            <v>458</v>
          </cell>
          <cell r="C462">
            <v>883.96999999999082</v>
          </cell>
          <cell r="D462">
            <v>1237.56</v>
          </cell>
          <cell r="E462">
            <v>0</v>
          </cell>
          <cell r="F462">
            <v>576.05999999999767</v>
          </cell>
          <cell r="G462">
            <v>806.48</v>
          </cell>
        </row>
        <row r="463">
          <cell r="B463">
            <v>459</v>
          </cell>
          <cell r="C463">
            <v>885.89999999999077</v>
          </cell>
          <cell r="D463">
            <v>1240.26</v>
          </cell>
          <cell r="E463">
            <v>0</v>
          </cell>
          <cell r="F463">
            <v>577.31999999999766</v>
          </cell>
          <cell r="G463">
            <v>808.25</v>
          </cell>
        </row>
        <row r="464">
          <cell r="B464">
            <v>460</v>
          </cell>
          <cell r="C464">
            <v>887.82999999999072</v>
          </cell>
          <cell r="D464">
            <v>1242.96</v>
          </cell>
          <cell r="E464">
            <v>0</v>
          </cell>
          <cell r="F464">
            <v>578.57999999999765</v>
          </cell>
          <cell r="G464">
            <v>810.01</v>
          </cell>
        </row>
        <row r="465">
          <cell r="B465">
            <v>461</v>
          </cell>
          <cell r="C465">
            <v>889.75999999999067</v>
          </cell>
          <cell r="D465">
            <v>1245.6600000000001</v>
          </cell>
          <cell r="E465">
            <v>0</v>
          </cell>
          <cell r="F465">
            <v>579.83999999999764</v>
          </cell>
          <cell r="G465">
            <v>811.78</v>
          </cell>
        </row>
        <row r="466">
          <cell r="B466">
            <v>462</v>
          </cell>
          <cell r="C466">
            <v>891.68999999999062</v>
          </cell>
          <cell r="D466">
            <v>1248.3699999999999</v>
          </cell>
          <cell r="E466">
            <v>0</v>
          </cell>
          <cell r="F466">
            <v>581.09999999999764</v>
          </cell>
          <cell r="G466">
            <v>813.54</v>
          </cell>
        </row>
        <row r="467">
          <cell r="B467">
            <v>463</v>
          </cell>
          <cell r="C467">
            <v>893.61999999999057</v>
          </cell>
          <cell r="D467">
            <v>1251.07</v>
          </cell>
          <cell r="E467">
            <v>0</v>
          </cell>
          <cell r="F467">
            <v>582.35999999999763</v>
          </cell>
          <cell r="G467">
            <v>815.3</v>
          </cell>
        </row>
        <row r="468">
          <cell r="B468">
            <v>464</v>
          </cell>
          <cell r="C468">
            <v>895.54999999999052</v>
          </cell>
          <cell r="D468">
            <v>1253.77</v>
          </cell>
          <cell r="E468">
            <v>0</v>
          </cell>
          <cell r="F468">
            <v>583.61999999999762</v>
          </cell>
          <cell r="G468">
            <v>817.07</v>
          </cell>
        </row>
        <row r="469">
          <cell r="B469">
            <v>465</v>
          </cell>
          <cell r="C469">
            <v>897.47999999999047</v>
          </cell>
          <cell r="D469">
            <v>1256.47</v>
          </cell>
          <cell r="E469">
            <v>0</v>
          </cell>
          <cell r="F469">
            <v>584.87999999999761</v>
          </cell>
          <cell r="G469">
            <v>818.83</v>
          </cell>
        </row>
        <row r="470">
          <cell r="B470">
            <v>466</v>
          </cell>
          <cell r="C470">
            <v>899.40999999999042</v>
          </cell>
          <cell r="D470">
            <v>1259.17</v>
          </cell>
          <cell r="E470">
            <v>0</v>
          </cell>
          <cell r="F470">
            <v>586.1399999999976</v>
          </cell>
          <cell r="G470">
            <v>820.6</v>
          </cell>
        </row>
        <row r="471">
          <cell r="B471">
            <v>467</v>
          </cell>
          <cell r="C471">
            <v>901.33999999999037</v>
          </cell>
          <cell r="D471">
            <v>1261.8800000000001</v>
          </cell>
          <cell r="E471">
            <v>0</v>
          </cell>
          <cell r="F471">
            <v>587.39999999999759</v>
          </cell>
          <cell r="G471">
            <v>822.36</v>
          </cell>
        </row>
        <row r="472">
          <cell r="B472">
            <v>468</v>
          </cell>
          <cell r="C472">
            <v>903.26999999999032</v>
          </cell>
          <cell r="D472">
            <v>1264.58</v>
          </cell>
          <cell r="E472">
            <v>0</v>
          </cell>
          <cell r="F472">
            <v>588.65999999999758</v>
          </cell>
          <cell r="G472">
            <v>824.12</v>
          </cell>
        </row>
        <row r="473">
          <cell r="B473">
            <v>469</v>
          </cell>
          <cell r="C473">
            <v>905.19999999999027</v>
          </cell>
          <cell r="D473">
            <v>1267.28</v>
          </cell>
          <cell r="E473">
            <v>0</v>
          </cell>
          <cell r="F473">
            <v>589.91999999999757</v>
          </cell>
          <cell r="G473">
            <v>825.89</v>
          </cell>
        </row>
        <row r="474">
          <cell r="B474">
            <v>470</v>
          </cell>
          <cell r="C474">
            <v>907.12999999999022</v>
          </cell>
          <cell r="D474">
            <v>1269.98</v>
          </cell>
          <cell r="E474">
            <v>0</v>
          </cell>
          <cell r="F474">
            <v>591.17999999999756</v>
          </cell>
          <cell r="G474">
            <v>827.65</v>
          </cell>
        </row>
        <row r="475">
          <cell r="B475">
            <v>471</v>
          </cell>
          <cell r="C475">
            <v>909.05999999999017</v>
          </cell>
          <cell r="D475">
            <v>1272.68</v>
          </cell>
          <cell r="E475">
            <v>0</v>
          </cell>
          <cell r="F475">
            <v>592.43999999999755</v>
          </cell>
          <cell r="G475">
            <v>829.42</v>
          </cell>
        </row>
        <row r="476">
          <cell r="B476">
            <v>472</v>
          </cell>
          <cell r="C476">
            <v>910.98999999999012</v>
          </cell>
          <cell r="D476">
            <v>1275.3900000000001</v>
          </cell>
          <cell r="E476">
            <v>0</v>
          </cell>
          <cell r="F476">
            <v>593.69999999999754</v>
          </cell>
          <cell r="G476">
            <v>831.18</v>
          </cell>
        </row>
        <row r="477">
          <cell r="B477">
            <v>473</v>
          </cell>
          <cell r="C477">
            <v>912.91999999999007</v>
          </cell>
          <cell r="D477">
            <v>1278.0899999999999</v>
          </cell>
          <cell r="E477">
            <v>0</v>
          </cell>
          <cell r="F477">
            <v>594.95999999999754</v>
          </cell>
          <cell r="G477">
            <v>832.94</v>
          </cell>
        </row>
        <row r="478">
          <cell r="B478">
            <v>474</v>
          </cell>
          <cell r="C478">
            <v>914.84999999999002</v>
          </cell>
          <cell r="D478">
            <v>1280.79</v>
          </cell>
          <cell r="E478">
            <v>0</v>
          </cell>
          <cell r="F478">
            <v>596.21999999999753</v>
          </cell>
          <cell r="G478">
            <v>834.71</v>
          </cell>
        </row>
        <row r="479">
          <cell r="B479">
            <v>475</v>
          </cell>
          <cell r="C479">
            <v>916.77999999998997</v>
          </cell>
          <cell r="D479">
            <v>1283.49</v>
          </cell>
          <cell r="E479">
            <v>0</v>
          </cell>
          <cell r="F479">
            <v>597.47999999999752</v>
          </cell>
          <cell r="G479">
            <v>836.47</v>
          </cell>
        </row>
        <row r="480">
          <cell r="B480">
            <v>476</v>
          </cell>
          <cell r="C480">
            <v>918.70999999998992</v>
          </cell>
          <cell r="D480">
            <v>1286.19</v>
          </cell>
          <cell r="E480">
            <v>0</v>
          </cell>
          <cell r="F480">
            <v>598.73999999999751</v>
          </cell>
          <cell r="G480">
            <v>838.24</v>
          </cell>
        </row>
        <row r="481">
          <cell r="B481">
            <v>477</v>
          </cell>
          <cell r="C481">
            <v>920.63999999998987</v>
          </cell>
          <cell r="D481">
            <v>1288.9000000000001</v>
          </cell>
          <cell r="E481">
            <v>0</v>
          </cell>
          <cell r="F481">
            <v>599.9999999999975</v>
          </cell>
          <cell r="G481">
            <v>840</v>
          </cell>
        </row>
        <row r="482">
          <cell r="B482">
            <v>478</v>
          </cell>
          <cell r="C482">
            <v>922.56999999998982</v>
          </cell>
          <cell r="D482">
            <v>1291.5999999999999</v>
          </cell>
          <cell r="E482">
            <v>0</v>
          </cell>
          <cell r="F482">
            <v>601.25999999999749</v>
          </cell>
          <cell r="G482">
            <v>841.76</v>
          </cell>
        </row>
        <row r="483">
          <cell r="B483">
            <v>479</v>
          </cell>
          <cell r="C483">
            <v>924.49999999998977</v>
          </cell>
          <cell r="D483">
            <v>1294.3</v>
          </cell>
          <cell r="E483">
            <v>0</v>
          </cell>
          <cell r="F483">
            <v>602.51999999999748</v>
          </cell>
          <cell r="G483">
            <v>843.53</v>
          </cell>
        </row>
        <row r="484">
          <cell r="B484">
            <v>480</v>
          </cell>
          <cell r="C484">
            <v>926.42999999998972</v>
          </cell>
          <cell r="D484">
            <v>1297</v>
          </cell>
          <cell r="E484">
            <v>0</v>
          </cell>
          <cell r="F484">
            <v>603.77999999999747</v>
          </cell>
          <cell r="G484">
            <v>845.29</v>
          </cell>
        </row>
        <row r="485">
          <cell r="B485">
            <v>481</v>
          </cell>
          <cell r="C485">
            <v>928.35999999998967</v>
          </cell>
          <cell r="D485">
            <v>1299.7</v>
          </cell>
          <cell r="E485">
            <v>0</v>
          </cell>
          <cell r="F485">
            <v>605.03999999999746</v>
          </cell>
          <cell r="G485">
            <v>847.06</v>
          </cell>
        </row>
        <row r="486">
          <cell r="B486">
            <v>482</v>
          </cell>
          <cell r="C486">
            <v>930.28999999998962</v>
          </cell>
          <cell r="D486">
            <v>1302.4100000000001</v>
          </cell>
          <cell r="E486">
            <v>0</v>
          </cell>
          <cell r="F486">
            <v>606.29999999999745</v>
          </cell>
          <cell r="G486">
            <v>848.82</v>
          </cell>
        </row>
        <row r="487">
          <cell r="B487">
            <v>483</v>
          </cell>
          <cell r="C487">
            <v>932.21999999998957</v>
          </cell>
          <cell r="D487">
            <v>1305.1099999999999</v>
          </cell>
          <cell r="E487">
            <v>0</v>
          </cell>
          <cell r="F487">
            <v>607.55999999999744</v>
          </cell>
          <cell r="G487">
            <v>850.58</v>
          </cell>
        </row>
        <row r="488">
          <cell r="B488">
            <v>484</v>
          </cell>
          <cell r="C488">
            <v>934.14999999998952</v>
          </cell>
          <cell r="D488">
            <v>1307.81</v>
          </cell>
          <cell r="E488">
            <v>0</v>
          </cell>
          <cell r="F488">
            <v>608.81999999999744</v>
          </cell>
          <cell r="G488">
            <v>852.35</v>
          </cell>
        </row>
        <row r="489">
          <cell r="B489">
            <v>485</v>
          </cell>
          <cell r="C489">
            <v>936.07999999998947</v>
          </cell>
          <cell r="D489">
            <v>1310.51</v>
          </cell>
          <cell r="E489">
            <v>0</v>
          </cell>
          <cell r="F489">
            <v>610.07999999999743</v>
          </cell>
          <cell r="G489">
            <v>854.11</v>
          </cell>
        </row>
        <row r="490">
          <cell r="B490">
            <v>486</v>
          </cell>
          <cell r="C490">
            <v>938.00999999998942</v>
          </cell>
          <cell r="D490">
            <v>1313.21</v>
          </cell>
          <cell r="E490">
            <v>0</v>
          </cell>
          <cell r="F490">
            <v>611.33999999999742</v>
          </cell>
          <cell r="G490">
            <v>855.88</v>
          </cell>
        </row>
        <row r="491">
          <cell r="B491">
            <v>487</v>
          </cell>
          <cell r="C491">
            <v>939.93999999998937</v>
          </cell>
          <cell r="D491">
            <v>1315.92</v>
          </cell>
          <cell r="E491">
            <v>0</v>
          </cell>
          <cell r="F491">
            <v>612.59999999999741</v>
          </cell>
          <cell r="G491">
            <v>857.64</v>
          </cell>
        </row>
        <row r="492">
          <cell r="B492">
            <v>488</v>
          </cell>
          <cell r="C492">
            <v>941.86999999998932</v>
          </cell>
          <cell r="D492">
            <v>1318.62</v>
          </cell>
          <cell r="E492">
            <v>0</v>
          </cell>
          <cell r="F492">
            <v>613.8599999999974</v>
          </cell>
          <cell r="G492">
            <v>859.4</v>
          </cell>
        </row>
        <row r="493">
          <cell r="B493">
            <v>489</v>
          </cell>
          <cell r="C493">
            <v>943.79999999998927</v>
          </cell>
          <cell r="D493">
            <v>1321.32</v>
          </cell>
          <cell r="E493">
            <v>0</v>
          </cell>
          <cell r="F493">
            <v>615.11999999999739</v>
          </cell>
          <cell r="G493">
            <v>861.17</v>
          </cell>
        </row>
        <row r="494">
          <cell r="B494">
            <v>490</v>
          </cell>
          <cell r="C494">
            <v>945.72999999998922</v>
          </cell>
          <cell r="D494">
            <v>1324.02</v>
          </cell>
          <cell r="E494">
            <v>0</v>
          </cell>
          <cell r="F494">
            <v>616.37999999999738</v>
          </cell>
          <cell r="G494">
            <v>862.93</v>
          </cell>
        </row>
        <row r="495">
          <cell r="B495">
            <v>491</v>
          </cell>
          <cell r="C495">
            <v>947.65999999998917</v>
          </cell>
          <cell r="D495">
            <v>1326.72</v>
          </cell>
          <cell r="E495">
            <v>0</v>
          </cell>
          <cell r="F495">
            <v>617.63999999999737</v>
          </cell>
          <cell r="G495">
            <v>864.7</v>
          </cell>
        </row>
        <row r="496">
          <cell r="B496">
            <v>492</v>
          </cell>
          <cell r="C496">
            <v>949.58999999998912</v>
          </cell>
          <cell r="D496">
            <v>1329.43</v>
          </cell>
          <cell r="E496">
            <v>0</v>
          </cell>
          <cell r="F496">
            <v>618.89999999999736</v>
          </cell>
          <cell r="G496">
            <v>866.46</v>
          </cell>
        </row>
        <row r="497">
          <cell r="B497">
            <v>493</v>
          </cell>
          <cell r="C497">
            <v>951.51999999998907</v>
          </cell>
          <cell r="D497">
            <v>1332.13</v>
          </cell>
          <cell r="E497">
            <v>0</v>
          </cell>
          <cell r="F497">
            <v>620.15999999999735</v>
          </cell>
          <cell r="G497">
            <v>868.22</v>
          </cell>
        </row>
        <row r="498">
          <cell r="B498">
            <v>494</v>
          </cell>
          <cell r="C498">
            <v>953.44999999998902</v>
          </cell>
          <cell r="D498">
            <v>1334.83</v>
          </cell>
          <cell r="E498">
            <v>0</v>
          </cell>
          <cell r="F498">
            <v>621.41999999999734</v>
          </cell>
          <cell r="G498">
            <v>869.99</v>
          </cell>
        </row>
        <row r="499">
          <cell r="B499">
            <v>495</v>
          </cell>
          <cell r="C499">
            <v>955.37999999998897</v>
          </cell>
          <cell r="D499">
            <v>1337.53</v>
          </cell>
          <cell r="E499">
            <v>0</v>
          </cell>
          <cell r="F499">
            <v>622.67999999999734</v>
          </cell>
          <cell r="G499">
            <v>871.75</v>
          </cell>
        </row>
        <row r="500">
          <cell r="B500">
            <v>496</v>
          </cell>
          <cell r="C500">
            <v>957.30999999998892</v>
          </cell>
          <cell r="D500">
            <v>1340.23</v>
          </cell>
          <cell r="E500">
            <v>0</v>
          </cell>
          <cell r="F500">
            <v>623.93999999999733</v>
          </cell>
          <cell r="G500">
            <v>873.52</v>
          </cell>
        </row>
        <row r="501">
          <cell r="B501">
            <v>497</v>
          </cell>
          <cell r="C501">
            <v>959.23999999998887</v>
          </cell>
          <cell r="D501">
            <v>1342.94</v>
          </cell>
          <cell r="E501">
            <v>0</v>
          </cell>
          <cell r="F501">
            <v>625.19999999999732</v>
          </cell>
          <cell r="G501">
            <v>875.28</v>
          </cell>
        </row>
        <row r="502">
          <cell r="B502">
            <v>498</v>
          </cell>
          <cell r="C502">
            <v>961.16999999998882</v>
          </cell>
          <cell r="D502">
            <v>1345.64</v>
          </cell>
          <cell r="E502">
            <v>0</v>
          </cell>
          <cell r="F502">
            <v>626.45999999999731</v>
          </cell>
          <cell r="G502">
            <v>877.04</v>
          </cell>
        </row>
        <row r="503">
          <cell r="B503">
            <v>499</v>
          </cell>
          <cell r="C503">
            <v>963.09999999998877</v>
          </cell>
          <cell r="D503">
            <v>1348.34</v>
          </cell>
          <cell r="E503">
            <v>0</v>
          </cell>
          <cell r="F503">
            <v>627.7199999999973</v>
          </cell>
          <cell r="G503">
            <v>878.81</v>
          </cell>
        </row>
        <row r="504">
          <cell r="B504">
            <v>500</v>
          </cell>
          <cell r="C504">
            <v>965.02999999998872</v>
          </cell>
          <cell r="D504">
            <v>1351.04</v>
          </cell>
          <cell r="E504">
            <v>0</v>
          </cell>
          <cell r="F504">
            <v>628.97999999999729</v>
          </cell>
          <cell r="G504">
            <v>880.57</v>
          </cell>
        </row>
        <row r="505">
          <cell r="B505">
            <v>501</v>
          </cell>
          <cell r="C505">
            <v>966.95999999998867</v>
          </cell>
          <cell r="D505">
            <v>1353.74</v>
          </cell>
          <cell r="E505">
            <v>0</v>
          </cell>
          <cell r="F505">
            <v>630.23999999999728</v>
          </cell>
          <cell r="G505">
            <v>882.34</v>
          </cell>
        </row>
        <row r="506">
          <cell r="B506">
            <v>502</v>
          </cell>
          <cell r="C506">
            <v>968.88999999998862</v>
          </cell>
          <cell r="D506">
            <v>1356.45</v>
          </cell>
          <cell r="E506">
            <v>0</v>
          </cell>
          <cell r="F506">
            <v>631.49999999999727</v>
          </cell>
          <cell r="G506">
            <v>884.1</v>
          </cell>
        </row>
        <row r="507">
          <cell r="B507">
            <v>503</v>
          </cell>
          <cell r="C507">
            <v>970.81999999998857</v>
          </cell>
          <cell r="D507">
            <v>1359.15</v>
          </cell>
          <cell r="E507">
            <v>0</v>
          </cell>
          <cell r="F507">
            <v>632.75999999999726</v>
          </cell>
          <cell r="G507">
            <v>885.86</v>
          </cell>
        </row>
        <row r="508">
          <cell r="B508">
            <v>504</v>
          </cell>
          <cell r="C508">
            <v>972.74999999998852</v>
          </cell>
          <cell r="D508">
            <v>1361.85</v>
          </cell>
          <cell r="E508">
            <v>0</v>
          </cell>
          <cell r="F508">
            <v>634.01999999999725</v>
          </cell>
          <cell r="G508">
            <v>887.63</v>
          </cell>
        </row>
        <row r="509">
          <cell r="B509">
            <v>505</v>
          </cell>
          <cell r="C509">
            <v>974.67999999998847</v>
          </cell>
          <cell r="D509">
            <v>1364.55</v>
          </cell>
          <cell r="E509">
            <v>0</v>
          </cell>
          <cell r="F509">
            <v>635.27999999999724</v>
          </cell>
          <cell r="G509">
            <v>889.39</v>
          </cell>
        </row>
        <row r="510">
          <cell r="B510">
            <v>506</v>
          </cell>
          <cell r="C510">
            <v>976.60999999998842</v>
          </cell>
          <cell r="D510">
            <v>1367.25</v>
          </cell>
          <cell r="E510">
            <v>0</v>
          </cell>
          <cell r="F510">
            <v>636.53999999999724</v>
          </cell>
          <cell r="G510">
            <v>891.16</v>
          </cell>
        </row>
        <row r="511">
          <cell r="B511">
            <v>507</v>
          </cell>
          <cell r="C511">
            <v>978.53999999998837</v>
          </cell>
          <cell r="D511">
            <v>1369.96</v>
          </cell>
          <cell r="E511">
            <v>0</v>
          </cell>
          <cell r="F511">
            <v>637.79999999999723</v>
          </cell>
          <cell r="G511">
            <v>892.92</v>
          </cell>
        </row>
        <row r="512">
          <cell r="B512">
            <v>508</v>
          </cell>
          <cell r="C512">
            <v>980.46999999998832</v>
          </cell>
          <cell r="D512">
            <v>1372.66</v>
          </cell>
          <cell r="E512">
            <v>0</v>
          </cell>
          <cell r="F512">
            <v>639.05999999999722</v>
          </cell>
          <cell r="G512">
            <v>894.68</v>
          </cell>
        </row>
        <row r="513">
          <cell r="B513">
            <v>509</v>
          </cell>
          <cell r="C513">
            <v>982.39999999998827</v>
          </cell>
          <cell r="D513">
            <v>1375.36</v>
          </cell>
          <cell r="E513">
            <v>0</v>
          </cell>
          <cell r="F513">
            <v>640.31999999999721</v>
          </cell>
          <cell r="G513">
            <v>896.45</v>
          </cell>
        </row>
        <row r="514">
          <cell r="B514">
            <v>510</v>
          </cell>
          <cell r="C514">
            <v>984.32999999998822</v>
          </cell>
          <cell r="D514">
            <v>1378.06</v>
          </cell>
          <cell r="E514">
            <v>0</v>
          </cell>
          <cell r="F514">
            <v>641.5799999999972</v>
          </cell>
          <cell r="G514">
            <v>898.21</v>
          </cell>
        </row>
        <row r="515">
          <cell r="B515">
            <v>511</v>
          </cell>
          <cell r="C515">
            <v>986.25999999998817</v>
          </cell>
          <cell r="D515">
            <v>1380.76</v>
          </cell>
          <cell r="E515">
            <v>0</v>
          </cell>
          <cell r="F515">
            <v>642.83999999999719</v>
          </cell>
          <cell r="G515">
            <v>899.98</v>
          </cell>
        </row>
        <row r="516">
          <cell r="B516">
            <v>512</v>
          </cell>
          <cell r="C516">
            <v>988.18999999998812</v>
          </cell>
          <cell r="D516">
            <v>1383.47</v>
          </cell>
          <cell r="E516">
            <v>0</v>
          </cell>
          <cell r="F516">
            <v>644.09999999999718</v>
          </cell>
          <cell r="G516">
            <v>901.74</v>
          </cell>
        </row>
        <row r="517">
          <cell r="B517">
            <v>513</v>
          </cell>
          <cell r="C517">
            <v>990.11999999998807</v>
          </cell>
          <cell r="D517">
            <v>1386.17</v>
          </cell>
          <cell r="E517">
            <v>0</v>
          </cell>
          <cell r="F517">
            <v>645.35999999999717</v>
          </cell>
          <cell r="G517">
            <v>903.5</v>
          </cell>
        </row>
        <row r="518">
          <cell r="B518">
            <v>514</v>
          </cell>
          <cell r="C518">
            <v>992.04999999998802</v>
          </cell>
          <cell r="D518">
            <v>1388.87</v>
          </cell>
          <cell r="E518">
            <v>0</v>
          </cell>
          <cell r="F518">
            <v>646.61999999999716</v>
          </cell>
          <cell r="G518">
            <v>905.27</v>
          </cell>
        </row>
        <row r="519">
          <cell r="B519">
            <v>515</v>
          </cell>
          <cell r="C519">
            <v>993.97999999998797</v>
          </cell>
          <cell r="D519">
            <v>1391.57</v>
          </cell>
          <cell r="E519">
            <v>0</v>
          </cell>
          <cell r="F519">
            <v>647.87999999999715</v>
          </cell>
          <cell r="G519">
            <v>907.03</v>
          </cell>
        </row>
        <row r="520">
          <cell r="B520">
            <v>516</v>
          </cell>
          <cell r="C520">
            <v>995.90999999998792</v>
          </cell>
          <cell r="D520">
            <v>1394.27</v>
          </cell>
          <cell r="E520">
            <v>0</v>
          </cell>
          <cell r="F520">
            <v>649.13999999999714</v>
          </cell>
          <cell r="G520">
            <v>908.8</v>
          </cell>
        </row>
        <row r="521">
          <cell r="B521">
            <v>517</v>
          </cell>
          <cell r="C521">
            <v>997.83999999998787</v>
          </cell>
          <cell r="D521">
            <v>1396.98</v>
          </cell>
          <cell r="E521">
            <v>0</v>
          </cell>
          <cell r="F521">
            <v>650.39999999999714</v>
          </cell>
          <cell r="G521">
            <v>910.56</v>
          </cell>
        </row>
        <row r="522">
          <cell r="B522">
            <v>518</v>
          </cell>
          <cell r="C522">
            <v>999.76999999998782</v>
          </cell>
          <cell r="D522">
            <v>1399.68</v>
          </cell>
          <cell r="E522">
            <v>0</v>
          </cell>
          <cell r="F522">
            <v>651.65999999999713</v>
          </cell>
          <cell r="G522">
            <v>912.32</v>
          </cell>
        </row>
        <row r="523">
          <cell r="B523">
            <v>519</v>
          </cell>
          <cell r="C523">
            <v>1001.6999999999878</v>
          </cell>
          <cell r="D523">
            <v>1402.38</v>
          </cell>
          <cell r="E523">
            <v>0</v>
          </cell>
          <cell r="F523">
            <v>652.91999999999712</v>
          </cell>
          <cell r="G523">
            <v>914.09</v>
          </cell>
        </row>
        <row r="524">
          <cell r="B524">
            <v>520</v>
          </cell>
          <cell r="C524">
            <v>1003.6299999999877</v>
          </cell>
          <cell r="D524">
            <v>1405.08</v>
          </cell>
          <cell r="E524">
            <v>0</v>
          </cell>
          <cell r="F524">
            <v>654.17999999999711</v>
          </cell>
          <cell r="G524">
            <v>915.85</v>
          </cell>
        </row>
        <row r="525">
          <cell r="B525">
            <v>521</v>
          </cell>
          <cell r="C525">
            <v>1005.5599999999877</v>
          </cell>
          <cell r="D525">
            <v>1407.78</v>
          </cell>
          <cell r="E525">
            <v>0</v>
          </cell>
          <cell r="F525">
            <v>655.4399999999971</v>
          </cell>
          <cell r="G525">
            <v>917.62</v>
          </cell>
        </row>
        <row r="526">
          <cell r="B526">
            <v>522</v>
          </cell>
          <cell r="C526">
            <v>1007.4899999999876</v>
          </cell>
          <cell r="D526">
            <v>1410.49</v>
          </cell>
          <cell r="E526">
            <v>0</v>
          </cell>
          <cell r="F526">
            <v>656.69999999999709</v>
          </cell>
          <cell r="G526">
            <v>919.38</v>
          </cell>
        </row>
        <row r="527">
          <cell r="B527">
            <v>523</v>
          </cell>
          <cell r="C527">
            <v>1009.4199999999876</v>
          </cell>
          <cell r="D527">
            <v>1413.19</v>
          </cell>
          <cell r="E527">
            <v>0</v>
          </cell>
          <cell r="F527">
            <v>657.95999999999708</v>
          </cell>
          <cell r="G527">
            <v>921.14</v>
          </cell>
        </row>
        <row r="528">
          <cell r="B528">
            <v>524</v>
          </cell>
          <cell r="C528">
            <v>1011.3499999999875</v>
          </cell>
          <cell r="D528">
            <v>1415.89</v>
          </cell>
          <cell r="E528">
            <v>0</v>
          </cell>
          <cell r="F528">
            <v>659.21999999999707</v>
          </cell>
          <cell r="G528">
            <v>922.91</v>
          </cell>
        </row>
        <row r="529">
          <cell r="B529">
            <v>525</v>
          </cell>
          <cell r="C529">
            <v>1013.2799999999875</v>
          </cell>
          <cell r="D529">
            <v>1418.59</v>
          </cell>
          <cell r="E529">
            <v>0</v>
          </cell>
          <cell r="F529">
            <v>660.47999999999706</v>
          </cell>
          <cell r="G529">
            <v>924.67</v>
          </cell>
        </row>
        <row r="530">
          <cell r="B530">
            <v>526</v>
          </cell>
          <cell r="C530">
            <v>1015.2099999999874</v>
          </cell>
          <cell r="D530">
            <v>1421.29</v>
          </cell>
          <cell r="E530">
            <v>0</v>
          </cell>
          <cell r="F530">
            <v>661.73999999999705</v>
          </cell>
          <cell r="G530">
            <v>926.44</v>
          </cell>
        </row>
        <row r="531">
          <cell r="B531">
            <v>527</v>
          </cell>
          <cell r="C531">
            <v>1017.1399999999874</v>
          </cell>
          <cell r="D531">
            <v>1424</v>
          </cell>
          <cell r="E531">
            <v>0</v>
          </cell>
          <cell r="F531">
            <v>662.99999999999704</v>
          </cell>
          <cell r="G531">
            <v>928.2</v>
          </cell>
        </row>
        <row r="532">
          <cell r="B532">
            <v>528</v>
          </cell>
          <cell r="C532">
            <v>1019.0699999999873</v>
          </cell>
          <cell r="D532">
            <v>1426.7</v>
          </cell>
          <cell r="E532">
            <v>0</v>
          </cell>
          <cell r="F532">
            <v>664.25999999999704</v>
          </cell>
          <cell r="G532">
            <v>929.96</v>
          </cell>
        </row>
        <row r="533">
          <cell r="B533">
            <v>529</v>
          </cell>
          <cell r="C533">
            <v>1020.9999999999873</v>
          </cell>
          <cell r="D533">
            <v>1429.4</v>
          </cell>
          <cell r="E533">
            <v>0</v>
          </cell>
          <cell r="F533">
            <v>665.51999999999703</v>
          </cell>
          <cell r="G533">
            <v>931.73</v>
          </cell>
        </row>
        <row r="534">
          <cell r="B534">
            <v>530</v>
          </cell>
          <cell r="C534">
            <v>1022.9299999999872</v>
          </cell>
          <cell r="D534">
            <v>1432.1</v>
          </cell>
          <cell r="E534">
            <v>0</v>
          </cell>
          <cell r="F534">
            <v>666.77999999999702</v>
          </cell>
          <cell r="G534">
            <v>933.49</v>
          </cell>
        </row>
        <row r="535">
          <cell r="B535">
            <v>531</v>
          </cell>
          <cell r="C535">
            <v>1024.8599999999872</v>
          </cell>
          <cell r="D535">
            <v>1434.8</v>
          </cell>
          <cell r="E535">
            <v>0</v>
          </cell>
          <cell r="F535">
            <v>668.03999999999701</v>
          </cell>
          <cell r="G535">
            <v>935.26</v>
          </cell>
        </row>
        <row r="536">
          <cell r="B536">
            <v>532</v>
          </cell>
          <cell r="C536">
            <v>1026.7899999999872</v>
          </cell>
          <cell r="D536">
            <v>1437.51</v>
          </cell>
          <cell r="E536">
            <v>0</v>
          </cell>
          <cell r="F536">
            <v>669.299999999997</v>
          </cell>
          <cell r="G536">
            <v>937.02</v>
          </cell>
        </row>
        <row r="537">
          <cell r="B537">
            <v>533</v>
          </cell>
          <cell r="C537">
            <v>1028.7199999999873</v>
          </cell>
          <cell r="D537">
            <v>1440.21</v>
          </cell>
          <cell r="E537">
            <v>0</v>
          </cell>
          <cell r="F537">
            <v>670.55999999999699</v>
          </cell>
          <cell r="G537">
            <v>938.78</v>
          </cell>
        </row>
        <row r="538">
          <cell r="B538">
            <v>534</v>
          </cell>
          <cell r="C538">
            <v>1030.6499999999874</v>
          </cell>
          <cell r="D538">
            <v>1442.91</v>
          </cell>
          <cell r="E538">
            <v>0</v>
          </cell>
          <cell r="F538">
            <v>671.81999999999698</v>
          </cell>
          <cell r="G538">
            <v>940.55</v>
          </cell>
        </row>
        <row r="539">
          <cell r="B539">
            <v>535</v>
          </cell>
          <cell r="C539">
            <v>1032.5799999999874</v>
          </cell>
          <cell r="D539">
            <v>1445.61</v>
          </cell>
          <cell r="E539">
            <v>0</v>
          </cell>
          <cell r="F539">
            <v>673.07999999999697</v>
          </cell>
          <cell r="G539">
            <v>942.31</v>
          </cell>
        </row>
        <row r="540">
          <cell r="B540">
            <v>536</v>
          </cell>
          <cell r="C540">
            <v>1034.5099999999875</v>
          </cell>
          <cell r="D540">
            <v>1448.31</v>
          </cell>
          <cell r="E540">
            <v>0</v>
          </cell>
          <cell r="F540">
            <v>674.33999999999696</v>
          </cell>
          <cell r="G540">
            <v>944.08</v>
          </cell>
        </row>
        <row r="541">
          <cell r="B541">
            <v>537</v>
          </cell>
          <cell r="C541">
            <v>1036.4399999999875</v>
          </cell>
          <cell r="D541">
            <v>1451.02</v>
          </cell>
          <cell r="E541">
            <v>0</v>
          </cell>
          <cell r="F541">
            <v>675.59999999999695</v>
          </cell>
          <cell r="G541">
            <v>945.84</v>
          </cell>
        </row>
        <row r="542">
          <cell r="B542">
            <v>538</v>
          </cell>
          <cell r="C542">
            <v>1038.3699999999876</v>
          </cell>
          <cell r="D542">
            <v>1453.72</v>
          </cell>
          <cell r="E542">
            <v>0</v>
          </cell>
          <cell r="F542">
            <v>676.85999999999694</v>
          </cell>
          <cell r="G542">
            <v>947.6</v>
          </cell>
        </row>
        <row r="543">
          <cell r="B543">
            <v>539</v>
          </cell>
          <cell r="C543">
            <v>1040.2999999999877</v>
          </cell>
          <cell r="D543">
            <v>1456.42</v>
          </cell>
          <cell r="E543">
            <v>0</v>
          </cell>
          <cell r="F543">
            <v>678.11999999999694</v>
          </cell>
          <cell r="G543">
            <v>949.37</v>
          </cell>
        </row>
        <row r="544">
          <cell r="B544">
            <v>540</v>
          </cell>
          <cell r="C544">
            <v>1042.2299999999877</v>
          </cell>
          <cell r="D544">
            <v>1459.12</v>
          </cell>
          <cell r="E544">
            <v>0</v>
          </cell>
          <cell r="F544">
            <v>679.37999999999693</v>
          </cell>
          <cell r="G544">
            <v>951.13</v>
          </cell>
        </row>
        <row r="545">
          <cell r="B545">
            <v>541</v>
          </cell>
          <cell r="C545">
            <v>1044.1599999999878</v>
          </cell>
          <cell r="D545">
            <v>1461.82</v>
          </cell>
          <cell r="E545">
            <v>0</v>
          </cell>
          <cell r="F545">
            <v>680.63999999999692</v>
          </cell>
          <cell r="G545">
            <v>952.9</v>
          </cell>
        </row>
        <row r="546">
          <cell r="B546">
            <v>542</v>
          </cell>
          <cell r="C546">
            <v>1046.0899999999879</v>
          </cell>
          <cell r="D546">
            <v>1464.53</v>
          </cell>
          <cell r="E546">
            <v>0</v>
          </cell>
          <cell r="F546">
            <v>681.89999999999691</v>
          </cell>
          <cell r="G546">
            <v>954.66</v>
          </cell>
        </row>
        <row r="547">
          <cell r="B547">
            <v>543</v>
          </cell>
          <cell r="C547">
            <v>1048.0199999999879</v>
          </cell>
          <cell r="D547">
            <v>1467.23</v>
          </cell>
          <cell r="E547">
            <v>0</v>
          </cell>
          <cell r="F547">
            <v>683.1599999999969</v>
          </cell>
          <cell r="G547">
            <v>956.42</v>
          </cell>
        </row>
        <row r="548">
          <cell r="B548">
            <v>544</v>
          </cell>
          <cell r="C548">
            <v>1049.949999999988</v>
          </cell>
          <cell r="D548">
            <v>1469.93</v>
          </cell>
          <cell r="E548">
            <v>0</v>
          </cell>
          <cell r="F548">
            <v>684.41999999999689</v>
          </cell>
          <cell r="G548">
            <v>958.19</v>
          </cell>
        </row>
        <row r="549">
          <cell r="B549">
            <v>545</v>
          </cell>
          <cell r="C549">
            <v>1051.8799999999881</v>
          </cell>
          <cell r="D549">
            <v>1472.63</v>
          </cell>
          <cell r="E549">
            <v>0</v>
          </cell>
          <cell r="F549">
            <v>685.67999999999688</v>
          </cell>
          <cell r="G549">
            <v>959.95</v>
          </cell>
        </row>
        <row r="550">
          <cell r="B550">
            <v>546</v>
          </cell>
          <cell r="C550">
            <v>1053.8099999999881</v>
          </cell>
          <cell r="D550">
            <v>1475.33</v>
          </cell>
          <cell r="E550">
            <v>0</v>
          </cell>
          <cell r="F550">
            <v>686.93999999999687</v>
          </cell>
          <cell r="G550">
            <v>961.72</v>
          </cell>
        </row>
        <row r="551">
          <cell r="B551">
            <v>547</v>
          </cell>
          <cell r="C551">
            <v>1055.7399999999882</v>
          </cell>
          <cell r="D551">
            <v>1478.04</v>
          </cell>
          <cell r="E551">
            <v>0</v>
          </cell>
          <cell r="F551">
            <v>688.19999999999686</v>
          </cell>
          <cell r="G551">
            <v>963.48</v>
          </cell>
        </row>
        <row r="552">
          <cell r="B552">
            <v>548</v>
          </cell>
          <cell r="C552">
            <v>1057.6699999999882</v>
          </cell>
          <cell r="D552">
            <v>1480.74</v>
          </cell>
          <cell r="E552">
            <v>0</v>
          </cell>
          <cell r="F552">
            <v>689.45999999999685</v>
          </cell>
          <cell r="G552">
            <v>965.24</v>
          </cell>
        </row>
        <row r="553">
          <cell r="B553">
            <v>549</v>
          </cell>
          <cell r="C553">
            <v>1059.5999999999883</v>
          </cell>
          <cell r="D553">
            <v>1483.44</v>
          </cell>
          <cell r="E553">
            <v>0</v>
          </cell>
          <cell r="F553">
            <v>690.71999999999684</v>
          </cell>
          <cell r="G553">
            <v>967.01</v>
          </cell>
        </row>
        <row r="554">
          <cell r="B554">
            <v>550</v>
          </cell>
          <cell r="C554">
            <v>1061.5299999999884</v>
          </cell>
          <cell r="D554">
            <v>1486.14</v>
          </cell>
          <cell r="E554">
            <v>0</v>
          </cell>
          <cell r="F554">
            <v>691.97999999999683</v>
          </cell>
          <cell r="G554">
            <v>968.77</v>
          </cell>
        </row>
        <row r="555">
          <cell r="B555">
            <v>551</v>
          </cell>
          <cell r="C555">
            <v>1063.4599999999884</v>
          </cell>
          <cell r="D555">
            <v>1488.84</v>
          </cell>
          <cell r="E555">
            <v>0</v>
          </cell>
          <cell r="F555">
            <v>693.23999999999683</v>
          </cell>
          <cell r="G555">
            <v>970.54</v>
          </cell>
        </row>
        <row r="556">
          <cell r="B556">
            <v>552</v>
          </cell>
          <cell r="C556">
            <v>1065.3899999999885</v>
          </cell>
          <cell r="D556">
            <v>1491.55</v>
          </cell>
          <cell r="E556">
            <v>0</v>
          </cell>
          <cell r="F556">
            <v>694.49999999999682</v>
          </cell>
          <cell r="G556">
            <v>972.3</v>
          </cell>
        </row>
        <row r="557">
          <cell r="B557">
            <v>553</v>
          </cell>
          <cell r="C557">
            <v>1067.3199999999886</v>
          </cell>
          <cell r="D557">
            <v>1494.25</v>
          </cell>
          <cell r="E557">
            <v>0</v>
          </cell>
          <cell r="F557">
            <v>695.75999999999681</v>
          </cell>
          <cell r="G557">
            <v>974.06</v>
          </cell>
        </row>
        <row r="558">
          <cell r="B558">
            <v>554</v>
          </cell>
          <cell r="C558">
            <v>1069.2499999999886</v>
          </cell>
          <cell r="D558">
            <v>1496.95</v>
          </cell>
          <cell r="E558">
            <v>0</v>
          </cell>
          <cell r="F558">
            <v>697.0199999999968</v>
          </cell>
          <cell r="G558">
            <v>975.83</v>
          </cell>
        </row>
        <row r="559">
          <cell r="B559">
            <v>555</v>
          </cell>
          <cell r="C559">
            <v>1071.1799999999887</v>
          </cell>
          <cell r="D559">
            <v>1499.65</v>
          </cell>
          <cell r="E559">
            <v>0</v>
          </cell>
          <cell r="F559">
            <v>698.27999999999679</v>
          </cell>
          <cell r="G559">
            <v>977.59</v>
          </cell>
        </row>
        <row r="560">
          <cell r="B560">
            <v>556</v>
          </cell>
          <cell r="C560">
            <v>1073.1099999999888</v>
          </cell>
          <cell r="D560">
            <v>1502.35</v>
          </cell>
          <cell r="E560">
            <v>0</v>
          </cell>
          <cell r="F560">
            <v>699.53999999999678</v>
          </cell>
          <cell r="G560">
            <v>979.36</v>
          </cell>
        </row>
        <row r="561">
          <cell r="B561">
            <v>557</v>
          </cell>
          <cell r="C561">
            <v>1075.0399999999888</v>
          </cell>
          <cell r="D561">
            <v>1505.06</v>
          </cell>
          <cell r="E561">
            <v>0</v>
          </cell>
          <cell r="F561">
            <v>700.79999999999677</v>
          </cell>
          <cell r="G561">
            <v>981.12</v>
          </cell>
        </row>
        <row r="562">
          <cell r="B562">
            <v>558</v>
          </cell>
          <cell r="C562">
            <v>1076.9699999999889</v>
          </cell>
          <cell r="D562">
            <v>1507.76</v>
          </cell>
          <cell r="E562">
            <v>0</v>
          </cell>
          <cell r="F562">
            <v>702.05999999999676</v>
          </cell>
          <cell r="G562">
            <v>982.88</v>
          </cell>
        </row>
        <row r="563">
          <cell r="B563">
            <v>559</v>
          </cell>
          <cell r="C563">
            <v>1078.8999999999889</v>
          </cell>
          <cell r="D563">
            <v>1510.46</v>
          </cell>
          <cell r="E563">
            <v>0</v>
          </cell>
          <cell r="F563">
            <v>703.31999999999675</v>
          </cell>
          <cell r="G563">
            <v>984.65</v>
          </cell>
        </row>
        <row r="564">
          <cell r="B564">
            <v>560</v>
          </cell>
          <cell r="C564">
            <v>1080.829999999989</v>
          </cell>
          <cell r="D564">
            <v>1513.16</v>
          </cell>
          <cell r="E564">
            <v>0</v>
          </cell>
          <cell r="F564">
            <v>704.57999999999674</v>
          </cell>
          <cell r="G564">
            <v>986.41</v>
          </cell>
        </row>
        <row r="565">
          <cell r="B565">
            <v>561</v>
          </cell>
          <cell r="C565">
            <v>1082.7599999999891</v>
          </cell>
          <cell r="D565">
            <v>1515.86</v>
          </cell>
          <cell r="E565">
            <v>0</v>
          </cell>
          <cell r="F565">
            <v>705.83999999999673</v>
          </cell>
          <cell r="G565">
            <v>988.18</v>
          </cell>
        </row>
        <row r="566">
          <cell r="B566">
            <v>562</v>
          </cell>
          <cell r="C566">
            <v>1084.6899999999891</v>
          </cell>
          <cell r="D566">
            <v>1518.57</v>
          </cell>
          <cell r="E566">
            <v>0</v>
          </cell>
          <cell r="F566">
            <v>707.09999999999673</v>
          </cell>
          <cell r="G566">
            <v>989.94</v>
          </cell>
        </row>
        <row r="567">
          <cell r="B567">
            <v>563</v>
          </cell>
          <cell r="C567">
            <v>1086.6199999999892</v>
          </cell>
          <cell r="D567">
            <v>1521.27</v>
          </cell>
          <cell r="E567">
            <v>0</v>
          </cell>
          <cell r="F567">
            <v>708.35999999999672</v>
          </cell>
          <cell r="G567">
            <v>991.7</v>
          </cell>
        </row>
        <row r="568">
          <cell r="B568">
            <v>564</v>
          </cell>
          <cell r="C568">
            <v>1088.5499999999893</v>
          </cell>
          <cell r="D568">
            <v>1523.97</v>
          </cell>
          <cell r="E568">
            <v>0</v>
          </cell>
          <cell r="F568">
            <v>709.61999999999671</v>
          </cell>
          <cell r="G568">
            <v>993.47</v>
          </cell>
        </row>
        <row r="569">
          <cell r="B569">
            <v>565</v>
          </cell>
          <cell r="C569">
            <v>1090.4799999999893</v>
          </cell>
          <cell r="D569">
            <v>1526.67</v>
          </cell>
          <cell r="E569">
            <v>0</v>
          </cell>
          <cell r="F569">
            <v>710.8799999999967</v>
          </cell>
          <cell r="G569">
            <v>995.23</v>
          </cell>
        </row>
        <row r="570">
          <cell r="B570">
            <v>566</v>
          </cell>
          <cell r="C570">
            <v>1092.4099999999894</v>
          </cell>
          <cell r="D570">
            <v>1529.37</v>
          </cell>
          <cell r="E570">
            <v>0</v>
          </cell>
          <cell r="F570">
            <v>712.13999999999669</v>
          </cell>
          <cell r="G570">
            <v>997</v>
          </cell>
        </row>
        <row r="571">
          <cell r="B571">
            <v>567</v>
          </cell>
          <cell r="C571">
            <v>1094.3399999999895</v>
          </cell>
          <cell r="D571">
            <v>1532.08</v>
          </cell>
          <cell r="E571">
            <v>0</v>
          </cell>
          <cell r="F571">
            <v>713.39999999999668</v>
          </cell>
          <cell r="G571">
            <v>998.76</v>
          </cell>
        </row>
        <row r="572">
          <cell r="B572">
            <v>568</v>
          </cell>
          <cell r="C572">
            <v>1096.2699999999895</v>
          </cell>
          <cell r="D572">
            <v>1534.78</v>
          </cell>
          <cell r="E572">
            <v>0</v>
          </cell>
          <cell r="F572">
            <v>714.65999999999667</v>
          </cell>
          <cell r="G572">
            <v>1000.52</v>
          </cell>
        </row>
        <row r="573">
          <cell r="B573">
            <v>569</v>
          </cell>
          <cell r="C573">
            <v>1098.1999999999896</v>
          </cell>
          <cell r="D573">
            <v>1537.48</v>
          </cell>
          <cell r="E573">
            <v>0</v>
          </cell>
          <cell r="F573">
            <v>715.91999999999666</v>
          </cell>
          <cell r="G573">
            <v>1002.29</v>
          </cell>
        </row>
        <row r="574">
          <cell r="B574">
            <v>570</v>
          </cell>
          <cell r="C574">
            <v>1100.1299999999896</v>
          </cell>
          <cell r="D574">
            <v>1540.18</v>
          </cell>
          <cell r="E574">
            <v>0</v>
          </cell>
          <cell r="F574">
            <v>717.17999999999665</v>
          </cell>
          <cell r="G574">
            <v>1004.05</v>
          </cell>
        </row>
        <row r="575">
          <cell r="B575">
            <v>571</v>
          </cell>
          <cell r="C575">
            <v>1102.0599999999897</v>
          </cell>
          <cell r="D575">
            <v>1542.88</v>
          </cell>
          <cell r="E575">
            <v>0</v>
          </cell>
          <cell r="F575">
            <v>718.43999999999664</v>
          </cell>
          <cell r="G575">
            <v>1005.82</v>
          </cell>
        </row>
        <row r="576">
          <cell r="B576">
            <v>572</v>
          </cell>
          <cell r="C576">
            <v>1103.9899999999898</v>
          </cell>
          <cell r="D576">
            <v>1545.59</v>
          </cell>
          <cell r="E576">
            <v>0</v>
          </cell>
          <cell r="F576">
            <v>719.69999999999663</v>
          </cell>
          <cell r="G576">
            <v>1007.58</v>
          </cell>
        </row>
        <row r="577">
          <cell r="B577">
            <v>573</v>
          </cell>
          <cell r="C577">
            <v>1105.9199999999898</v>
          </cell>
          <cell r="D577">
            <v>1548.29</v>
          </cell>
          <cell r="E577">
            <v>0</v>
          </cell>
          <cell r="F577">
            <v>720.95999999999663</v>
          </cell>
          <cell r="G577">
            <v>1009.34</v>
          </cell>
        </row>
        <row r="578">
          <cell r="B578">
            <v>574</v>
          </cell>
          <cell r="C578">
            <v>1107.8499999999899</v>
          </cell>
          <cell r="D578">
            <v>1550.99</v>
          </cell>
          <cell r="E578">
            <v>0</v>
          </cell>
          <cell r="F578">
            <v>722.21999999999662</v>
          </cell>
          <cell r="G578">
            <v>1011.11</v>
          </cell>
        </row>
        <row r="579">
          <cell r="B579">
            <v>575</v>
          </cell>
          <cell r="C579">
            <v>1109.77999999999</v>
          </cell>
          <cell r="D579">
            <v>1553.69</v>
          </cell>
          <cell r="E579">
            <v>0</v>
          </cell>
          <cell r="F579">
            <v>723.47999999999661</v>
          </cell>
          <cell r="G579">
            <v>1012.87</v>
          </cell>
        </row>
        <row r="580">
          <cell r="B580">
            <v>576</v>
          </cell>
          <cell r="C580">
            <v>1111.70999999999</v>
          </cell>
          <cell r="D580">
            <v>1556.39</v>
          </cell>
          <cell r="E580">
            <v>0</v>
          </cell>
          <cell r="F580">
            <v>724.7399999999966</v>
          </cell>
          <cell r="G580">
            <v>1014.64</v>
          </cell>
        </row>
        <row r="581">
          <cell r="B581">
            <v>577</v>
          </cell>
          <cell r="C581">
            <v>1113.6399999999901</v>
          </cell>
          <cell r="D581">
            <v>1559.1</v>
          </cell>
          <cell r="E581">
            <v>0</v>
          </cell>
          <cell r="F581">
            <v>725.99999999999659</v>
          </cell>
          <cell r="G581">
            <v>1016.4</v>
          </cell>
        </row>
        <row r="582">
          <cell r="B582">
            <v>578</v>
          </cell>
          <cell r="C582">
            <v>1115.5699999999902</v>
          </cell>
          <cell r="D582">
            <v>1561.8</v>
          </cell>
          <cell r="E582">
            <v>0</v>
          </cell>
          <cell r="F582">
            <v>727.25999999999658</v>
          </cell>
          <cell r="G582">
            <v>1018.16</v>
          </cell>
        </row>
        <row r="583">
          <cell r="B583">
            <v>579</v>
          </cell>
          <cell r="C583">
            <v>1117.4999999999902</v>
          </cell>
          <cell r="D583">
            <v>1564.5</v>
          </cell>
          <cell r="E583">
            <v>0</v>
          </cell>
          <cell r="F583">
            <v>728.51999999999657</v>
          </cell>
          <cell r="G583">
            <v>1019.93</v>
          </cell>
        </row>
        <row r="584">
          <cell r="B584">
            <v>580</v>
          </cell>
          <cell r="C584">
            <v>1119.4299999999903</v>
          </cell>
          <cell r="D584">
            <v>1567.2</v>
          </cell>
          <cell r="E584">
            <v>0</v>
          </cell>
          <cell r="F584">
            <v>729.77999999999656</v>
          </cell>
          <cell r="G584">
            <v>1021.69</v>
          </cell>
        </row>
        <row r="585">
          <cell r="B585">
            <v>581</v>
          </cell>
          <cell r="C585">
            <v>1121.3599999999904</v>
          </cell>
          <cell r="D585">
            <v>1569.9</v>
          </cell>
          <cell r="E585">
            <v>0</v>
          </cell>
          <cell r="F585">
            <v>731.03999999999655</v>
          </cell>
          <cell r="G585">
            <v>1023.46</v>
          </cell>
        </row>
        <row r="586">
          <cell r="B586">
            <v>582</v>
          </cell>
          <cell r="C586">
            <v>1123.2899999999904</v>
          </cell>
          <cell r="D586">
            <v>1572.61</v>
          </cell>
          <cell r="E586">
            <v>0</v>
          </cell>
          <cell r="F586">
            <v>732.29999999999654</v>
          </cell>
          <cell r="G586">
            <v>1025.22</v>
          </cell>
        </row>
        <row r="587">
          <cell r="B587">
            <v>583</v>
          </cell>
          <cell r="C587">
            <v>1125.2199999999905</v>
          </cell>
          <cell r="D587">
            <v>1575.31</v>
          </cell>
          <cell r="E587">
            <v>0</v>
          </cell>
          <cell r="F587">
            <v>733.55999999999653</v>
          </cell>
          <cell r="G587">
            <v>1026.98</v>
          </cell>
        </row>
        <row r="588">
          <cell r="B588">
            <v>584</v>
          </cell>
          <cell r="C588">
            <v>1127.1499999999905</v>
          </cell>
          <cell r="D588">
            <v>1578.01</v>
          </cell>
          <cell r="E588">
            <v>0</v>
          </cell>
          <cell r="F588">
            <v>734.81999999999653</v>
          </cell>
          <cell r="G588">
            <v>1028.75</v>
          </cell>
        </row>
        <row r="589">
          <cell r="B589">
            <v>585</v>
          </cell>
          <cell r="C589">
            <v>1129.0799999999906</v>
          </cell>
          <cell r="D589">
            <v>1580.71</v>
          </cell>
          <cell r="E589">
            <v>0</v>
          </cell>
          <cell r="F589">
            <v>736.07999999999652</v>
          </cell>
          <cell r="G589">
            <v>1030.51</v>
          </cell>
        </row>
        <row r="590">
          <cell r="B590">
            <v>586</v>
          </cell>
          <cell r="C590">
            <v>1131.0099999999907</v>
          </cell>
          <cell r="D590">
            <v>1583.41</v>
          </cell>
          <cell r="E590">
            <v>0</v>
          </cell>
          <cell r="F590">
            <v>737.33999999999651</v>
          </cell>
          <cell r="G590">
            <v>1032.28</v>
          </cell>
        </row>
        <row r="591">
          <cell r="B591">
            <v>587</v>
          </cell>
          <cell r="C591">
            <v>1132.9399999999907</v>
          </cell>
          <cell r="D591">
            <v>1586.12</v>
          </cell>
          <cell r="E591">
            <v>0</v>
          </cell>
          <cell r="F591">
            <v>738.5999999999965</v>
          </cell>
          <cell r="G591">
            <v>1034.04</v>
          </cell>
        </row>
        <row r="592">
          <cell r="B592">
            <v>588</v>
          </cell>
          <cell r="C592">
            <v>1134.8699999999908</v>
          </cell>
          <cell r="D592">
            <v>1588.82</v>
          </cell>
          <cell r="E592">
            <v>0</v>
          </cell>
          <cell r="F592">
            <v>739.85999999999649</v>
          </cell>
          <cell r="G592">
            <v>1035.8</v>
          </cell>
        </row>
        <row r="593">
          <cell r="B593">
            <v>589</v>
          </cell>
          <cell r="C593">
            <v>1136.7999999999909</v>
          </cell>
          <cell r="D593">
            <v>1591.52</v>
          </cell>
          <cell r="E593">
            <v>0</v>
          </cell>
          <cell r="F593">
            <v>741.11999999999648</v>
          </cell>
          <cell r="G593">
            <v>1037.57</v>
          </cell>
        </row>
        <row r="594">
          <cell r="B594">
            <v>590</v>
          </cell>
          <cell r="C594">
            <v>1138.7299999999909</v>
          </cell>
          <cell r="D594">
            <v>1594.22</v>
          </cell>
          <cell r="E594">
            <v>0</v>
          </cell>
          <cell r="F594">
            <v>742.37999999999647</v>
          </cell>
          <cell r="G594">
            <v>1039.33</v>
          </cell>
        </row>
        <row r="595">
          <cell r="B595">
            <v>591</v>
          </cell>
          <cell r="C595">
            <v>1140.659999999991</v>
          </cell>
          <cell r="D595">
            <v>1596.92</v>
          </cell>
          <cell r="E595">
            <v>0</v>
          </cell>
          <cell r="F595">
            <v>743.63999999999646</v>
          </cell>
          <cell r="G595">
            <v>1041.0999999999999</v>
          </cell>
        </row>
        <row r="596">
          <cell r="B596">
            <v>592</v>
          </cell>
          <cell r="C596">
            <v>1142.5899999999911</v>
          </cell>
          <cell r="D596">
            <v>1599.63</v>
          </cell>
          <cell r="E596">
            <v>0</v>
          </cell>
          <cell r="F596">
            <v>744.89999999999645</v>
          </cell>
          <cell r="G596">
            <v>1042.8599999999999</v>
          </cell>
        </row>
        <row r="597">
          <cell r="B597">
            <v>593</v>
          </cell>
          <cell r="C597">
            <v>1144.5199999999911</v>
          </cell>
          <cell r="D597">
            <v>1602.33</v>
          </cell>
          <cell r="E597">
            <v>0</v>
          </cell>
          <cell r="F597">
            <v>746.15999999999644</v>
          </cell>
          <cell r="G597">
            <v>1044.6199999999999</v>
          </cell>
        </row>
        <row r="598">
          <cell r="B598">
            <v>594</v>
          </cell>
          <cell r="C598">
            <v>1146.4499999999912</v>
          </cell>
          <cell r="D598">
            <v>1605.03</v>
          </cell>
          <cell r="E598">
            <v>0</v>
          </cell>
          <cell r="F598">
            <v>747.41999999999643</v>
          </cell>
          <cell r="G598">
            <v>1046.3900000000001</v>
          </cell>
        </row>
        <row r="599">
          <cell r="B599">
            <v>595</v>
          </cell>
          <cell r="C599">
            <v>1148.3799999999912</v>
          </cell>
          <cell r="D599">
            <v>1607.73</v>
          </cell>
          <cell r="E599">
            <v>0</v>
          </cell>
          <cell r="F599">
            <v>748.67999999999643</v>
          </cell>
          <cell r="G599">
            <v>1048.1500000000001</v>
          </cell>
        </row>
        <row r="600">
          <cell r="B600">
            <v>596</v>
          </cell>
          <cell r="C600">
            <v>1150.3099999999913</v>
          </cell>
          <cell r="D600">
            <v>1610.43</v>
          </cell>
          <cell r="E600">
            <v>0</v>
          </cell>
          <cell r="F600">
            <v>749.93999999999642</v>
          </cell>
          <cell r="G600">
            <v>1049.92</v>
          </cell>
        </row>
        <row r="601">
          <cell r="B601">
            <v>597</v>
          </cell>
          <cell r="C601">
            <v>1152.2399999999914</v>
          </cell>
          <cell r="D601">
            <v>1613.14</v>
          </cell>
          <cell r="E601">
            <v>0</v>
          </cell>
          <cell r="F601">
            <v>751.19999999999641</v>
          </cell>
          <cell r="G601">
            <v>1051.68</v>
          </cell>
        </row>
        <row r="602">
          <cell r="B602">
            <v>598</v>
          </cell>
          <cell r="C602">
            <v>1154.1699999999914</v>
          </cell>
          <cell r="D602">
            <v>1615.84</v>
          </cell>
          <cell r="E602">
            <v>0</v>
          </cell>
          <cell r="F602">
            <v>752.4599999999964</v>
          </cell>
          <cell r="G602">
            <v>1053.44</v>
          </cell>
        </row>
        <row r="603">
          <cell r="B603">
            <v>599</v>
          </cell>
          <cell r="C603">
            <v>1156.0999999999915</v>
          </cell>
          <cell r="D603">
            <v>1618.54</v>
          </cell>
          <cell r="E603">
            <v>0</v>
          </cell>
          <cell r="F603">
            <v>753.71999999999639</v>
          </cell>
          <cell r="G603">
            <v>1055.21</v>
          </cell>
        </row>
        <row r="604">
          <cell r="B604">
            <v>600</v>
          </cell>
          <cell r="C604">
            <v>1158.0299999999916</v>
          </cell>
          <cell r="D604">
            <v>1621.24</v>
          </cell>
          <cell r="E604">
            <v>0</v>
          </cell>
          <cell r="F604">
            <v>754.97999999999638</v>
          </cell>
          <cell r="G604">
            <v>1056.97</v>
          </cell>
        </row>
        <row r="605">
          <cell r="B605">
            <v>601</v>
          </cell>
          <cell r="C605">
            <v>1159.9599999999916</v>
          </cell>
          <cell r="D605">
            <v>1623.94</v>
          </cell>
          <cell r="E605">
            <v>0</v>
          </cell>
          <cell r="F605">
            <v>756.23999999999637</v>
          </cell>
          <cell r="G605">
            <v>1058.74</v>
          </cell>
        </row>
        <row r="606">
          <cell r="B606">
            <v>602</v>
          </cell>
          <cell r="C606">
            <v>1161.8899999999917</v>
          </cell>
          <cell r="D606">
            <v>1626.65</v>
          </cell>
          <cell r="E606">
            <v>0</v>
          </cell>
          <cell r="F606">
            <v>757.49999999999636</v>
          </cell>
          <cell r="G606">
            <v>1060.5</v>
          </cell>
        </row>
        <row r="607">
          <cell r="B607">
            <v>603</v>
          </cell>
          <cell r="C607">
            <v>1163.8199999999918</v>
          </cell>
          <cell r="D607">
            <v>1629.35</v>
          </cell>
          <cell r="E607">
            <v>0</v>
          </cell>
          <cell r="F607">
            <v>758.75999999999635</v>
          </cell>
          <cell r="G607">
            <v>1062.26</v>
          </cell>
        </row>
        <row r="608">
          <cell r="B608">
            <v>604</v>
          </cell>
          <cell r="C608">
            <v>1165.7499999999918</v>
          </cell>
          <cell r="D608">
            <v>1632.05</v>
          </cell>
          <cell r="E608">
            <v>0</v>
          </cell>
          <cell r="F608">
            <v>760.01999999999634</v>
          </cell>
          <cell r="G608">
            <v>1064.03</v>
          </cell>
        </row>
        <row r="609">
          <cell r="B609">
            <v>605</v>
          </cell>
          <cell r="C609">
            <v>1167.6799999999919</v>
          </cell>
          <cell r="D609">
            <v>1634.75</v>
          </cell>
          <cell r="E609">
            <v>0</v>
          </cell>
          <cell r="F609">
            <v>761.27999999999633</v>
          </cell>
          <cell r="G609">
            <v>1065.79</v>
          </cell>
        </row>
        <row r="610">
          <cell r="B610">
            <v>606</v>
          </cell>
          <cell r="C610">
            <v>1169.6099999999919</v>
          </cell>
          <cell r="D610">
            <v>1637.45</v>
          </cell>
          <cell r="E610">
            <v>0</v>
          </cell>
          <cell r="F610">
            <v>762.53999999999633</v>
          </cell>
          <cell r="G610">
            <v>1067.56</v>
          </cell>
        </row>
        <row r="611">
          <cell r="B611">
            <v>607</v>
          </cell>
          <cell r="C611">
            <v>1171.539999999992</v>
          </cell>
          <cell r="D611">
            <v>1640.16</v>
          </cell>
          <cell r="E611">
            <v>0</v>
          </cell>
          <cell r="F611">
            <v>763.79999999999632</v>
          </cell>
          <cell r="G611">
            <v>1069.32</v>
          </cell>
        </row>
        <row r="612">
          <cell r="B612">
            <v>608</v>
          </cell>
          <cell r="C612">
            <v>1173.4699999999921</v>
          </cell>
          <cell r="D612">
            <v>1642.86</v>
          </cell>
          <cell r="E612">
            <v>0</v>
          </cell>
          <cell r="F612">
            <v>765.05999999999631</v>
          </cell>
          <cell r="G612">
            <v>1071.08</v>
          </cell>
        </row>
        <row r="613">
          <cell r="B613">
            <v>609</v>
          </cell>
          <cell r="C613">
            <v>1175.3999999999921</v>
          </cell>
          <cell r="D613">
            <v>1645.56</v>
          </cell>
          <cell r="E613">
            <v>0</v>
          </cell>
          <cell r="F613">
            <v>766.3199999999963</v>
          </cell>
          <cell r="G613">
            <v>1072.8499999999999</v>
          </cell>
        </row>
        <row r="614">
          <cell r="B614">
            <v>610</v>
          </cell>
          <cell r="C614">
            <v>1177.3299999999922</v>
          </cell>
          <cell r="D614">
            <v>1648.26</v>
          </cell>
          <cell r="E614">
            <v>0</v>
          </cell>
          <cell r="F614">
            <v>767.57999999999629</v>
          </cell>
          <cell r="G614">
            <v>1074.6099999999999</v>
          </cell>
        </row>
        <row r="615">
          <cell r="B615">
            <v>611</v>
          </cell>
          <cell r="C615">
            <v>1179.2599999999923</v>
          </cell>
          <cell r="D615">
            <v>1650.96</v>
          </cell>
          <cell r="E615">
            <v>0</v>
          </cell>
          <cell r="F615">
            <v>768.83999999999628</v>
          </cell>
          <cell r="G615">
            <v>1076.3800000000001</v>
          </cell>
        </row>
        <row r="616">
          <cell r="B616">
            <v>612</v>
          </cell>
          <cell r="C616">
            <v>1181.1899999999923</v>
          </cell>
          <cell r="D616">
            <v>1653.67</v>
          </cell>
          <cell r="E616">
            <v>0</v>
          </cell>
          <cell r="F616">
            <v>770.09999999999627</v>
          </cell>
          <cell r="G616">
            <v>1078.1400000000001</v>
          </cell>
        </row>
        <row r="617">
          <cell r="B617">
            <v>613</v>
          </cell>
          <cell r="C617">
            <v>1183.1199999999924</v>
          </cell>
          <cell r="D617">
            <v>1656.37</v>
          </cell>
          <cell r="E617">
            <v>0</v>
          </cell>
          <cell r="F617">
            <v>771.35999999999626</v>
          </cell>
          <cell r="G617">
            <v>1079.9000000000001</v>
          </cell>
        </row>
        <row r="618">
          <cell r="B618">
            <v>614</v>
          </cell>
          <cell r="C618">
            <v>1185.0499999999925</v>
          </cell>
          <cell r="D618">
            <v>1659.07</v>
          </cell>
          <cell r="E618">
            <v>0</v>
          </cell>
          <cell r="F618">
            <v>772.61999999999625</v>
          </cell>
          <cell r="G618">
            <v>1081.67</v>
          </cell>
        </row>
        <row r="619">
          <cell r="B619">
            <v>615</v>
          </cell>
          <cell r="C619">
            <v>1186.9799999999925</v>
          </cell>
          <cell r="D619">
            <v>1661.77</v>
          </cell>
          <cell r="E619">
            <v>0</v>
          </cell>
          <cell r="F619">
            <v>773.87999999999624</v>
          </cell>
          <cell r="G619">
            <v>1083.43</v>
          </cell>
        </row>
        <row r="620">
          <cell r="B620">
            <v>616</v>
          </cell>
          <cell r="C620">
            <v>1188.9099999999926</v>
          </cell>
          <cell r="D620">
            <v>1664.47</v>
          </cell>
          <cell r="E620">
            <v>0</v>
          </cell>
          <cell r="F620">
            <v>775.13999999999623</v>
          </cell>
          <cell r="G620">
            <v>1085.2</v>
          </cell>
        </row>
        <row r="621">
          <cell r="B621">
            <v>617</v>
          </cell>
          <cell r="C621">
            <v>1190.8399999999926</v>
          </cell>
          <cell r="D621">
            <v>1667.18</v>
          </cell>
          <cell r="E621">
            <v>0</v>
          </cell>
          <cell r="F621">
            <v>776.39999999999623</v>
          </cell>
          <cell r="G621">
            <v>1086.96</v>
          </cell>
        </row>
        <row r="622">
          <cell r="B622">
            <v>618</v>
          </cell>
          <cell r="C622">
            <v>1192.7699999999927</v>
          </cell>
          <cell r="D622">
            <v>1669.88</v>
          </cell>
          <cell r="E622">
            <v>0</v>
          </cell>
          <cell r="F622">
            <v>777.65999999999622</v>
          </cell>
          <cell r="G622">
            <v>1088.72</v>
          </cell>
        </row>
        <row r="623">
          <cell r="B623">
            <v>619</v>
          </cell>
          <cell r="C623">
            <v>1194.6999999999928</v>
          </cell>
          <cell r="D623">
            <v>1672.58</v>
          </cell>
          <cell r="E623">
            <v>0</v>
          </cell>
          <cell r="F623">
            <v>778.91999999999621</v>
          </cell>
          <cell r="G623">
            <v>1090.49</v>
          </cell>
        </row>
        <row r="624">
          <cell r="B624">
            <v>620</v>
          </cell>
          <cell r="C624">
            <v>1196.6299999999928</v>
          </cell>
          <cell r="D624">
            <v>1675.28</v>
          </cell>
          <cell r="E624">
            <v>0</v>
          </cell>
          <cell r="F624">
            <v>780.1799999999962</v>
          </cell>
          <cell r="G624">
            <v>1092.25</v>
          </cell>
        </row>
        <row r="625">
          <cell r="B625">
            <v>621</v>
          </cell>
          <cell r="C625">
            <v>1198.5599999999929</v>
          </cell>
          <cell r="D625">
            <v>1677.98</v>
          </cell>
          <cell r="E625">
            <v>0</v>
          </cell>
          <cell r="F625">
            <v>781.43999999999619</v>
          </cell>
          <cell r="G625">
            <v>1094.02</v>
          </cell>
        </row>
        <row r="626">
          <cell r="B626">
            <v>622</v>
          </cell>
          <cell r="C626">
            <v>1200.489999999993</v>
          </cell>
          <cell r="D626">
            <v>1680.69</v>
          </cell>
          <cell r="E626">
            <v>0</v>
          </cell>
          <cell r="F626">
            <v>782.69999999999618</v>
          </cell>
          <cell r="G626">
            <v>1095.78</v>
          </cell>
        </row>
        <row r="627">
          <cell r="B627">
            <v>623</v>
          </cell>
          <cell r="C627">
            <v>1202.419999999993</v>
          </cell>
          <cell r="D627">
            <v>1683.39</v>
          </cell>
          <cell r="E627">
            <v>0</v>
          </cell>
          <cell r="F627">
            <v>783.95999999999617</v>
          </cell>
          <cell r="G627">
            <v>1097.54</v>
          </cell>
        </row>
        <row r="628">
          <cell r="B628">
            <v>624</v>
          </cell>
          <cell r="C628">
            <v>1204.3499999999931</v>
          </cell>
          <cell r="D628">
            <v>1686.09</v>
          </cell>
          <cell r="E628">
            <v>0</v>
          </cell>
          <cell r="F628">
            <v>785.21999999999616</v>
          </cell>
          <cell r="G628">
            <v>1099.31</v>
          </cell>
        </row>
        <row r="629">
          <cell r="B629">
            <v>625</v>
          </cell>
          <cell r="C629">
            <v>1206.2799999999932</v>
          </cell>
          <cell r="D629">
            <v>1688.79</v>
          </cell>
          <cell r="E629">
            <v>0</v>
          </cell>
          <cell r="F629">
            <v>786.47999999999615</v>
          </cell>
          <cell r="G629">
            <v>1101.07</v>
          </cell>
        </row>
        <row r="630">
          <cell r="B630">
            <v>626</v>
          </cell>
          <cell r="C630">
            <v>1208.2099999999932</v>
          </cell>
          <cell r="D630">
            <v>1691.49</v>
          </cell>
          <cell r="E630">
            <v>0</v>
          </cell>
          <cell r="F630">
            <v>787.73999999999614</v>
          </cell>
          <cell r="G630">
            <v>1102.8399999999999</v>
          </cell>
        </row>
        <row r="631">
          <cell r="B631">
            <v>627</v>
          </cell>
          <cell r="C631">
            <v>1210.1399999999933</v>
          </cell>
          <cell r="D631">
            <v>1694.2</v>
          </cell>
          <cell r="E631">
            <v>0</v>
          </cell>
          <cell r="F631">
            <v>788.99999999999613</v>
          </cell>
          <cell r="G631">
            <v>1104.5999999999999</v>
          </cell>
        </row>
        <row r="632">
          <cell r="B632">
            <v>628</v>
          </cell>
          <cell r="C632">
            <v>1212.0699999999933</v>
          </cell>
          <cell r="D632">
            <v>1696.9</v>
          </cell>
          <cell r="E632">
            <v>0</v>
          </cell>
          <cell r="F632">
            <v>790.25999999999613</v>
          </cell>
          <cell r="G632">
            <v>1106.3599999999999</v>
          </cell>
        </row>
        <row r="633">
          <cell r="B633">
            <v>629</v>
          </cell>
          <cell r="C633">
            <v>1213.9999999999934</v>
          </cell>
          <cell r="D633">
            <v>1699.6</v>
          </cell>
          <cell r="E633">
            <v>0</v>
          </cell>
          <cell r="F633">
            <v>791.51999999999612</v>
          </cell>
          <cell r="G633">
            <v>1108.1300000000001</v>
          </cell>
        </row>
        <row r="634">
          <cell r="B634">
            <v>630</v>
          </cell>
          <cell r="C634">
            <v>1215.9299999999935</v>
          </cell>
          <cell r="D634">
            <v>1702.3</v>
          </cell>
          <cell r="E634">
            <v>0</v>
          </cell>
          <cell r="F634">
            <v>792.77999999999611</v>
          </cell>
          <cell r="G634">
            <v>1109.8900000000001</v>
          </cell>
        </row>
        <row r="635">
          <cell r="B635">
            <v>631</v>
          </cell>
          <cell r="C635">
            <v>1217.8599999999935</v>
          </cell>
          <cell r="D635">
            <v>1705</v>
          </cell>
          <cell r="E635">
            <v>0</v>
          </cell>
          <cell r="F635">
            <v>794.0399999999961</v>
          </cell>
          <cell r="G635">
            <v>1111.6600000000001</v>
          </cell>
        </row>
        <row r="636">
          <cell r="B636">
            <v>632</v>
          </cell>
          <cell r="C636">
            <v>1219.7899999999936</v>
          </cell>
          <cell r="D636">
            <v>1707.71</v>
          </cell>
          <cell r="E636">
            <v>0</v>
          </cell>
          <cell r="F636">
            <v>795.29999999999609</v>
          </cell>
          <cell r="G636">
            <v>1113.42</v>
          </cell>
        </row>
        <row r="637">
          <cell r="B637">
            <v>633</v>
          </cell>
          <cell r="C637">
            <v>1221.7199999999937</v>
          </cell>
          <cell r="D637">
            <v>1710.41</v>
          </cell>
          <cell r="E637">
            <v>0</v>
          </cell>
          <cell r="F637">
            <v>796.55999999999608</v>
          </cell>
          <cell r="G637">
            <v>1115.18</v>
          </cell>
        </row>
        <row r="638">
          <cell r="B638">
            <v>634</v>
          </cell>
          <cell r="C638">
            <v>1223.6499999999937</v>
          </cell>
          <cell r="D638">
            <v>1713.11</v>
          </cell>
          <cell r="E638">
            <v>0</v>
          </cell>
          <cell r="F638">
            <v>797.81999999999607</v>
          </cell>
          <cell r="G638">
            <v>1116.95</v>
          </cell>
        </row>
        <row r="639">
          <cell r="B639">
            <v>635</v>
          </cell>
          <cell r="C639">
            <v>1225.5799999999938</v>
          </cell>
          <cell r="D639">
            <v>1715.81</v>
          </cell>
          <cell r="E639">
            <v>0</v>
          </cell>
          <cell r="F639">
            <v>799.07999999999606</v>
          </cell>
          <cell r="G639">
            <v>1118.71</v>
          </cell>
        </row>
        <row r="640">
          <cell r="B640">
            <v>636</v>
          </cell>
          <cell r="C640">
            <v>1227.5099999999939</v>
          </cell>
          <cell r="D640">
            <v>1718.51</v>
          </cell>
          <cell r="E640">
            <v>0</v>
          </cell>
          <cell r="F640">
            <v>800.33999999999605</v>
          </cell>
          <cell r="G640">
            <v>1120.48</v>
          </cell>
        </row>
        <row r="641">
          <cell r="B641">
            <v>637</v>
          </cell>
          <cell r="C641">
            <v>1229.4399999999939</v>
          </cell>
          <cell r="D641">
            <v>1721.22</v>
          </cell>
          <cell r="E641">
            <v>0</v>
          </cell>
          <cell r="F641">
            <v>801.59999999999604</v>
          </cell>
          <cell r="G641">
            <v>1122.24</v>
          </cell>
        </row>
        <row r="642">
          <cell r="B642">
            <v>638</v>
          </cell>
          <cell r="C642">
            <v>1231.369999999994</v>
          </cell>
          <cell r="D642">
            <v>1723.92</v>
          </cell>
          <cell r="E642">
            <v>0</v>
          </cell>
          <cell r="F642">
            <v>802.85999999999603</v>
          </cell>
          <cell r="G642">
            <v>1124</v>
          </cell>
        </row>
        <row r="643">
          <cell r="B643">
            <v>639</v>
          </cell>
          <cell r="C643">
            <v>1233.299999999994</v>
          </cell>
          <cell r="D643">
            <v>1726.62</v>
          </cell>
          <cell r="E643">
            <v>0</v>
          </cell>
          <cell r="F643">
            <v>804.11999999999603</v>
          </cell>
          <cell r="G643">
            <v>1125.77</v>
          </cell>
        </row>
        <row r="644">
          <cell r="B644">
            <v>640</v>
          </cell>
          <cell r="C644">
            <v>1235.2299999999941</v>
          </cell>
          <cell r="D644">
            <v>1729.32</v>
          </cell>
          <cell r="E644">
            <v>0</v>
          </cell>
          <cell r="F644">
            <v>805.37999999999602</v>
          </cell>
          <cell r="G644">
            <v>1127.53</v>
          </cell>
        </row>
        <row r="645">
          <cell r="B645">
            <v>641</v>
          </cell>
          <cell r="C645">
            <v>1237.1599999999942</v>
          </cell>
          <cell r="D645">
            <v>1732.02</v>
          </cell>
          <cell r="E645">
            <v>0</v>
          </cell>
          <cell r="F645">
            <v>806.63999999999601</v>
          </cell>
          <cell r="G645">
            <v>1129.3</v>
          </cell>
        </row>
        <row r="646">
          <cell r="B646">
            <v>642</v>
          </cell>
          <cell r="C646">
            <v>1239.0899999999942</v>
          </cell>
          <cell r="D646">
            <v>1734.73</v>
          </cell>
          <cell r="E646">
            <v>0</v>
          </cell>
          <cell r="F646">
            <v>807.899999999996</v>
          </cell>
          <cell r="G646">
            <v>1131.06</v>
          </cell>
        </row>
        <row r="647">
          <cell r="B647">
            <v>643</v>
          </cell>
          <cell r="C647">
            <v>1241.0199999999943</v>
          </cell>
          <cell r="D647">
            <v>1737.43</v>
          </cell>
          <cell r="E647">
            <v>0</v>
          </cell>
          <cell r="F647">
            <v>809.15999999999599</v>
          </cell>
          <cell r="G647">
            <v>1132.82</v>
          </cell>
        </row>
        <row r="648">
          <cell r="B648">
            <v>644</v>
          </cell>
          <cell r="C648">
            <v>1242.9499999999944</v>
          </cell>
          <cell r="D648">
            <v>1740.13</v>
          </cell>
          <cell r="E648">
            <v>0</v>
          </cell>
          <cell r="F648">
            <v>810.41999999999598</v>
          </cell>
          <cell r="G648">
            <v>1134.5899999999999</v>
          </cell>
        </row>
        <row r="649">
          <cell r="B649">
            <v>645</v>
          </cell>
          <cell r="C649">
            <v>1244.8799999999944</v>
          </cell>
          <cell r="D649">
            <v>1742.83</v>
          </cell>
          <cell r="E649">
            <v>0</v>
          </cell>
          <cell r="F649">
            <v>811.67999999999597</v>
          </cell>
          <cell r="G649">
            <v>1136.3499999999999</v>
          </cell>
        </row>
        <row r="650">
          <cell r="B650">
            <v>646</v>
          </cell>
          <cell r="C650">
            <v>1246.8099999999945</v>
          </cell>
          <cell r="D650">
            <v>1745.53</v>
          </cell>
          <cell r="E650">
            <v>0</v>
          </cell>
          <cell r="F650">
            <v>812.93999999999596</v>
          </cell>
          <cell r="G650">
            <v>1138.1199999999999</v>
          </cell>
        </row>
        <row r="651">
          <cell r="B651">
            <v>647</v>
          </cell>
          <cell r="C651">
            <v>1248.7399999999946</v>
          </cell>
          <cell r="D651">
            <v>1748.24</v>
          </cell>
          <cell r="E651">
            <v>0</v>
          </cell>
          <cell r="F651">
            <v>814.19999999999595</v>
          </cell>
          <cell r="G651">
            <v>1139.8800000000001</v>
          </cell>
        </row>
        <row r="652">
          <cell r="B652">
            <v>648</v>
          </cell>
          <cell r="C652">
            <v>1250.6699999999946</v>
          </cell>
          <cell r="D652">
            <v>1750.94</v>
          </cell>
          <cell r="E652">
            <v>0</v>
          </cell>
          <cell r="F652">
            <v>815.45999999999594</v>
          </cell>
          <cell r="G652">
            <v>1141.6400000000001</v>
          </cell>
        </row>
        <row r="653">
          <cell r="B653">
            <v>649</v>
          </cell>
          <cell r="C653">
            <v>1252.5999999999947</v>
          </cell>
          <cell r="D653">
            <v>1753.64</v>
          </cell>
          <cell r="E653">
            <v>0</v>
          </cell>
          <cell r="F653">
            <v>816.71999999999593</v>
          </cell>
          <cell r="G653">
            <v>1143.4100000000001</v>
          </cell>
        </row>
        <row r="654">
          <cell r="B654">
            <v>650</v>
          </cell>
          <cell r="C654">
            <v>1254.5299999999947</v>
          </cell>
          <cell r="D654">
            <v>1756.34</v>
          </cell>
          <cell r="E654">
            <v>0</v>
          </cell>
          <cell r="F654">
            <v>817.97999999999593</v>
          </cell>
          <cell r="G654">
            <v>1145.17</v>
          </cell>
        </row>
        <row r="655">
          <cell r="B655">
            <v>651</v>
          </cell>
          <cell r="C655">
            <v>1256.4599999999948</v>
          </cell>
          <cell r="D655">
            <v>1759.04</v>
          </cell>
          <cell r="E655">
            <v>0</v>
          </cell>
          <cell r="F655">
            <v>819.23999999999592</v>
          </cell>
          <cell r="G655">
            <v>1146.94</v>
          </cell>
        </row>
        <row r="656">
          <cell r="B656">
            <v>652</v>
          </cell>
          <cell r="C656">
            <v>1258.3899999999949</v>
          </cell>
          <cell r="D656">
            <v>1761.75</v>
          </cell>
          <cell r="E656">
            <v>0</v>
          </cell>
          <cell r="F656">
            <v>820.49999999999591</v>
          </cell>
          <cell r="G656">
            <v>1148.7</v>
          </cell>
        </row>
        <row r="657">
          <cell r="B657">
            <v>653</v>
          </cell>
          <cell r="C657">
            <v>1260.3199999999949</v>
          </cell>
          <cell r="D657">
            <v>1764.45</v>
          </cell>
          <cell r="E657">
            <v>0</v>
          </cell>
          <cell r="F657">
            <v>821.7599999999959</v>
          </cell>
          <cell r="G657">
            <v>1150.46</v>
          </cell>
        </row>
        <row r="658">
          <cell r="B658">
            <v>654</v>
          </cell>
          <cell r="C658">
            <v>1262.249999999995</v>
          </cell>
          <cell r="D658">
            <v>1767.15</v>
          </cell>
          <cell r="E658">
            <v>0</v>
          </cell>
          <cell r="F658">
            <v>823.01999999999589</v>
          </cell>
          <cell r="G658">
            <v>1152.23</v>
          </cell>
        </row>
        <row r="659">
          <cell r="B659">
            <v>655</v>
          </cell>
          <cell r="C659">
            <v>1264.1799999999951</v>
          </cell>
          <cell r="D659">
            <v>1769.85</v>
          </cell>
          <cell r="E659">
            <v>0</v>
          </cell>
          <cell r="F659">
            <v>824.27999999999588</v>
          </cell>
          <cell r="G659">
            <v>1153.99</v>
          </cell>
        </row>
        <row r="660">
          <cell r="B660">
            <v>656</v>
          </cell>
          <cell r="C660">
            <v>1266.1099999999951</v>
          </cell>
          <cell r="D660">
            <v>1772.55</v>
          </cell>
          <cell r="E660">
            <v>0</v>
          </cell>
          <cell r="F660">
            <v>825.53999999999587</v>
          </cell>
          <cell r="G660">
            <v>1155.76</v>
          </cell>
        </row>
        <row r="661">
          <cell r="B661">
            <v>657</v>
          </cell>
          <cell r="C661">
            <v>1268.0399999999952</v>
          </cell>
          <cell r="D661">
            <v>1775.26</v>
          </cell>
          <cell r="E661">
            <v>0</v>
          </cell>
          <cell r="F661">
            <v>826.79999999999586</v>
          </cell>
          <cell r="G661">
            <v>1157.52</v>
          </cell>
        </row>
        <row r="662">
          <cell r="B662">
            <v>658</v>
          </cell>
          <cell r="C662">
            <v>1269.9699999999953</v>
          </cell>
          <cell r="D662">
            <v>1777.96</v>
          </cell>
          <cell r="E662">
            <v>0</v>
          </cell>
          <cell r="F662">
            <v>828.05999999999585</v>
          </cell>
          <cell r="G662">
            <v>1159.28</v>
          </cell>
        </row>
        <row r="663">
          <cell r="B663">
            <v>659</v>
          </cell>
          <cell r="C663">
            <v>1271.8999999999953</v>
          </cell>
          <cell r="D663">
            <v>1780.66</v>
          </cell>
          <cell r="E663">
            <v>0</v>
          </cell>
          <cell r="F663">
            <v>829.31999999999584</v>
          </cell>
          <cell r="G663">
            <v>1161.05</v>
          </cell>
        </row>
        <row r="664">
          <cell r="B664">
            <v>660</v>
          </cell>
          <cell r="C664">
            <v>1273.8299999999954</v>
          </cell>
          <cell r="D664">
            <v>1783.36</v>
          </cell>
          <cell r="E664">
            <v>0</v>
          </cell>
          <cell r="F664">
            <v>830.57999999999583</v>
          </cell>
          <cell r="G664">
            <v>1162.81</v>
          </cell>
        </row>
        <row r="665">
          <cell r="B665">
            <v>661</v>
          </cell>
          <cell r="C665">
            <v>1275.7599999999954</v>
          </cell>
          <cell r="D665">
            <v>1786.06</v>
          </cell>
          <cell r="E665">
            <v>0</v>
          </cell>
          <cell r="F665">
            <v>831.83999999999583</v>
          </cell>
          <cell r="G665">
            <v>1164.58</v>
          </cell>
        </row>
        <row r="666">
          <cell r="B666">
            <v>662</v>
          </cell>
          <cell r="C666">
            <v>1277.6899999999955</v>
          </cell>
          <cell r="D666">
            <v>1788.77</v>
          </cell>
          <cell r="E666">
            <v>0</v>
          </cell>
          <cell r="F666">
            <v>833.09999999999582</v>
          </cell>
          <cell r="G666">
            <v>1166.3399999999999</v>
          </cell>
        </row>
        <row r="667">
          <cell r="B667">
            <v>663</v>
          </cell>
          <cell r="C667">
            <v>1279.6199999999956</v>
          </cell>
          <cell r="D667">
            <v>1791.47</v>
          </cell>
          <cell r="E667">
            <v>0</v>
          </cell>
          <cell r="F667">
            <v>834.35999999999581</v>
          </cell>
          <cell r="G667">
            <v>1168.0999999999999</v>
          </cell>
        </row>
        <row r="668">
          <cell r="B668">
            <v>664</v>
          </cell>
          <cell r="C668">
            <v>1281.5499999999956</v>
          </cell>
          <cell r="D668">
            <v>1794.17</v>
          </cell>
          <cell r="E668">
            <v>0</v>
          </cell>
          <cell r="F668">
            <v>835.6199999999958</v>
          </cell>
          <cell r="G668">
            <v>1169.8699999999999</v>
          </cell>
        </row>
        <row r="669">
          <cell r="B669">
            <v>665</v>
          </cell>
          <cell r="C669">
            <v>1283.4799999999957</v>
          </cell>
          <cell r="D669">
            <v>1796.87</v>
          </cell>
          <cell r="E669">
            <v>0</v>
          </cell>
          <cell r="F669">
            <v>836.87999999999579</v>
          </cell>
          <cell r="G669">
            <v>1171.6300000000001</v>
          </cell>
        </row>
        <row r="670">
          <cell r="B670">
            <v>666</v>
          </cell>
          <cell r="C670">
            <v>1285.4099999999958</v>
          </cell>
          <cell r="D670">
            <v>1799.57</v>
          </cell>
          <cell r="E670">
            <v>0</v>
          </cell>
          <cell r="F670">
            <v>838.13999999999578</v>
          </cell>
          <cell r="G670">
            <v>1173.4000000000001</v>
          </cell>
        </row>
        <row r="671">
          <cell r="B671">
            <v>667</v>
          </cell>
          <cell r="C671">
            <v>1287.3399999999958</v>
          </cell>
          <cell r="D671">
            <v>1802.28</v>
          </cell>
          <cell r="E671">
            <v>0</v>
          </cell>
          <cell r="F671">
            <v>839.39999999999577</v>
          </cell>
          <cell r="G671">
            <v>1175.1600000000001</v>
          </cell>
        </row>
        <row r="672">
          <cell r="B672">
            <v>668</v>
          </cell>
          <cell r="C672">
            <v>1289.2699999999959</v>
          </cell>
          <cell r="D672">
            <v>1804.98</v>
          </cell>
          <cell r="E672">
            <v>0</v>
          </cell>
          <cell r="F672">
            <v>840.65999999999576</v>
          </cell>
          <cell r="G672">
            <v>1176.92</v>
          </cell>
        </row>
        <row r="673">
          <cell r="B673">
            <v>669</v>
          </cell>
          <cell r="C673">
            <v>1291.199999999996</v>
          </cell>
          <cell r="D673">
            <v>1807.68</v>
          </cell>
          <cell r="E673">
            <v>0</v>
          </cell>
          <cell r="F673">
            <v>841.91999999999575</v>
          </cell>
          <cell r="G673">
            <v>1178.69</v>
          </cell>
        </row>
        <row r="674">
          <cell r="B674">
            <v>670</v>
          </cell>
          <cell r="C674">
            <v>1293.129999999996</v>
          </cell>
          <cell r="D674">
            <v>1810.38</v>
          </cell>
          <cell r="E674">
            <v>0</v>
          </cell>
          <cell r="F674">
            <v>843.17999999999574</v>
          </cell>
          <cell r="G674">
            <v>1180.45</v>
          </cell>
        </row>
        <row r="675">
          <cell r="B675">
            <v>671</v>
          </cell>
          <cell r="C675">
            <v>1295.0599999999961</v>
          </cell>
          <cell r="D675">
            <v>1813.08</v>
          </cell>
          <cell r="E675">
            <v>0</v>
          </cell>
          <cell r="F675">
            <v>844.43999999999573</v>
          </cell>
          <cell r="G675">
            <v>1182.22</v>
          </cell>
        </row>
        <row r="676">
          <cell r="B676">
            <v>672</v>
          </cell>
          <cell r="C676">
            <v>1296.9899999999961</v>
          </cell>
          <cell r="D676">
            <v>1815.79</v>
          </cell>
          <cell r="E676">
            <v>0</v>
          </cell>
          <cell r="F676">
            <v>845.69999999999573</v>
          </cell>
          <cell r="G676">
            <v>1183.98</v>
          </cell>
        </row>
        <row r="677">
          <cell r="B677">
            <v>673</v>
          </cell>
          <cell r="C677">
            <v>1298.9199999999962</v>
          </cell>
          <cell r="D677">
            <v>1818.49</v>
          </cell>
          <cell r="E677">
            <v>0</v>
          </cell>
          <cell r="F677">
            <v>846.95999999999572</v>
          </cell>
          <cell r="G677">
            <v>1185.74</v>
          </cell>
        </row>
        <row r="678">
          <cell r="B678">
            <v>674</v>
          </cell>
          <cell r="C678">
            <v>1300.8499999999963</v>
          </cell>
          <cell r="D678">
            <v>1821.19</v>
          </cell>
          <cell r="E678">
            <v>0</v>
          </cell>
          <cell r="F678">
            <v>848.21999999999571</v>
          </cell>
          <cell r="G678">
            <v>1187.51</v>
          </cell>
        </row>
        <row r="679">
          <cell r="B679">
            <v>675</v>
          </cell>
          <cell r="C679">
            <v>1302.7799999999963</v>
          </cell>
          <cell r="D679">
            <v>1823.89</v>
          </cell>
          <cell r="E679">
            <v>0</v>
          </cell>
          <cell r="F679">
            <v>849.4799999999957</v>
          </cell>
          <cell r="G679">
            <v>1189.27</v>
          </cell>
        </row>
        <row r="680">
          <cell r="B680">
            <v>676</v>
          </cell>
          <cell r="C680">
            <v>1304.7099999999964</v>
          </cell>
          <cell r="D680">
            <v>1826.59</v>
          </cell>
          <cell r="E680">
            <v>0</v>
          </cell>
          <cell r="F680">
            <v>850.73999999999569</v>
          </cell>
          <cell r="G680">
            <v>1191.04</v>
          </cell>
        </row>
        <row r="681">
          <cell r="B681">
            <v>677</v>
          </cell>
          <cell r="C681">
            <v>1306.6399999999965</v>
          </cell>
          <cell r="D681">
            <v>1829.3</v>
          </cell>
          <cell r="E681">
            <v>0</v>
          </cell>
          <cell r="F681">
            <v>851.99999999999568</v>
          </cell>
          <cell r="G681">
            <v>1192.8</v>
          </cell>
        </row>
        <row r="682">
          <cell r="B682">
            <v>678</v>
          </cell>
          <cell r="C682">
            <v>1308.5699999999965</v>
          </cell>
          <cell r="D682">
            <v>1832</v>
          </cell>
          <cell r="E682">
            <v>0</v>
          </cell>
          <cell r="F682">
            <v>853.25999999999567</v>
          </cell>
          <cell r="G682">
            <v>1194.56</v>
          </cell>
        </row>
        <row r="683">
          <cell r="B683">
            <v>679</v>
          </cell>
          <cell r="C683">
            <v>1310.4999999999966</v>
          </cell>
          <cell r="D683">
            <v>1834.7</v>
          </cell>
          <cell r="E683">
            <v>0</v>
          </cell>
          <cell r="F683">
            <v>854.51999999999566</v>
          </cell>
          <cell r="G683">
            <v>1196.33</v>
          </cell>
        </row>
        <row r="684">
          <cell r="B684">
            <v>680</v>
          </cell>
          <cell r="C684">
            <v>1312.4299999999967</v>
          </cell>
          <cell r="D684">
            <v>1837.4</v>
          </cell>
          <cell r="E684">
            <v>0</v>
          </cell>
          <cell r="F684">
            <v>855.77999999999565</v>
          </cell>
          <cell r="G684">
            <v>1198.0899999999999</v>
          </cell>
        </row>
        <row r="685">
          <cell r="B685">
            <v>681</v>
          </cell>
          <cell r="C685">
            <v>1314.3599999999967</v>
          </cell>
          <cell r="D685">
            <v>1840.1</v>
          </cell>
          <cell r="E685">
            <v>0</v>
          </cell>
          <cell r="F685">
            <v>857.03999999999564</v>
          </cell>
          <cell r="G685">
            <v>1199.8599999999999</v>
          </cell>
        </row>
        <row r="686">
          <cell r="B686">
            <v>682</v>
          </cell>
          <cell r="C686">
            <v>1316.2899999999968</v>
          </cell>
          <cell r="D686">
            <v>1842.81</v>
          </cell>
          <cell r="E686">
            <v>0</v>
          </cell>
          <cell r="F686">
            <v>858.29999999999563</v>
          </cell>
          <cell r="G686">
            <v>1201.6199999999999</v>
          </cell>
        </row>
        <row r="687">
          <cell r="B687">
            <v>683</v>
          </cell>
          <cell r="C687">
            <v>1318.2199999999968</v>
          </cell>
          <cell r="D687">
            <v>1845.51</v>
          </cell>
          <cell r="E687">
            <v>0</v>
          </cell>
          <cell r="F687">
            <v>859.55999999999563</v>
          </cell>
          <cell r="G687">
            <v>1203.3800000000001</v>
          </cell>
        </row>
        <row r="688">
          <cell r="B688">
            <v>684</v>
          </cell>
          <cell r="C688">
            <v>1320.1499999999969</v>
          </cell>
          <cell r="D688">
            <v>1848.21</v>
          </cell>
          <cell r="E688">
            <v>0</v>
          </cell>
          <cell r="F688">
            <v>860.81999999999562</v>
          </cell>
          <cell r="G688">
            <v>1205.1500000000001</v>
          </cell>
        </row>
        <row r="689">
          <cell r="B689">
            <v>685</v>
          </cell>
          <cell r="C689">
            <v>1322.079999999997</v>
          </cell>
          <cell r="D689">
            <v>1850.91</v>
          </cell>
          <cell r="E689">
            <v>0</v>
          </cell>
          <cell r="F689">
            <v>862.07999999999561</v>
          </cell>
          <cell r="G689">
            <v>1206.9100000000001</v>
          </cell>
        </row>
        <row r="690">
          <cell r="B690">
            <v>686</v>
          </cell>
          <cell r="C690">
            <v>1324.009999999997</v>
          </cell>
          <cell r="D690">
            <v>1853.61</v>
          </cell>
          <cell r="E690">
            <v>0</v>
          </cell>
          <cell r="F690">
            <v>863.3399999999956</v>
          </cell>
          <cell r="G690">
            <v>1208.68</v>
          </cell>
        </row>
        <row r="691">
          <cell r="B691">
            <v>687</v>
          </cell>
          <cell r="C691">
            <v>1325.9399999999971</v>
          </cell>
          <cell r="D691">
            <v>1856.32</v>
          </cell>
          <cell r="E691">
            <v>0</v>
          </cell>
          <cell r="F691">
            <v>864.59999999999559</v>
          </cell>
          <cell r="G691">
            <v>1210.44</v>
          </cell>
        </row>
        <row r="692">
          <cell r="B692">
            <v>688</v>
          </cell>
          <cell r="C692">
            <v>1327.8699999999972</v>
          </cell>
          <cell r="D692">
            <v>1859.02</v>
          </cell>
          <cell r="E692">
            <v>0</v>
          </cell>
          <cell r="F692">
            <v>865.85999999999558</v>
          </cell>
          <cell r="G692">
            <v>1212.2</v>
          </cell>
        </row>
        <row r="693">
          <cell r="B693">
            <v>689</v>
          </cell>
          <cell r="C693">
            <v>1329.7999999999972</v>
          </cell>
          <cell r="D693">
            <v>1861.72</v>
          </cell>
          <cell r="E693">
            <v>0</v>
          </cell>
          <cell r="F693">
            <v>867.11999999999557</v>
          </cell>
          <cell r="G693">
            <v>1213.97</v>
          </cell>
        </row>
        <row r="694">
          <cell r="B694">
            <v>690</v>
          </cell>
          <cell r="C694">
            <v>1331.7299999999973</v>
          </cell>
          <cell r="D694">
            <v>1864.42</v>
          </cell>
          <cell r="E694">
            <v>0</v>
          </cell>
          <cell r="F694">
            <v>868.37999999999556</v>
          </cell>
          <cell r="G694">
            <v>1215.73</v>
          </cell>
        </row>
        <row r="695">
          <cell r="B695">
            <v>691</v>
          </cell>
          <cell r="C695">
            <v>1333.6599999999974</v>
          </cell>
          <cell r="D695">
            <v>1867.12</v>
          </cell>
          <cell r="E695">
            <v>0</v>
          </cell>
          <cell r="F695">
            <v>869.63999999999555</v>
          </cell>
          <cell r="G695">
            <v>1217.5</v>
          </cell>
        </row>
        <row r="696">
          <cell r="B696">
            <v>692</v>
          </cell>
          <cell r="C696">
            <v>1335.5899999999974</v>
          </cell>
          <cell r="D696">
            <v>1869.83</v>
          </cell>
          <cell r="E696">
            <v>0</v>
          </cell>
          <cell r="F696">
            <v>870.89999999999554</v>
          </cell>
          <cell r="G696">
            <v>1219.26</v>
          </cell>
        </row>
        <row r="697">
          <cell r="B697">
            <v>693</v>
          </cell>
          <cell r="C697">
            <v>1337.5199999999975</v>
          </cell>
          <cell r="D697">
            <v>1872.53</v>
          </cell>
          <cell r="E697">
            <v>0</v>
          </cell>
          <cell r="F697">
            <v>872.15999999999553</v>
          </cell>
          <cell r="G697">
            <v>1221.02</v>
          </cell>
        </row>
        <row r="698">
          <cell r="B698">
            <v>694</v>
          </cell>
          <cell r="C698">
            <v>1339.4499999999975</v>
          </cell>
          <cell r="D698">
            <v>1875.23</v>
          </cell>
          <cell r="E698">
            <v>0</v>
          </cell>
          <cell r="F698">
            <v>873.41999999999553</v>
          </cell>
          <cell r="G698">
            <v>1222.79</v>
          </cell>
        </row>
        <row r="699">
          <cell r="B699">
            <v>695</v>
          </cell>
          <cell r="C699">
            <v>1341.3799999999976</v>
          </cell>
          <cell r="D699">
            <v>1877.93</v>
          </cell>
          <cell r="E699">
            <v>0</v>
          </cell>
          <cell r="F699">
            <v>874.67999999999552</v>
          </cell>
          <cell r="G699">
            <v>1224.55</v>
          </cell>
        </row>
        <row r="700">
          <cell r="B700">
            <v>696</v>
          </cell>
          <cell r="C700">
            <v>1343.3099999999977</v>
          </cell>
          <cell r="D700">
            <v>1880.63</v>
          </cell>
          <cell r="E700">
            <v>0</v>
          </cell>
          <cell r="F700">
            <v>875.93999999999551</v>
          </cell>
          <cell r="G700">
            <v>1226.32</v>
          </cell>
        </row>
        <row r="701">
          <cell r="B701">
            <v>697</v>
          </cell>
          <cell r="C701">
            <v>1345.2399999999977</v>
          </cell>
          <cell r="D701">
            <v>1883.34</v>
          </cell>
          <cell r="E701">
            <v>0</v>
          </cell>
          <cell r="F701">
            <v>877.1999999999955</v>
          </cell>
          <cell r="G701">
            <v>1228.08</v>
          </cell>
        </row>
        <row r="702">
          <cell r="B702">
            <v>698</v>
          </cell>
          <cell r="C702">
            <v>1347.1699999999978</v>
          </cell>
          <cell r="D702">
            <v>1886.04</v>
          </cell>
          <cell r="E702">
            <v>0</v>
          </cell>
          <cell r="F702">
            <v>878.45999999999549</v>
          </cell>
          <cell r="G702">
            <v>1229.8399999999999</v>
          </cell>
        </row>
        <row r="703">
          <cell r="B703">
            <v>699</v>
          </cell>
          <cell r="C703">
            <v>1349.0999999999979</v>
          </cell>
          <cell r="D703">
            <v>1888.74</v>
          </cell>
          <cell r="E703">
            <v>0</v>
          </cell>
          <cell r="F703">
            <v>879.71999999999548</v>
          </cell>
          <cell r="G703">
            <v>1231.6099999999999</v>
          </cell>
        </row>
        <row r="704">
          <cell r="B704">
            <v>700</v>
          </cell>
          <cell r="C704">
            <v>1351.0299999999979</v>
          </cell>
          <cell r="D704">
            <v>1891.44</v>
          </cell>
          <cell r="E704">
            <v>0</v>
          </cell>
          <cell r="F704">
            <v>880.97999999999547</v>
          </cell>
          <cell r="G704">
            <v>1233.3699999999999</v>
          </cell>
        </row>
        <row r="705">
          <cell r="B705">
            <v>701</v>
          </cell>
          <cell r="C705">
            <v>1352.959999999998</v>
          </cell>
          <cell r="D705">
            <v>1894.14</v>
          </cell>
          <cell r="E705">
            <v>0</v>
          </cell>
          <cell r="F705">
            <v>882.23999999999546</v>
          </cell>
          <cell r="G705">
            <v>1235.1400000000001</v>
          </cell>
        </row>
        <row r="706">
          <cell r="B706">
            <v>702</v>
          </cell>
          <cell r="C706">
            <v>1354.8899999999981</v>
          </cell>
          <cell r="D706">
            <v>1896.85</v>
          </cell>
          <cell r="E706">
            <v>0</v>
          </cell>
          <cell r="F706">
            <v>883.49999999999545</v>
          </cell>
          <cell r="G706">
            <v>1236.9000000000001</v>
          </cell>
        </row>
        <row r="707">
          <cell r="B707">
            <v>703</v>
          </cell>
          <cell r="C707">
            <v>1356.8199999999981</v>
          </cell>
          <cell r="D707">
            <v>1899.55</v>
          </cell>
          <cell r="E707">
            <v>0</v>
          </cell>
          <cell r="F707">
            <v>884.75999999999544</v>
          </cell>
          <cell r="G707">
            <v>1238.6600000000001</v>
          </cell>
        </row>
        <row r="708">
          <cell r="B708">
            <v>704</v>
          </cell>
          <cell r="C708">
            <v>1358.7499999999982</v>
          </cell>
          <cell r="D708">
            <v>1902.25</v>
          </cell>
          <cell r="E708">
            <v>0</v>
          </cell>
          <cell r="F708">
            <v>886.01999999999543</v>
          </cell>
          <cell r="G708">
            <v>1240.43</v>
          </cell>
        </row>
        <row r="709">
          <cell r="B709">
            <v>705</v>
          </cell>
          <cell r="C709">
            <v>1360.6799999999982</v>
          </cell>
          <cell r="D709">
            <v>1904.95</v>
          </cell>
          <cell r="E709">
            <v>0</v>
          </cell>
          <cell r="F709">
            <v>887.27999999999543</v>
          </cell>
          <cell r="G709">
            <v>1242.19</v>
          </cell>
        </row>
        <row r="710">
          <cell r="B710">
            <v>706</v>
          </cell>
          <cell r="C710">
            <v>1362.6099999999983</v>
          </cell>
          <cell r="D710">
            <v>1907.65</v>
          </cell>
          <cell r="E710">
            <v>0</v>
          </cell>
          <cell r="F710">
            <v>888.53999999999542</v>
          </cell>
          <cell r="G710">
            <v>1243.96</v>
          </cell>
        </row>
        <row r="711">
          <cell r="B711">
            <v>707</v>
          </cell>
          <cell r="C711">
            <v>1364.5399999999984</v>
          </cell>
          <cell r="D711">
            <v>1910.36</v>
          </cell>
          <cell r="E711">
            <v>0</v>
          </cell>
          <cell r="F711">
            <v>889.79999999999541</v>
          </cell>
          <cell r="G711">
            <v>1245.72</v>
          </cell>
        </row>
        <row r="712">
          <cell r="B712">
            <v>708</v>
          </cell>
          <cell r="C712">
            <v>1366.4699999999984</v>
          </cell>
          <cell r="D712">
            <v>1913.06</v>
          </cell>
          <cell r="E712">
            <v>0</v>
          </cell>
          <cell r="F712">
            <v>891.0599999999954</v>
          </cell>
          <cell r="G712">
            <v>1247.48</v>
          </cell>
        </row>
        <row r="713">
          <cell r="B713">
            <v>709</v>
          </cell>
          <cell r="C713">
            <v>1368.3999999999985</v>
          </cell>
          <cell r="D713">
            <v>1915.76</v>
          </cell>
          <cell r="E713">
            <v>0</v>
          </cell>
          <cell r="F713">
            <v>892.31999999999539</v>
          </cell>
          <cell r="G713">
            <v>1249.25</v>
          </cell>
        </row>
        <row r="714">
          <cell r="B714">
            <v>710</v>
          </cell>
          <cell r="C714">
            <v>1370.3299999999986</v>
          </cell>
          <cell r="D714">
            <v>1918.46</v>
          </cell>
          <cell r="E714">
            <v>0</v>
          </cell>
          <cell r="F714">
            <v>893.57999999999538</v>
          </cell>
          <cell r="G714">
            <v>1251.01</v>
          </cell>
        </row>
        <row r="715">
          <cell r="B715">
            <v>711</v>
          </cell>
          <cell r="C715">
            <v>1372.2599999999986</v>
          </cell>
          <cell r="D715">
            <v>1921.16</v>
          </cell>
          <cell r="E715">
            <v>0</v>
          </cell>
          <cell r="F715">
            <v>894.83999999999537</v>
          </cell>
          <cell r="G715">
            <v>1252.78</v>
          </cell>
        </row>
        <row r="716">
          <cell r="B716">
            <v>712</v>
          </cell>
          <cell r="C716">
            <v>1374.1899999999987</v>
          </cell>
          <cell r="D716">
            <v>1923.87</v>
          </cell>
          <cell r="E716">
            <v>0</v>
          </cell>
          <cell r="F716">
            <v>896.09999999999536</v>
          </cell>
          <cell r="G716">
            <v>1254.54</v>
          </cell>
        </row>
        <row r="717">
          <cell r="B717">
            <v>713</v>
          </cell>
          <cell r="C717">
            <v>1376.1199999999988</v>
          </cell>
          <cell r="D717">
            <v>1926.57</v>
          </cell>
          <cell r="E717">
            <v>0</v>
          </cell>
          <cell r="F717">
            <v>897.35999999999535</v>
          </cell>
          <cell r="G717">
            <v>1256.3</v>
          </cell>
        </row>
        <row r="718">
          <cell r="B718">
            <v>714</v>
          </cell>
          <cell r="C718">
            <v>1378.0499999999988</v>
          </cell>
          <cell r="D718">
            <v>1929.27</v>
          </cell>
          <cell r="E718">
            <v>0</v>
          </cell>
          <cell r="F718">
            <v>898.61999999999534</v>
          </cell>
          <cell r="G718">
            <v>1258.07</v>
          </cell>
        </row>
        <row r="719">
          <cell r="B719">
            <v>715</v>
          </cell>
          <cell r="C719">
            <v>1379.9799999999989</v>
          </cell>
          <cell r="D719">
            <v>1931.97</v>
          </cell>
          <cell r="E719">
            <v>0</v>
          </cell>
          <cell r="F719">
            <v>899.87999999999533</v>
          </cell>
          <cell r="G719">
            <v>1259.83</v>
          </cell>
        </row>
        <row r="720">
          <cell r="B720">
            <v>716</v>
          </cell>
          <cell r="C720">
            <v>1381.9099999999989</v>
          </cell>
          <cell r="D720">
            <v>1934.67</v>
          </cell>
          <cell r="E720">
            <v>0</v>
          </cell>
          <cell r="F720">
            <v>901.13999999999533</v>
          </cell>
          <cell r="G720">
            <v>1261.5999999999999</v>
          </cell>
        </row>
        <row r="721">
          <cell r="B721">
            <v>717</v>
          </cell>
          <cell r="C721">
            <v>1383.839999999999</v>
          </cell>
          <cell r="D721">
            <v>1937.38</v>
          </cell>
          <cell r="E721">
            <v>0</v>
          </cell>
          <cell r="F721">
            <v>902.39999999999532</v>
          </cell>
          <cell r="G721">
            <v>1263.3599999999999</v>
          </cell>
        </row>
        <row r="722">
          <cell r="B722">
            <v>718</v>
          </cell>
          <cell r="C722">
            <v>1385.7699999999991</v>
          </cell>
          <cell r="D722">
            <v>1940.08</v>
          </cell>
          <cell r="E722">
            <v>0</v>
          </cell>
          <cell r="F722">
            <v>903.65999999999531</v>
          </cell>
          <cell r="G722">
            <v>1265.1199999999999</v>
          </cell>
        </row>
        <row r="723">
          <cell r="B723">
            <v>719</v>
          </cell>
          <cell r="C723">
            <v>1387.6999999999991</v>
          </cell>
          <cell r="D723">
            <v>1942.78</v>
          </cell>
          <cell r="E723">
            <v>0</v>
          </cell>
          <cell r="F723">
            <v>904.9199999999953</v>
          </cell>
          <cell r="G723">
            <v>1266.8900000000001</v>
          </cell>
        </row>
        <row r="724">
          <cell r="B724">
            <v>720</v>
          </cell>
          <cell r="C724">
            <v>1389.6299999999992</v>
          </cell>
          <cell r="D724">
            <v>1945.48</v>
          </cell>
          <cell r="E724">
            <v>0</v>
          </cell>
          <cell r="F724">
            <v>906.17999999999529</v>
          </cell>
          <cell r="G724">
            <v>1268.6500000000001</v>
          </cell>
        </row>
        <row r="725">
          <cell r="B725">
            <v>721</v>
          </cell>
          <cell r="C725">
            <v>1391.5599999999993</v>
          </cell>
          <cell r="D725">
            <v>1948.18</v>
          </cell>
          <cell r="E725">
            <v>0</v>
          </cell>
          <cell r="F725">
            <v>907.43999999999528</v>
          </cell>
          <cell r="G725">
            <v>1270.42</v>
          </cell>
        </row>
        <row r="726">
          <cell r="B726">
            <v>722</v>
          </cell>
          <cell r="C726">
            <v>1393.4899999999993</v>
          </cell>
          <cell r="D726">
            <v>1950.89</v>
          </cell>
          <cell r="E726">
            <v>0</v>
          </cell>
          <cell r="F726">
            <v>908.69999999999527</v>
          </cell>
          <cell r="G726">
            <v>1272.18</v>
          </cell>
        </row>
        <row r="727">
          <cell r="B727">
            <v>723</v>
          </cell>
          <cell r="C727">
            <v>1395.4199999999994</v>
          </cell>
          <cell r="D727">
            <v>1953.59</v>
          </cell>
          <cell r="E727">
            <v>0</v>
          </cell>
          <cell r="F727">
            <v>909.95999999999526</v>
          </cell>
          <cell r="G727">
            <v>1273.94</v>
          </cell>
        </row>
        <row r="728">
          <cell r="B728">
            <v>724</v>
          </cell>
          <cell r="C728">
            <v>1397.3499999999995</v>
          </cell>
          <cell r="D728">
            <v>1956.29</v>
          </cell>
          <cell r="E728">
            <v>0</v>
          </cell>
          <cell r="F728">
            <v>911.21999999999525</v>
          </cell>
          <cell r="G728">
            <v>1275.71</v>
          </cell>
        </row>
        <row r="729">
          <cell r="B729">
            <v>725</v>
          </cell>
          <cell r="C729">
            <v>1399.2799999999995</v>
          </cell>
          <cell r="D729">
            <v>1958.99</v>
          </cell>
          <cell r="E729">
            <v>0</v>
          </cell>
          <cell r="F729">
            <v>912.47999999999524</v>
          </cell>
          <cell r="G729">
            <v>1277.47</v>
          </cell>
        </row>
        <row r="730">
          <cell r="B730">
            <v>726</v>
          </cell>
          <cell r="C730">
            <v>1401.2099999999996</v>
          </cell>
          <cell r="D730">
            <v>1961.69</v>
          </cell>
          <cell r="E730">
            <v>0</v>
          </cell>
          <cell r="F730">
            <v>913.73999999999523</v>
          </cell>
          <cell r="G730">
            <v>1279.24</v>
          </cell>
        </row>
        <row r="731">
          <cell r="B731">
            <v>727</v>
          </cell>
          <cell r="C731">
            <v>1403.1399999999996</v>
          </cell>
          <cell r="D731">
            <v>1964.4</v>
          </cell>
          <cell r="E731">
            <v>0</v>
          </cell>
          <cell r="F731">
            <v>914.99999999999523</v>
          </cell>
          <cell r="G731">
            <v>1281</v>
          </cell>
        </row>
        <row r="732">
          <cell r="B732">
            <v>728</v>
          </cell>
          <cell r="C732">
            <v>1405.0699999999997</v>
          </cell>
          <cell r="D732">
            <v>1967.1</v>
          </cell>
          <cell r="E732">
            <v>0</v>
          </cell>
          <cell r="F732">
            <v>916.25999999999522</v>
          </cell>
          <cell r="G732">
            <v>1282.76</v>
          </cell>
        </row>
        <row r="733">
          <cell r="B733">
            <v>729</v>
          </cell>
          <cell r="C733">
            <v>1406.9999999999998</v>
          </cell>
          <cell r="D733">
            <v>1969.8</v>
          </cell>
          <cell r="E733">
            <v>0</v>
          </cell>
          <cell r="F733">
            <v>917.51999999999521</v>
          </cell>
          <cell r="G733">
            <v>1284.53</v>
          </cell>
        </row>
        <row r="734">
          <cell r="B734">
            <v>730</v>
          </cell>
          <cell r="C734">
            <v>1408.9299999999998</v>
          </cell>
          <cell r="D734">
            <v>1972.5</v>
          </cell>
          <cell r="E734">
            <v>0</v>
          </cell>
          <cell r="F734">
            <v>918.7799999999952</v>
          </cell>
          <cell r="G734">
            <v>1286.29</v>
          </cell>
        </row>
        <row r="735">
          <cell r="B735">
            <v>731</v>
          </cell>
          <cell r="C735">
            <v>1410.86</v>
          </cell>
          <cell r="D735">
            <v>1975.2</v>
          </cell>
          <cell r="E735">
            <v>0</v>
          </cell>
          <cell r="F735">
            <v>920.03999999999519</v>
          </cell>
          <cell r="G735">
            <v>1288.06</v>
          </cell>
        </row>
        <row r="736">
          <cell r="B736">
            <v>732</v>
          </cell>
          <cell r="C736">
            <v>1412.79</v>
          </cell>
          <cell r="D736">
            <v>1977.91</v>
          </cell>
          <cell r="E736">
            <v>0</v>
          </cell>
          <cell r="F736">
            <v>921.29999999999518</v>
          </cell>
          <cell r="G736">
            <v>1289.82</v>
          </cell>
        </row>
        <row r="737">
          <cell r="B737">
            <v>733</v>
          </cell>
          <cell r="C737">
            <v>1414.72</v>
          </cell>
          <cell r="D737">
            <v>1980.61</v>
          </cell>
          <cell r="E737">
            <v>0</v>
          </cell>
          <cell r="F737">
            <v>922.55999999999517</v>
          </cell>
          <cell r="G737">
            <v>1291.58</v>
          </cell>
        </row>
        <row r="738">
          <cell r="B738">
            <v>734</v>
          </cell>
          <cell r="C738">
            <v>1416.65</v>
          </cell>
          <cell r="D738">
            <v>1983.31</v>
          </cell>
          <cell r="E738">
            <v>0</v>
          </cell>
          <cell r="F738">
            <v>923.81999999999516</v>
          </cell>
          <cell r="G738">
            <v>1293.3499999999999</v>
          </cell>
        </row>
        <row r="739">
          <cell r="B739">
            <v>735</v>
          </cell>
          <cell r="C739">
            <v>1418.5800000000002</v>
          </cell>
          <cell r="D739">
            <v>1986.01</v>
          </cell>
          <cell r="E739">
            <v>0</v>
          </cell>
          <cell r="F739">
            <v>925.07999999999515</v>
          </cell>
          <cell r="G739">
            <v>1295.1099999999999</v>
          </cell>
        </row>
        <row r="740">
          <cell r="B740">
            <v>736</v>
          </cell>
          <cell r="C740">
            <v>1420.5100000000002</v>
          </cell>
          <cell r="D740">
            <v>1988.71</v>
          </cell>
          <cell r="E740">
            <v>0</v>
          </cell>
          <cell r="F740">
            <v>926.33999999999514</v>
          </cell>
          <cell r="G740">
            <v>1296.8800000000001</v>
          </cell>
        </row>
        <row r="741">
          <cell r="B741">
            <v>737</v>
          </cell>
          <cell r="C741">
            <v>1422.4400000000003</v>
          </cell>
          <cell r="D741">
            <v>1991.42</v>
          </cell>
          <cell r="E741">
            <v>0</v>
          </cell>
          <cell r="F741">
            <v>927.59999999999513</v>
          </cell>
          <cell r="G741">
            <v>1298.6400000000001</v>
          </cell>
        </row>
        <row r="742">
          <cell r="B742">
            <v>738</v>
          </cell>
          <cell r="C742">
            <v>1424.3700000000003</v>
          </cell>
          <cell r="D742">
            <v>1994.12</v>
          </cell>
          <cell r="E742">
            <v>0</v>
          </cell>
          <cell r="F742">
            <v>928.85999999999513</v>
          </cell>
          <cell r="G742">
            <v>1300.4000000000001</v>
          </cell>
        </row>
        <row r="743">
          <cell r="B743">
            <v>739</v>
          </cell>
          <cell r="C743">
            <v>1426.3000000000004</v>
          </cell>
          <cell r="D743">
            <v>1996.82</v>
          </cell>
          <cell r="E743">
            <v>0</v>
          </cell>
          <cell r="F743">
            <v>930.11999999999512</v>
          </cell>
          <cell r="G743">
            <v>1302.17</v>
          </cell>
        </row>
        <row r="744">
          <cell r="B744">
            <v>740</v>
          </cell>
          <cell r="C744">
            <v>1428.2300000000005</v>
          </cell>
          <cell r="D744">
            <v>1999.52</v>
          </cell>
          <cell r="E744">
            <v>0</v>
          </cell>
          <cell r="F744">
            <v>931.37999999999511</v>
          </cell>
          <cell r="G744">
            <v>1303.93</v>
          </cell>
        </row>
        <row r="745">
          <cell r="B745">
            <v>741</v>
          </cell>
          <cell r="C745">
            <v>1430.1600000000005</v>
          </cell>
          <cell r="D745">
            <v>2002.22</v>
          </cell>
          <cell r="E745">
            <v>0</v>
          </cell>
          <cell r="F745">
            <v>932.6399999999951</v>
          </cell>
          <cell r="G745">
            <v>1305.7</v>
          </cell>
        </row>
        <row r="746">
          <cell r="B746">
            <v>742</v>
          </cell>
          <cell r="C746">
            <v>1432.0900000000006</v>
          </cell>
          <cell r="D746">
            <v>2004.93</v>
          </cell>
          <cell r="E746">
            <v>0</v>
          </cell>
          <cell r="F746">
            <v>933.89999999999509</v>
          </cell>
          <cell r="G746">
            <v>1307.46</v>
          </cell>
        </row>
        <row r="747">
          <cell r="B747">
            <v>743</v>
          </cell>
          <cell r="C747">
            <v>1434.0200000000007</v>
          </cell>
          <cell r="D747">
            <v>2007.63</v>
          </cell>
          <cell r="E747">
            <v>0</v>
          </cell>
          <cell r="F747">
            <v>935.15999999999508</v>
          </cell>
          <cell r="G747">
            <v>1309.22</v>
          </cell>
        </row>
        <row r="748">
          <cell r="B748">
            <v>744</v>
          </cell>
          <cell r="C748">
            <v>1435.9500000000007</v>
          </cell>
          <cell r="D748">
            <v>2010.33</v>
          </cell>
          <cell r="E748">
            <v>0</v>
          </cell>
          <cell r="F748">
            <v>936.41999999999507</v>
          </cell>
          <cell r="G748">
            <v>1310.99</v>
          </cell>
        </row>
        <row r="749">
          <cell r="B749">
            <v>745</v>
          </cell>
          <cell r="C749">
            <v>1437.8800000000008</v>
          </cell>
          <cell r="D749">
            <v>2013.03</v>
          </cell>
          <cell r="E749">
            <v>0</v>
          </cell>
          <cell r="F749">
            <v>937.67999999999506</v>
          </cell>
          <cell r="G749">
            <v>1312.75</v>
          </cell>
        </row>
        <row r="750">
          <cell r="B750">
            <v>746</v>
          </cell>
          <cell r="C750">
            <v>1439.8100000000009</v>
          </cell>
          <cell r="D750">
            <v>2015.73</v>
          </cell>
          <cell r="E750">
            <v>0</v>
          </cell>
          <cell r="F750">
            <v>938.93999999999505</v>
          </cell>
          <cell r="G750">
            <v>1314.52</v>
          </cell>
        </row>
        <row r="751">
          <cell r="B751">
            <v>747</v>
          </cell>
          <cell r="C751">
            <v>1441.7400000000009</v>
          </cell>
          <cell r="D751">
            <v>2018.44</v>
          </cell>
          <cell r="E751">
            <v>0</v>
          </cell>
          <cell r="F751">
            <v>940.19999999999504</v>
          </cell>
          <cell r="G751">
            <v>1316.28</v>
          </cell>
        </row>
        <row r="752">
          <cell r="B752">
            <v>748</v>
          </cell>
          <cell r="C752">
            <v>1443.670000000001</v>
          </cell>
          <cell r="D752">
            <v>2021.14</v>
          </cell>
          <cell r="E752">
            <v>0</v>
          </cell>
          <cell r="F752">
            <v>941.45999999999503</v>
          </cell>
          <cell r="G752">
            <v>1318.04</v>
          </cell>
        </row>
        <row r="753">
          <cell r="B753">
            <v>749</v>
          </cell>
          <cell r="C753">
            <v>1445.600000000001</v>
          </cell>
          <cell r="D753">
            <v>2023.84</v>
          </cell>
          <cell r="E753">
            <v>0</v>
          </cell>
          <cell r="F753">
            <v>942.71999999999503</v>
          </cell>
          <cell r="G753">
            <v>1319.81</v>
          </cell>
        </row>
        <row r="754">
          <cell r="B754">
            <v>750</v>
          </cell>
          <cell r="C754">
            <v>1447.5300000000011</v>
          </cell>
          <cell r="D754">
            <v>2026.54</v>
          </cell>
          <cell r="E754">
            <v>0</v>
          </cell>
          <cell r="F754">
            <v>943.97999999999502</v>
          </cell>
          <cell r="G754">
            <v>1321.57</v>
          </cell>
        </row>
        <row r="755">
          <cell r="B755">
            <v>751</v>
          </cell>
          <cell r="C755">
            <v>1449.4600000000012</v>
          </cell>
          <cell r="D755">
            <v>2029.24</v>
          </cell>
          <cell r="E755">
            <v>0</v>
          </cell>
          <cell r="F755">
            <v>945.23999999999501</v>
          </cell>
          <cell r="G755">
            <v>1323.34</v>
          </cell>
        </row>
        <row r="756">
          <cell r="B756">
            <v>752</v>
          </cell>
          <cell r="C756">
            <v>1451.3900000000012</v>
          </cell>
          <cell r="D756">
            <v>2031.95</v>
          </cell>
          <cell r="E756">
            <v>0</v>
          </cell>
          <cell r="F756">
            <v>946.499999999995</v>
          </cell>
          <cell r="G756">
            <v>1325.1</v>
          </cell>
        </row>
        <row r="757">
          <cell r="B757">
            <v>753</v>
          </cell>
          <cell r="C757">
            <v>1453.3200000000013</v>
          </cell>
          <cell r="D757">
            <v>2034.65</v>
          </cell>
          <cell r="E757">
            <v>0</v>
          </cell>
          <cell r="F757">
            <v>947.75999999999499</v>
          </cell>
          <cell r="G757">
            <v>1326.86</v>
          </cell>
        </row>
        <row r="758">
          <cell r="B758">
            <v>754</v>
          </cell>
          <cell r="C758">
            <v>1455.2500000000014</v>
          </cell>
          <cell r="D758">
            <v>2037.35</v>
          </cell>
          <cell r="E758">
            <v>0</v>
          </cell>
          <cell r="F758">
            <v>949.01999999999498</v>
          </cell>
          <cell r="G758">
            <v>1328.63</v>
          </cell>
        </row>
        <row r="759">
          <cell r="B759">
            <v>755</v>
          </cell>
          <cell r="C759">
            <v>1457.1800000000014</v>
          </cell>
          <cell r="D759">
            <v>2040.05</v>
          </cell>
          <cell r="E759">
            <v>0</v>
          </cell>
          <cell r="F759">
            <v>950.27999999999497</v>
          </cell>
          <cell r="G759">
            <v>1330.39</v>
          </cell>
        </row>
        <row r="760">
          <cell r="B760">
            <v>756</v>
          </cell>
          <cell r="C760">
            <v>1459.1100000000015</v>
          </cell>
          <cell r="D760">
            <v>2042.75</v>
          </cell>
          <cell r="E760">
            <v>0</v>
          </cell>
          <cell r="F760">
            <v>951.53999999999496</v>
          </cell>
          <cell r="G760">
            <v>1332.16</v>
          </cell>
        </row>
        <row r="761">
          <cell r="B761">
            <v>757</v>
          </cell>
          <cell r="C761">
            <v>1461.0400000000016</v>
          </cell>
          <cell r="D761">
            <v>2045.46</v>
          </cell>
          <cell r="E761">
            <v>0</v>
          </cell>
          <cell r="F761">
            <v>952.79999999999495</v>
          </cell>
          <cell r="G761">
            <v>1333.92</v>
          </cell>
        </row>
        <row r="762">
          <cell r="B762">
            <v>758</v>
          </cell>
          <cell r="C762">
            <v>1462.9700000000016</v>
          </cell>
          <cell r="D762">
            <v>2048.16</v>
          </cell>
          <cell r="E762">
            <v>0</v>
          </cell>
          <cell r="F762">
            <v>954.05999999999494</v>
          </cell>
          <cell r="G762">
            <v>1335.68</v>
          </cell>
        </row>
        <row r="763">
          <cell r="B763">
            <v>759</v>
          </cell>
          <cell r="C763">
            <v>1464.9000000000017</v>
          </cell>
          <cell r="D763">
            <v>2050.86</v>
          </cell>
          <cell r="E763">
            <v>0</v>
          </cell>
          <cell r="F763">
            <v>955.31999999999493</v>
          </cell>
          <cell r="G763">
            <v>1337.45</v>
          </cell>
        </row>
        <row r="764">
          <cell r="B764">
            <v>760</v>
          </cell>
          <cell r="C764">
            <v>1466.8300000000017</v>
          </cell>
          <cell r="D764">
            <v>2053.56</v>
          </cell>
          <cell r="E764">
            <v>0</v>
          </cell>
          <cell r="F764">
            <v>956.57999999999493</v>
          </cell>
          <cell r="G764">
            <v>1339.21</v>
          </cell>
        </row>
        <row r="765">
          <cell r="B765">
            <v>761</v>
          </cell>
          <cell r="C765">
            <v>1468.7600000000018</v>
          </cell>
          <cell r="D765">
            <v>2056.2600000000002</v>
          </cell>
          <cell r="E765">
            <v>0</v>
          </cell>
          <cell r="F765">
            <v>957.83999999999492</v>
          </cell>
          <cell r="G765">
            <v>1340.98</v>
          </cell>
        </row>
        <row r="766">
          <cell r="B766">
            <v>762</v>
          </cell>
          <cell r="C766">
            <v>1470.6900000000019</v>
          </cell>
          <cell r="D766">
            <v>2058.9699999999998</v>
          </cell>
          <cell r="E766">
            <v>0</v>
          </cell>
          <cell r="F766">
            <v>959.09999999999491</v>
          </cell>
          <cell r="G766">
            <v>1342.74</v>
          </cell>
        </row>
        <row r="767">
          <cell r="B767">
            <v>763</v>
          </cell>
          <cell r="C767">
            <v>1472.6200000000019</v>
          </cell>
          <cell r="D767">
            <v>2061.67</v>
          </cell>
          <cell r="E767">
            <v>0</v>
          </cell>
          <cell r="F767">
            <v>960.3599999999949</v>
          </cell>
          <cell r="G767">
            <v>1344.5</v>
          </cell>
        </row>
        <row r="768">
          <cell r="B768">
            <v>764</v>
          </cell>
          <cell r="C768">
            <v>1474.550000000002</v>
          </cell>
          <cell r="D768">
            <v>2064.37</v>
          </cell>
          <cell r="E768">
            <v>0</v>
          </cell>
          <cell r="F768">
            <v>961.61999999999489</v>
          </cell>
          <cell r="G768">
            <v>1346.27</v>
          </cell>
        </row>
        <row r="769">
          <cell r="B769">
            <v>765</v>
          </cell>
          <cell r="C769">
            <v>1476.4800000000021</v>
          </cell>
          <cell r="D769">
            <v>2067.0700000000002</v>
          </cell>
          <cell r="E769">
            <v>0</v>
          </cell>
          <cell r="F769">
            <v>962.87999999999488</v>
          </cell>
          <cell r="G769">
            <v>1348.03</v>
          </cell>
        </row>
        <row r="770">
          <cell r="B770">
            <v>766</v>
          </cell>
          <cell r="C770">
            <v>1478.4100000000021</v>
          </cell>
          <cell r="D770">
            <v>2069.77</v>
          </cell>
          <cell r="E770">
            <v>0</v>
          </cell>
          <cell r="F770">
            <v>964.13999999999487</v>
          </cell>
          <cell r="G770">
            <v>1349.8</v>
          </cell>
        </row>
        <row r="771">
          <cell r="B771">
            <v>767</v>
          </cell>
          <cell r="C771">
            <v>1480.3400000000022</v>
          </cell>
          <cell r="D771">
            <v>2072.48</v>
          </cell>
          <cell r="E771">
            <v>0</v>
          </cell>
          <cell r="F771">
            <v>965.39999999999486</v>
          </cell>
          <cell r="G771">
            <v>1351.56</v>
          </cell>
        </row>
        <row r="772">
          <cell r="B772">
            <v>768</v>
          </cell>
          <cell r="C772">
            <v>1482.2700000000023</v>
          </cell>
          <cell r="D772">
            <v>2075.1799999999998</v>
          </cell>
          <cell r="E772">
            <v>0</v>
          </cell>
          <cell r="F772">
            <v>966.65999999999485</v>
          </cell>
          <cell r="G772">
            <v>1353.32</v>
          </cell>
        </row>
        <row r="773">
          <cell r="B773">
            <v>769</v>
          </cell>
          <cell r="C773">
            <v>1484.2000000000023</v>
          </cell>
          <cell r="D773">
            <v>2077.88</v>
          </cell>
          <cell r="E773">
            <v>0</v>
          </cell>
          <cell r="F773">
            <v>967.91999999999484</v>
          </cell>
          <cell r="G773">
            <v>1355.09</v>
          </cell>
        </row>
        <row r="774">
          <cell r="B774">
            <v>770</v>
          </cell>
          <cell r="C774">
            <v>1486.1300000000024</v>
          </cell>
          <cell r="D774">
            <v>2080.58</v>
          </cell>
          <cell r="E774">
            <v>0</v>
          </cell>
          <cell r="F774">
            <v>969.17999999999483</v>
          </cell>
          <cell r="G774">
            <v>1356.85</v>
          </cell>
        </row>
        <row r="775">
          <cell r="B775">
            <v>771</v>
          </cell>
          <cell r="C775">
            <v>1488.0600000000024</v>
          </cell>
          <cell r="D775">
            <v>2083.2800000000002</v>
          </cell>
          <cell r="E775">
            <v>0</v>
          </cell>
          <cell r="F775">
            <v>970.43999999999482</v>
          </cell>
          <cell r="G775">
            <v>1358.62</v>
          </cell>
        </row>
        <row r="776">
          <cell r="B776">
            <v>772</v>
          </cell>
          <cell r="C776">
            <v>1489.9900000000025</v>
          </cell>
          <cell r="D776">
            <v>2085.9899999999998</v>
          </cell>
          <cell r="E776">
            <v>0</v>
          </cell>
          <cell r="F776">
            <v>971.69999999999482</v>
          </cell>
          <cell r="G776">
            <v>1360.38</v>
          </cell>
        </row>
        <row r="777">
          <cell r="B777">
            <v>773</v>
          </cell>
          <cell r="C777">
            <v>1491.9200000000026</v>
          </cell>
          <cell r="D777">
            <v>2088.69</v>
          </cell>
          <cell r="E777">
            <v>0</v>
          </cell>
          <cell r="F777">
            <v>972.95999999999481</v>
          </cell>
          <cell r="G777">
            <v>1362.14</v>
          </cell>
        </row>
        <row r="778">
          <cell r="B778">
            <v>774</v>
          </cell>
          <cell r="C778">
            <v>1493.8500000000026</v>
          </cell>
          <cell r="D778">
            <v>2091.39</v>
          </cell>
          <cell r="E778">
            <v>0</v>
          </cell>
          <cell r="F778">
            <v>974.2199999999948</v>
          </cell>
          <cell r="G778">
            <v>1363.91</v>
          </cell>
        </row>
        <row r="779">
          <cell r="B779">
            <v>775</v>
          </cell>
          <cell r="C779">
            <v>1495.7800000000027</v>
          </cell>
          <cell r="D779">
            <v>2094.09</v>
          </cell>
          <cell r="E779">
            <v>0</v>
          </cell>
          <cell r="F779">
            <v>975.47999999999479</v>
          </cell>
          <cell r="G779">
            <v>1365.67</v>
          </cell>
        </row>
        <row r="780">
          <cell r="B780">
            <v>776</v>
          </cell>
          <cell r="C780">
            <v>1497.7100000000028</v>
          </cell>
          <cell r="D780">
            <v>2096.79</v>
          </cell>
          <cell r="E780">
            <v>0</v>
          </cell>
          <cell r="F780">
            <v>976.73999999999478</v>
          </cell>
          <cell r="G780">
            <v>1367.44</v>
          </cell>
        </row>
        <row r="781">
          <cell r="B781">
            <v>777</v>
          </cell>
          <cell r="C781">
            <v>1499.6400000000028</v>
          </cell>
          <cell r="D781">
            <v>2099.5</v>
          </cell>
          <cell r="E781">
            <v>0</v>
          </cell>
          <cell r="F781">
            <v>977.99999999999477</v>
          </cell>
          <cell r="G781">
            <v>1369.2</v>
          </cell>
        </row>
        <row r="782">
          <cell r="B782">
            <v>778</v>
          </cell>
          <cell r="C782">
            <v>1501.5700000000029</v>
          </cell>
          <cell r="D782">
            <v>2102.1999999999998</v>
          </cell>
          <cell r="E782">
            <v>0</v>
          </cell>
          <cell r="F782">
            <v>979.25999999999476</v>
          </cell>
          <cell r="G782">
            <v>1370.96</v>
          </cell>
        </row>
        <row r="783">
          <cell r="B783">
            <v>779</v>
          </cell>
          <cell r="C783">
            <v>1503.500000000003</v>
          </cell>
          <cell r="D783">
            <v>2104.9</v>
          </cell>
          <cell r="E783">
            <v>0</v>
          </cell>
          <cell r="F783">
            <v>980.51999999999475</v>
          </cell>
          <cell r="G783">
            <v>1372.73</v>
          </cell>
        </row>
        <row r="784">
          <cell r="B784">
            <v>780</v>
          </cell>
          <cell r="C784">
            <v>1505.430000000003</v>
          </cell>
          <cell r="D784">
            <v>2107.6</v>
          </cell>
          <cell r="E784">
            <v>0</v>
          </cell>
          <cell r="F784">
            <v>981.77999999999474</v>
          </cell>
          <cell r="G784">
            <v>1374.49</v>
          </cell>
        </row>
        <row r="785">
          <cell r="B785">
            <v>781</v>
          </cell>
          <cell r="C785">
            <v>1507.3600000000031</v>
          </cell>
          <cell r="D785">
            <v>2110.3000000000002</v>
          </cell>
          <cell r="E785">
            <v>0</v>
          </cell>
          <cell r="F785">
            <v>983.03999999999473</v>
          </cell>
          <cell r="G785">
            <v>1376.26</v>
          </cell>
        </row>
        <row r="786">
          <cell r="B786">
            <v>782</v>
          </cell>
          <cell r="C786">
            <v>1509.2900000000031</v>
          </cell>
          <cell r="D786">
            <v>2113.0100000000002</v>
          </cell>
          <cell r="E786">
            <v>0</v>
          </cell>
          <cell r="F786">
            <v>984.29999999999472</v>
          </cell>
          <cell r="G786">
            <v>1378.02</v>
          </cell>
        </row>
        <row r="787">
          <cell r="B787">
            <v>783</v>
          </cell>
          <cell r="C787">
            <v>1511.2200000000032</v>
          </cell>
          <cell r="D787">
            <v>2115.71</v>
          </cell>
          <cell r="E787">
            <v>0</v>
          </cell>
          <cell r="F787">
            <v>985.55999999999472</v>
          </cell>
          <cell r="G787">
            <v>1379.78</v>
          </cell>
        </row>
        <row r="788">
          <cell r="B788">
            <v>784</v>
          </cell>
          <cell r="C788">
            <v>1513.1500000000033</v>
          </cell>
          <cell r="D788">
            <v>2118.41</v>
          </cell>
          <cell r="E788">
            <v>0</v>
          </cell>
          <cell r="F788">
            <v>986.81999999999471</v>
          </cell>
          <cell r="G788">
            <v>1381.55</v>
          </cell>
        </row>
        <row r="789">
          <cell r="B789">
            <v>785</v>
          </cell>
          <cell r="C789">
            <v>1515.0800000000033</v>
          </cell>
          <cell r="D789">
            <v>2121.11</v>
          </cell>
          <cell r="E789">
            <v>0</v>
          </cell>
          <cell r="F789">
            <v>988.0799999999947</v>
          </cell>
          <cell r="G789">
            <v>1383.31</v>
          </cell>
        </row>
        <row r="790">
          <cell r="B790">
            <v>786</v>
          </cell>
          <cell r="C790">
            <v>1517.0100000000034</v>
          </cell>
          <cell r="D790">
            <v>2123.81</v>
          </cell>
          <cell r="E790">
            <v>0</v>
          </cell>
          <cell r="F790">
            <v>989.33999999999469</v>
          </cell>
          <cell r="G790">
            <v>1385.08</v>
          </cell>
        </row>
        <row r="791">
          <cell r="B791">
            <v>787</v>
          </cell>
          <cell r="C791">
            <v>1518.9400000000035</v>
          </cell>
          <cell r="D791">
            <v>2126.52</v>
          </cell>
          <cell r="E791">
            <v>0</v>
          </cell>
          <cell r="F791">
            <v>990.59999999999468</v>
          </cell>
          <cell r="G791">
            <v>1386.84</v>
          </cell>
        </row>
        <row r="792">
          <cell r="B792">
            <v>788</v>
          </cell>
          <cell r="C792">
            <v>1520.8700000000035</v>
          </cell>
          <cell r="D792">
            <v>2129.2199999999998</v>
          </cell>
          <cell r="E792">
            <v>0</v>
          </cell>
          <cell r="F792">
            <v>991.85999999999467</v>
          </cell>
          <cell r="G792">
            <v>1388.6</v>
          </cell>
        </row>
        <row r="793">
          <cell r="B793">
            <v>789</v>
          </cell>
          <cell r="C793">
            <v>1522.8000000000036</v>
          </cell>
          <cell r="D793">
            <v>2131.92</v>
          </cell>
          <cell r="E793">
            <v>0</v>
          </cell>
          <cell r="F793">
            <v>993.11999999999466</v>
          </cell>
          <cell r="G793">
            <v>1390.37</v>
          </cell>
        </row>
        <row r="794">
          <cell r="B794">
            <v>790</v>
          </cell>
          <cell r="C794">
            <v>1524.7300000000037</v>
          </cell>
          <cell r="D794">
            <v>2134.62</v>
          </cell>
          <cell r="E794">
            <v>0</v>
          </cell>
          <cell r="F794">
            <v>994.37999999999465</v>
          </cell>
          <cell r="G794">
            <v>1392.13</v>
          </cell>
        </row>
        <row r="795">
          <cell r="B795">
            <v>791</v>
          </cell>
          <cell r="C795">
            <v>1526.6600000000037</v>
          </cell>
          <cell r="D795">
            <v>2137.3200000000002</v>
          </cell>
          <cell r="E795">
            <v>0</v>
          </cell>
          <cell r="F795">
            <v>995.63999999999464</v>
          </cell>
          <cell r="G795">
            <v>1393.9</v>
          </cell>
        </row>
        <row r="796">
          <cell r="B796">
            <v>792</v>
          </cell>
          <cell r="C796">
            <v>1528.5900000000038</v>
          </cell>
          <cell r="D796">
            <v>2140.0300000000002</v>
          </cell>
          <cell r="E796">
            <v>0</v>
          </cell>
          <cell r="F796">
            <v>996.89999999999463</v>
          </cell>
          <cell r="G796">
            <v>1395.66</v>
          </cell>
        </row>
        <row r="797">
          <cell r="B797">
            <v>793</v>
          </cell>
          <cell r="C797">
            <v>1530.5200000000038</v>
          </cell>
          <cell r="D797">
            <v>2142.73</v>
          </cell>
          <cell r="E797">
            <v>0</v>
          </cell>
          <cell r="F797">
            <v>998.15999999999462</v>
          </cell>
          <cell r="G797">
            <v>1397.42</v>
          </cell>
        </row>
        <row r="798">
          <cell r="B798">
            <v>794</v>
          </cell>
          <cell r="C798">
            <v>1532.4500000000039</v>
          </cell>
          <cell r="D798">
            <v>2145.4299999999998</v>
          </cell>
          <cell r="E798">
            <v>0</v>
          </cell>
          <cell r="F798">
            <v>999.41999999999462</v>
          </cell>
          <cell r="G798">
            <v>1399.19</v>
          </cell>
        </row>
        <row r="799">
          <cell r="B799">
            <v>795</v>
          </cell>
          <cell r="C799">
            <v>1534.380000000004</v>
          </cell>
          <cell r="D799">
            <v>2148.13</v>
          </cell>
          <cell r="E799">
            <v>0</v>
          </cell>
          <cell r="F799">
            <v>1000.6799999999946</v>
          </cell>
          <cell r="G799">
            <v>1400.95</v>
          </cell>
        </row>
        <row r="800">
          <cell r="B800">
            <v>796</v>
          </cell>
          <cell r="C800">
            <v>1536.310000000004</v>
          </cell>
          <cell r="D800">
            <v>2150.83</v>
          </cell>
          <cell r="E800">
            <v>0</v>
          </cell>
          <cell r="F800">
            <v>1001.9399999999946</v>
          </cell>
          <cell r="G800">
            <v>1402.72</v>
          </cell>
        </row>
        <row r="801">
          <cell r="B801">
            <v>797</v>
          </cell>
          <cell r="C801">
            <v>1538.2400000000041</v>
          </cell>
          <cell r="D801">
            <v>2153.54</v>
          </cell>
          <cell r="E801">
            <v>0</v>
          </cell>
          <cell r="F801">
            <v>1003.1999999999946</v>
          </cell>
          <cell r="G801">
            <v>1404.48</v>
          </cell>
        </row>
        <row r="802">
          <cell r="B802">
            <v>798</v>
          </cell>
          <cell r="C802">
            <v>1540.1700000000042</v>
          </cell>
          <cell r="D802">
            <v>2156.2399999999998</v>
          </cell>
          <cell r="E802">
            <v>0</v>
          </cell>
          <cell r="F802">
            <v>1004.4599999999946</v>
          </cell>
          <cell r="G802">
            <v>1406.24</v>
          </cell>
        </row>
        <row r="803">
          <cell r="B803">
            <v>799</v>
          </cell>
          <cell r="C803">
            <v>1542.1000000000042</v>
          </cell>
          <cell r="D803">
            <v>2158.94</v>
          </cell>
          <cell r="E803">
            <v>0</v>
          </cell>
          <cell r="F803">
            <v>1005.7199999999946</v>
          </cell>
          <cell r="G803">
            <v>1408.01</v>
          </cell>
        </row>
        <row r="804">
          <cell r="B804">
            <v>800</v>
          </cell>
          <cell r="C804">
            <v>1544.0300000000043</v>
          </cell>
          <cell r="D804">
            <v>2161.64</v>
          </cell>
          <cell r="E804">
            <v>0</v>
          </cell>
          <cell r="F804">
            <v>1006.9799999999946</v>
          </cell>
          <cell r="G804">
            <v>1409.77</v>
          </cell>
        </row>
        <row r="805">
          <cell r="B805">
            <v>801</v>
          </cell>
          <cell r="C805">
            <v>1545.9600000000044</v>
          </cell>
          <cell r="D805">
            <v>2164.34</v>
          </cell>
          <cell r="E805">
            <v>0</v>
          </cell>
          <cell r="F805">
            <v>1008.2399999999946</v>
          </cell>
          <cell r="G805">
            <v>1411.54</v>
          </cell>
        </row>
        <row r="806">
          <cell r="B806">
            <v>802</v>
          </cell>
          <cell r="C806">
            <v>1547.8900000000044</v>
          </cell>
          <cell r="D806">
            <v>2167.0500000000002</v>
          </cell>
          <cell r="E806">
            <v>0</v>
          </cell>
          <cell r="F806">
            <v>1009.4999999999945</v>
          </cell>
          <cell r="G806">
            <v>1413.3</v>
          </cell>
        </row>
        <row r="807">
          <cell r="B807">
            <v>803</v>
          </cell>
          <cell r="C807">
            <v>1549.8200000000045</v>
          </cell>
          <cell r="D807">
            <v>2169.75</v>
          </cell>
          <cell r="E807">
            <v>0</v>
          </cell>
          <cell r="F807">
            <v>1010.7599999999945</v>
          </cell>
          <cell r="G807">
            <v>1415.06</v>
          </cell>
        </row>
        <row r="808">
          <cell r="B808">
            <v>804</v>
          </cell>
          <cell r="C808">
            <v>1551.7500000000045</v>
          </cell>
          <cell r="D808">
            <v>2172.4499999999998</v>
          </cell>
          <cell r="E808">
            <v>0</v>
          </cell>
          <cell r="F808">
            <v>1012.0199999999945</v>
          </cell>
          <cell r="G808">
            <v>1416.83</v>
          </cell>
        </row>
        <row r="809">
          <cell r="B809">
            <v>805</v>
          </cell>
          <cell r="C809">
            <v>1553.6800000000046</v>
          </cell>
          <cell r="D809">
            <v>2175.15</v>
          </cell>
          <cell r="E809">
            <v>0</v>
          </cell>
          <cell r="F809">
            <v>1013.2799999999945</v>
          </cell>
          <cell r="G809">
            <v>1418.59</v>
          </cell>
        </row>
        <row r="810">
          <cell r="B810">
            <v>806</v>
          </cell>
          <cell r="C810">
            <v>1555.6100000000047</v>
          </cell>
          <cell r="D810">
            <v>2177.85</v>
          </cell>
          <cell r="E810">
            <v>0</v>
          </cell>
          <cell r="F810">
            <v>1014.5399999999945</v>
          </cell>
          <cell r="G810">
            <v>1420.36</v>
          </cell>
        </row>
        <row r="811">
          <cell r="B811">
            <v>807</v>
          </cell>
          <cell r="C811">
            <v>1557.5400000000047</v>
          </cell>
          <cell r="D811">
            <v>2180.56</v>
          </cell>
          <cell r="E811">
            <v>0</v>
          </cell>
          <cell r="F811">
            <v>1015.7999999999945</v>
          </cell>
          <cell r="G811">
            <v>1422.12</v>
          </cell>
        </row>
        <row r="812">
          <cell r="B812">
            <v>808</v>
          </cell>
          <cell r="C812">
            <v>1559.4700000000048</v>
          </cell>
          <cell r="D812">
            <v>2183.2600000000002</v>
          </cell>
          <cell r="E812">
            <v>0</v>
          </cell>
          <cell r="F812">
            <v>1017.0599999999945</v>
          </cell>
          <cell r="G812">
            <v>1423.88</v>
          </cell>
        </row>
        <row r="813">
          <cell r="B813">
            <v>809</v>
          </cell>
          <cell r="C813">
            <v>1561.4000000000049</v>
          </cell>
          <cell r="D813">
            <v>2185.96</v>
          </cell>
          <cell r="E813">
            <v>0</v>
          </cell>
          <cell r="F813">
            <v>1018.3199999999945</v>
          </cell>
          <cell r="G813">
            <v>1425.65</v>
          </cell>
        </row>
        <row r="814">
          <cell r="B814">
            <v>810</v>
          </cell>
          <cell r="C814">
            <v>1563.3300000000049</v>
          </cell>
          <cell r="D814">
            <v>2188.66</v>
          </cell>
          <cell r="E814">
            <v>0</v>
          </cell>
          <cell r="F814">
            <v>1019.5799999999945</v>
          </cell>
          <cell r="G814">
            <v>1427.41</v>
          </cell>
        </row>
        <row r="815">
          <cell r="B815">
            <v>811</v>
          </cell>
          <cell r="C815">
            <v>1565.260000000005</v>
          </cell>
          <cell r="D815">
            <v>2191.36</v>
          </cell>
          <cell r="E815">
            <v>0</v>
          </cell>
          <cell r="F815">
            <v>1020.8399999999945</v>
          </cell>
          <cell r="G815">
            <v>1429.18</v>
          </cell>
        </row>
        <row r="816">
          <cell r="B816">
            <v>812</v>
          </cell>
          <cell r="C816">
            <v>1567.1900000000051</v>
          </cell>
          <cell r="D816">
            <v>2194.0700000000002</v>
          </cell>
          <cell r="E816">
            <v>0</v>
          </cell>
          <cell r="F816">
            <v>1022.0999999999945</v>
          </cell>
          <cell r="G816">
            <v>1430.94</v>
          </cell>
        </row>
        <row r="817">
          <cell r="B817">
            <v>813</v>
          </cell>
          <cell r="C817">
            <v>1569.1200000000051</v>
          </cell>
          <cell r="D817">
            <v>2196.77</v>
          </cell>
          <cell r="E817">
            <v>0</v>
          </cell>
          <cell r="F817">
            <v>1023.3599999999944</v>
          </cell>
          <cell r="G817">
            <v>1432.7</v>
          </cell>
        </row>
        <row r="818">
          <cell r="B818">
            <v>814</v>
          </cell>
          <cell r="C818">
            <v>1571.0500000000052</v>
          </cell>
          <cell r="D818">
            <v>2199.4699999999998</v>
          </cell>
          <cell r="E818">
            <v>0</v>
          </cell>
          <cell r="F818">
            <v>1024.6199999999944</v>
          </cell>
          <cell r="G818">
            <v>1434.47</v>
          </cell>
        </row>
        <row r="819">
          <cell r="B819">
            <v>815</v>
          </cell>
          <cell r="C819">
            <v>1572.9800000000052</v>
          </cell>
          <cell r="D819">
            <v>2202.17</v>
          </cell>
          <cell r="E819">
            <v>0</v>
          </cell>
          <cell r="F819">
            <v>1025.8799999999944</v>
          </cell>
          <cell r="G819">
            <v>1436.23</v>
          </cell>
        </row>
        <row r="820">
          <cell r="B820">
            <v>816</v>
          </cell>
          <cell r="C820">
            <v>1574.9100000000053</v>
          </cell>
          <cell r="D820">
            <v>2204.87</v>
          </cell>
          <cell r="E820">
            <v>0</v>
          </cell>
          <cell r="F820">
            <v>1027.1399999999944</v>
          </cell>
          <cell r="G820">
            <v>1438</v>
          </cell>
        </row>
        <row r="821">
          <cell r="B821">
            <v>817</v>
          </cell>
          <cell r="C821">
            <v>1576.8400000000054</v>
          </cell>
          <cell r="D821">
            <v>2207.58</v>
          </cell>
          <cell r="E821">
            <v>0</v>
          </cell>
          <cell r="F821">
            <v>1028.3999999999944</v>
          </cell>
          <cell r="G821">
            <v>1439.76</v>
          </cell>
        </row>
        <row r="822">
          <cell r="B822">
            <v>818</v>
          </cell>
          <cell r="C822">
            <v>1578.7700000000054</v>
          </cell>
          <cell r="D822">
            <v>2210.2800000000002</v>
          </cell>
          <cell r="E822">
            <v>0</v>
          </cell>
          <cell r="F822">
            <v>1029.6599999999944</v>
          </cell>
          <cell r="G822">
            <v>1441.52</v>
          </cell>
        </row>
        <row r="823">
          <cell r="B823">
            <v>819</v>
          </cell>
          <cell r="C823">
            <v>1580.7000000000055</v>
          </cell>
          <cell r="D823">
            <v>2212.98</v>
          </cell>
          <cell r="E823">
            <v>0</v>
          </cell>
          <cell r="F823">
            <v>1030.9199999999944</v>
          </cell>
          <cell r="G823">
            <v>1443.29</v>
          </cell>
        </row>
        <row r="824">
          <cell r="B824">
            <v>820</v>
          </cell>
          <cell r="C824">
            <v>1582.6300000000056</v>
          </cell>
          <cell r="D824">
            <v>2215.6799999999998</v>
          </cell>
          <cell r="E824">
            <v>0</v>
          </cell>
          <cell r="F824">
            <v>1032.1799999999944</v>
          </cell>
          <cell r="G824">
            <v>1445.05</v>
          </cell>
        </row>
        <row r="825">
          <cell r="B825">
            <v>821</v>
          </cell>
          <cell r="C825">
            <v>1584.5600000000056</v>
          </cell>
          <cell r="D825">
            <v>2218.38</v>
          </cell>
          <cell r="E825">
            <v>0</v>
          </cell>
          <cell r="F825">
            <v>1033.4399999999944</v>
          </cell>
          <cell r="G825">
            <v>1446.82</v>
          </cell>
        </row>
        <row r="826">
          <cell r="B826">
            <v>822</v>
          </cell>
          <cell r="C826">
            <v>1586.4900000000057</v>
          </cell>
          <cell r="D826">
            <v>2221.09</v>
          </cell>
          <cell r="E826">
            <v>0</v>
          </cell>
          <cell r="F826">
            <v>1034.6999999999944</v>
          </cell>
          <cell r="G826">
            <v>1448.58</v>
          </cell>
        </row>
        <row r="827">
          <cell r="B827">
            <v>823</v>
          </cell>
          <cell r="C827">
            <v>1588.4200000000058</v>
          </cell>
          <cell r="D827">
            <v>2223.79</v>
          </cell>
          <cell r="E827">
            <v>0</v>
          </cell>
          <cell r="F827">
            <v>1035.9599999999944</v>
          </cell>
          <cell r="G827">
            <v>1450.34</v>
          </cell>
        </row>
        <row r="828">
          <cell r="B828">
            <v>824</v>
          </cell>
          <cell r="C828">
            <v>1590.3500000000058</v>
          </cell>
          <cell r="D828">
            <v>2226.4899999999998</v>
          </cell>
          <cell r="E828">
            <v>0</v>
          </cell>
          <cell r="F828">
            <v>1037.2199999999943</v>
          </cell>
          <cell r="G828">
            <v>1452.11</v>
          </cell>
        </row>
        <row r="829">
          <cell r="B829">
            <v>825</v>
          </cell>
          <cell r="C829">
            <v>1592.2800000000059</v>
          </cell>
          <cell r="D829">
            <v>2229.19</v>
          </cell>
          <cell r="E829">
            <v>0</v>
          </cell>
          <cell r="F829">
            <v>1038.4799999999943</v>
          </cell>
          <cell r="G829">
            <v>1453.87</v>
          </cell>
        </row>
        <row r="830">
          <cell r="B830">
            <v>826</v>
          </cell>
          <cell r="C830">
            <v>1594.2100000000059</v>
          </cell>
          <cell r="D830">
            <v>2231.89</v>
          </cell>
          <cell r="E830">
            <v>0</v>
          </cell>
          <cell r="F830">
            <v>1039.7399999999943</v>
          </cell>
          <cell r="G830">
            <v>1455.64</v>
          </cell>
        </row>
        <row r="831">
          <cell r="B831">
            <v>827</v>
          </cell>
          <cell r="C831">
            <v>1596.140000000006</v>
          </cell>
          <cell r="D831">
            <v>2234.6</v>
          </cell>
          <cell r="E831">
            <v>0</v>
          </cell>
          <cell r="F831">
            <v>1040.9999999999943</v>
          </cell>
          <cell r="G831">
            <v>1457.4</v>
          </cell>
        </row>
        <row r="832">
          <cell r="B832">
            <v>828</v>
          </cell>
          <cell r="C832">
            <v>1598.0700000000061</v>
          </cell>
          <cell r="D832">
            <v>2237.3000000000002</v>
          </cell>
          <cell r="E832">
            <v>0</v>
          </cell>
          <cell r="F832">
            <v>1042.2599999999943</v>
          </cell>
          <cell r="G832">
            <v>1459.16</v>
          </cell>
        </row>
        <row r="833">
          <cell r="B833">
            <v>829</v>
          </cell>
          <cell r="C833">
            <v>1600.0000000000061</v>
          </cell>
          <cell r="D833">
            <v>2240</v>
          </cell>
          <cell r="E833">
            <v>0</v>
          </cell>
          <cell r="F833">
            <v>1043.5199999999943</v>
          </cell>
          <cell r="G833">
            <v>1460.93</v>
          </cell>
        </row>
        <row r="834">
          <cell r="B834">
            <v>830</v>
          </cell>
          <cell r="C834">
            <v>1601.9300000000062</v>
          </cell>
          <cell r="D834">
            <v>2242.6999999999998</v>
          </cell>
          <cell r="E834">
            <v>0</v>
          </cell>
          <cell r="F834">
            <v>1044.7799999999943</v>
          </cell>
          <cell r="G834">
            <v>1462.69</v>
          </cell>
        </row>
        <row r="835">
          <cell r="B835">
            <v>831</v>
          </cell>
          <cell r="C835">
            <v>1603.8600000000063</v>
          </cell>
          <cell r="D835">
            <v>2245.4</v>
          </cell>
          <cell r="E835">
            <v>0</v>
          </cell>
          <cell r="F835">
            <v>1046.0399999999943</v>
          </cell>
          <cell r="G835">
            <v>1464.46</v>
          </cell>
        </row>
        <row r="836">
          <cell r="B836">
            <v>832</v>
          </cell>
          <cell r="C836">
            <v>1605.7900000000063</v>
          </cell>
          <cell r="D836">
            <v>2248.11</v>
          </cell>
          <cell r="E836">
            <v>0</v>
          </cell>
          <cell r="F836">
            <v>1047.2999999999943</v>
          </cell>
          <cell r="G836">
            <v>1466.22</v>
          </cell>
        </row>
        <row r="837">
          <cell r="B837">
            <v>833</v>
          </cell>
          <cell r="C837">
            <v>1607.7200000000064</v>
          </cell>
          <cell r="D837">
            <v>2250.81</v>
          </cell>
          <cell r="E837">
            <v>0</v>
          </cell>
          <cell r="F837">
            <v>1048.5599999999943</v>
          </cell>
          <cell r="G837">
            <v>1467.98</v>
          </cell>
        </row>
        <row r="838">
          <cell r="B838">
            <v>834</v>
          </cell>
          <cell r="C838">
            <v>1609.6500000000065</v>
          </cell>
          <cell r="D838">
            <v>2253.5100000000002</v>
          </cell>
          <cell r="E838">
            <v>0</v>
          </cell>
          <cell r="F838">
            <v>1049.8199999999943</v>
          </cell>
          <cell r="G838">
            <v>1469.75</v>
          </cell>
        </row>
        <row r="839">
          <cell r="B839">
            <v>835</v>
          </cell>
          <cell r="C839">
            <v>1611.5800000000065</v>
          </cell>
          <cell r="D839">
            <v>2256.21</v>
          </cell>
          <cell r="E839">
            <v>0</v>
          </cell>
          <cell r="F839">
            <v>1051.0799999999942</v>
          </cell>
          <cell r="G839">
            <v>1471.51</v>
          </cell>
        </row>
        <row r="840">
          <cell r="B840">
            <v>836</v>
          </cell>
          <cell r="C840">
            <v>1613.5100000000066</v>
          </cell>
          <cell r="D840">
            <v>2258.91</v>
          </cell>
          <cell r="E840">
            <v>0</v>
          </cell>
          <cell r="F840">
            <v>1052.3399999999942</v>
          </cell>
          <cell r="G840">
            <v>1473.28</v>
          </cell>
        </row>
        <row r="841">
          <cell r="B841">
            <v>837</v>
          </cell>
          <cell r="C841">
            <v>1615.4400000000066</v>
          </cell>
          <cell r="D841">
            <v>2261.62</v>
          </cell>
          <cell r="E841">
            <v>0</v>
          </cell>
          <cell r="F841">
            <v>1053.5999999999942</v>
          </cell>
          <cell r="G841">
            <v>1475.04</v>
          </cell>
        </row>
        <row r="842">
          <cell r="B842">
            <v>838</v>
          </cell>
          <cell r="C842">
            <v>1617.3700000000067</v>
          </cell>
          <cell r="D842">
            <v>2264.3200000000002</v>
          </cell>
          <cell r="E842">
            <v>0</v>
          </cell>
          <cell r="F842">
            <v>1054.8599999999942</v>
          </cell>
          <cell r="G842">
            <v>1476.8</v>
          </cell>
        </row>
        <row r="843">
          <cell r="B843">
            <v>839</v>
          </cell>
          <cell r="C843">
            <v>1619.3000000000068</v>
          </cell>
          <cell r="D843">
            <v>2267.02</v>
          </cell>
          <cell r="E843">
            <v>0</v>
          </cell>
          <cell r="F843">
            <v>1056.1199999999942</v>
          </cell>
          <cell r="G843">
            <v>1478.57</v>
          </cell>
        </row>
        <row r="844">
          <cell r="B844">
            <v>840</v>
          </cell>
          <cell r="C844">
            <v>1621.2300000000068</v>
          </cell>
          <cell r="D844">
            <v>2269.7199999999998</v>
          </cell>
          <cell r="E844">
            <v>0</v>
          </cell>
          <cell r="F844">
            <v>1057.3799999999942</v>
          </cell>
          <cell r="G844">
            <v>1480.33</v>
          </cell>
        </row>
        <row r="845">
          <cell r="B845">
            <v>841</v>
          </cell>
          <cell r="C845">
            <v>1623.1600000000069</v>
          </cell>
          <cell r="D845">
            <v>2272.42</v>
          </cell>
          <cell r="E845">
            <v>0</v>
          </cell>
          <cell r="F845">
            <v>1058.6399999999942</v>
          </cell>
          <cell r="G845">
            <v>1482.1</v>
          </cell>
        </row>
        <row r="846">
          <cell r="B846">
            <v>842</v>
          </cell>
          <cell r="C846">
            <v>1625.090000000007</v>
          </cell>
          <cell r="D846">
            <v>2275.13</v>
          </cell>
          <cell r="E846">
            <v>0</v>
          </cell>
          <cell r="F846">
            <v>1059.8999999999942</v>
          </cell>
          <cell r="G846">
            <v>1483.86</v>
          </cell>
        </row>
        <row r="847">
          <cell r="B847">
            <v>843</v>
          </cell>
          <cell r="C847">
            <v>1627.020000000007</v>
          </cell>
          <cell r="D847">
            <v>2277.83</v>
          </cell>
          <cell r="E847">
            <v>0</v>
          </cell>
          <cell r="F847">
            <v>1061.1599999999942</v>
          </cell>
          <cell r="G847">
            <v>1485.62</v>
          </cell>
        </row>
        <row r="848">
          <cell r="B848">
            <v>844</v>
          </cell>
          <cell r="C848">
            <v>1628.9500000000071</v>
          </cell>
          <cell r="D848">
            <v>2280.5300000000002</v>
          </cell>
          <cell r="E848">
            <v>0</v>
          </cell>
          <cell r="F848">
            <v>1062.4199999999942</v>
          </cell>
          <cell r="G848">
            <v>1487.39</v>
          </cell>
        </row>
        <row r="849">
          <cell r="B849">
            <v>845</v>
          </cell>
          <cell r="C849">
            <v>1630.8800000000072</v>
          </cell>
          <cell r="D849">
            <v>2283.23</v>
          </cell>
          <cell r="E849">
            <v>0</v>
          </cell>
          <cell r="F849">
            <v>1063.6799999999942</v>
          </cell>
          <cell r="G849">
            <v>1489.15</v>
          </cell>
        </row>
        <row r="850">
          <cell r="B850">
            <v>846</v>
          </cell>
          <cell r="C850">
            <v>1632.8100000000072</v>
          </cell>
          <cell r="D850">
            <v>2285.9299999999998</v>
          </cell>
          <cell r="E850">
            <v>0</v>
          </cell>
          <cell r="F850">
            <v>1064.9399999999941</v>
          </cell>
          <cell r="G850">
            <v>1490.92</v>
          </cell>
        </row>
        <row r="851">
          <cell r="B851">
            <v>847</v>
          </cell>
          <cell r="C851">
            <v>1634.7400000000073</v>
          </cell>
          <cell r="D851">
            <v>2288.64</v>
          </cell>
          <cell r="E851">
            <v>0</v>
          </cell>
          <cell r="F851">
            <v>1066.1999999999941</v>
          </cell>
          <cell r="G851">
            <v>1492.68</v>
          </cell>
        </row>
        <row r="852">
          <cell r="B852">
            <v>848</v>
          </cell>
          <cell r="C852">
            <v>1636.6700000000073</v>
          </cell>
          <cell r="D852">
            <v>2291.34</v>
          </cell>
          <cell r="E852">
            <v>0</v>
          </cell>
          <cell r="F852">
            <v>1067.4599999999941</v>
          </cell>
          <cell r="G852">
            <v>1494.44</v>
          </cell>
        </row>
        <row r="853">
          <cell r="B853">
            <v>849</v>
          </cell>
          <cell r="C853">
            <v>1638.6000000000074</v>
          </cell>
          <cell r="D853">
            <v>2294.04</v>
          </cell>
          <cell r="E853">
            <v>0</v>
          </cell>
          <cell r="F853">
            <v>1068.7199999999941</v>
          </cell>
          <cell r="G853">
            <v>1496.21</v>
          </cell>
        </row>
        <row r="854">
          <cell r="B854">
            <v>850</v>
          </cell>
          <cell r="C854">
            <v>1640.5300000000075</v>
          </cell>
          <cell r="D854">
            <v>2296.7399999999998</v>
          </cell>
          <cell r="E854">
            <v>0</v>
          </cell>
          <cell r="F854">
            <v>1069.9799999999941</v>
          </cell>
          <cell r="G854">
            <v>1497.97</v>
          </cell>
        </row>
        <row r="855">
          <cell r="B855">
            <v>851</v>
          </cell>
          <cell r="C855">
            <v>1642.4600000000075</v>
          </cell>
          <cell r="D855">
            <v>2299.44</v>
          </cell>
          <cell r="E855">
            <v>0</v>
          </cell>
          <cell r="F855">
            <v>1071.2399999999941</v>
          </cell>
          <cell r="G855">
            <v>1499.74</v>
          </cell>
        </row>
        <row r="856">
          <cell r="B856">
            <v>852</v>
          </cell>
          <cell r="C856">
            <v>1644.3900000000076</v>
          </cell>
          <cell r="D856">
            <v>2302.15</v>
          </cell>
          <cell r="E856">
            <v>0</v>
          </cell>
          <cell r="F856">
            <v>1072.4999999999941</v>
          </cell>
          <cell r="G856">
            <v>1501.5</v>
          </cell>
        </row>
        <row r="857">
          <cell r="B857">
            <v>853</v>
          </cell>
          <cell r="C857">
            <v>1646.3200000000077</v>
          </cell>
          <cell r="D857">
            <v>2304.85</v>
          </cell>
          <cell r="E857">
            <v>0</v>
          </cell>
          <cell r="F857">
            <v>1073.7599999999941</v>
          </cell>
          <cell r="G857">
            <v>1503.26</v>
          </cell>
        </row>
        <row r="858">
          <cell r="B858">
            <v>854</v>
          </cell>
          <cell r="C858">
            <v>1648.2500000000077</v>
          </cell>
          <cell r="D858">
            <v>2307.5500000000002</v>
          </cell>
          <cell r="E858">
            <v>0</v>
          </cell>
          <cell r="F858">
            <v>1075.0199999999941</v>
          </cell>
          <cell r="G858">
            <v>1505.03</v>
          </cell>
        </row>
        <row r="859">
          <cell r="B859">
            <v>855</v>
          </cell>
          <cell r="C859">
            <v>1650.1800000000078</v>
          </cell>
          <cell r="D859">
            <v>2310.25</v>
          </cell>
          <cell r="E859">
            <v>0</v>
          </cell>
          <cell r="F859">
            <v>1076.2799999999941</v>
          </cell>
          <cell r="G859">
            <v>1506.79</v>
          </cell>
        </row>
        <row r="860">
          <cell r="B860">
            <v>856</v>
          </cell>
          <cell r="C860">
            <v>1652.1100000000079</v>
          </cell>
          <cell r="D860">
            <v>2312.9499999999998</v>
          </cell>
          <cell r="E860">
            <v>0</v>
          </cell>
          <cell r="F860">
            <v>1077.5399999999941</v>
          </cell>
          <cell r="G860">
            <v>1508.56</v>
          </cell>
        </row>
        <row r="861">
          <cell r="B861">
            <v>857</v>
          </cell>
          <cell r="C861">
            <v>1654.0400000000079</v>
          </cell>
          <cell r="D861">
            <v>2315.66</v>
          </cell>
          <cell r="E861">
            <v>0</v>
          </cell>
          <cell r="F861">
            <v>1078.799999999994</v>
          </cell>
          <cell r="G861">
            <v>1510.32</v>
          </cell>
        </row>
        <row r="862">
          <cell r="B862">
            <v>858</v>
          </cell>
          <cell r="C862">
            <v>1655.970000000008</v>
          </cell>
          <cell r="D862">
            <v>2318.36</v>
          </cell>
          <cell r="E862">
            <v>0</v>
          </cell>
          <cell r="F862">
            <v>1080.059999999994</v>
          </cell>
          <cell r="G862">
            <v>1512.08</v>
          </cell>
        </row>
        <row r="863">
          <cell r="B863">
            <v>859</v>
          </cell>
          <cell r="C863">
            <v>1657.900000000008</v>
          </cell>
          <cell r="D863">
            <v>2321.06</v>
          </cell>
          <cell r="E863">
            <v>0</v>
          </cell>
          <cell r="F863">
            <v>1081.319999999994</v>
          </cell>
          <cell r="G863">
            <v>1513.85</v>
          </cell>
        </row>
        <row r="864">
          <cell r="B864">
            <v>860</v>
          </cell>
          <cell r="C864">
            <v>1659.8300000000081</v>
          </cell>
          <cell r="D864">
            <v>2323.7600000000002</v>
          </cell>
          <cell r="E864">
            <v>0</v>
          </cell>
          <cell r="F864">
            <v>1082.579999999994</v>
          </cell>
          <cell r="G864">
            <v>1515.61</v>
          </cell>
        </row>
        <row r="865">
          <cell r="B865">
            <v>861</v>
          </cell>
          <cell r="C865">
            <v>1661.7600000000082</v>
          </cell>
          <cell r="D865">
            <v>2326.46</v>
          </cell>
          <cell r="E865">
            <v>0</v>
          </cell>
          <cell r="F865">
            <v>1083.839999999994</v>
          </cell>
          <cell r="G865">
            <v>1517.38</v>
          </cell>
        </row>
        <row r="866">
          <cell r="B866">
            <v>862</v>
          </cell>
          <cell r="C866">
            <v>1663.6900000000082</v>
          </cell>
          <cell r="D866">
            <v>2329.17</v>
          </cell>
          <cell r="E866">
            <v>0</v>
          </cell>
          <cell r="F866">
            <v>1085.099999999994</v>
          </cell>
          <cell r="G866">
            <v>1519.14</v>
          </cell>
        </row>
        <row r="867">
          <cell r="B867">
            <v>863</v>
          </cell>
          <cell r="C867">
            <v>1665.6200000000083</v>
          </cell>
          <cell r="D867">
            <v>2331.87</v>
          </cell>
          <cell r="E867">
            <v>0</v>
          </cell>
          <cell r="F867">
            <v>1086.359999999994</v>
          </cell>
          <cell r="G867">
            <v>1520.9</v>
          </cell>
        </row>
        <row r="868">
          <cell r="B868">
            <v>864</v>
          </cell>
          <cell r="C868">
            <v>1667.5500000000084</v>
          </cell>
          <cell r="D868">
            <v>2334.5700000000002</v>
          </cell>
          <cell r="E868">
            <v>0</v>
          </cell>
          <cell r="F868">
            <v>1087.619999999994</v>
          </cell>
          <cell r="G868">
            <v>1522.67</v>
          </cell>
        </row>
        <row r="869">
          <cell r="B869">
            <v>865</v>
          </cell>
          <cell r="C869">
            <v>1669.4800000000084</v>
          </cell>
          <cell r="D869">
            <v>2337.27</v>
          </cell>
          <cell r="E869">
            <v>0</v>
          </cell>
          <cell r="F869">
            <v>1088.879999999994</v>
          </cell>
          <cell r="G869">
            <v>1524.43</v>
          </cell>
        </row>
        <row r="870">
          <cell r="B870">
            <v>866</v>
          </cell>
          <cell r="C870">
            <v>1671.4100000000085</v>
          </cell>
          <cell r="D870">
            <v>2339.9699999999998</v>
          </cell>
          <cell r="E870">
            <v>0</v>
          </cell>
          <cell r="F870">
            <v>1090.139999999994</v>
          </cell>
          <cell r="G870">
            <v>1526.2</v>
          </cell>
        </row>
        <row r="871">
          <cell r="B871">
            <v>867</v>
          </cell>
          <cell r="C871">
            <v>1673.3400000000086</v>
          </cell>
          <cell r="D871">
            <v>2342.6799999999998</v>
          </cell>
          <cell r="E871">
            <v>0</v>
          </cell>
          <cell r="F871">
            <v>1091.399999999994</v>
          </cell>
          <cell r="G871">
            <v>1527.96</v>
          </cell>
        </row>
        <row r="872">
          <cell r="B872">
            <v>868</v>
          </cell>
          <cell r="C872">
            <v>1675.2700000000086</v>
          </cell>
          <cell r="D872">
            <v>2345.38</v>
          </cell>
          <cell r="E872">
            <v>0</v>
          </cell>
          <cell r="F872">
            <v>1092.6599999999939</v>
          </cell>
          <cell r="G872">
            <v>1529.72</v>
          </cell>
        </row>
        <row r="873">
          <cell r="B873">
            <v>869</v>
          </cell>
          <cell r="C873">
            <v>1677.2000000000087</v>
          </cell>
          <cell r="D873">
            <v>2348.08</v>
          </cell>
          <cell r="E873">
            <v>0</v>
          </cell>
          <cell r="F873">
            <v>1093.9199999999939</v>
          </cell>
          <cell r="G873">
            <v>1531.49</v>
          </cell>
        </row>
        <row r="874">
          <cell r="B874">
            <v>870</v>
          </cell>
          <cell r="C874">
            <v>1679.1300000000087</v>
          </cell>
          <cell r="D874">
            <v>2350.7800000000002</v>
          </cell>
          <cell r="E874">
            <v>0</v>
          </cell>
          <cell r="F874">
            <v>1095.1799999999939</v>
          </cell>
          <cell r="G874">
            <v>1533.25</v>
          </cell>
        </row>
        <row r="875">
          <cell r="B875">
            <v>871</v>
          </cell>
          <cell r="C875">
            <v>1681.0600000000088</v>
          </cell>
          <cell r="D875">
            <v>2353.48</v>
          </cell>
          <cell r="E875">
            <v>0</v>
          </cell>
          <cell r="F875">
            <v>1096.4399999999939</v>
          </cell>
          <cell r="G875">
            <v>1535.02</v>
          </cell>
        </row>
        <row r="876">
          <cell r="B876">
            <v>872</v>
          </cell>
          <cell r="C876">
            <v>1682.9900000000089</v>
          </cell>
          <cell r="D876">
            <v>2356.19</v>
          </cell>
          <cell r="E876">
            <v>0</v>
          </cell>
          <cell r="F876">
            <v>1097.6999999999939</v>
          </cell>
          <cell r="G876">
            <v>1536.78</v>
          </cell>
        </row>
        <row r="877">
          <cell r="B877">
            <v>873</v>
          </cell>
          <cell r="C877">
            <v>1684.9200000000089</v>
          </cell>
          <cell r="D877">
            <v>2358.89</v>
          </cell>
          <cell r="E877">
            <v>0</v>
          </cell>
          <cell r="F877">
            <v>1098.9599999999939</v>
          </cell>
          <cell r="G877">
            <v>1538.54</v>
          </cell>
        </row>
        <row r="878">
          <cell r="B878">
            <v>874</v>
          </cell>
          <cell r="C878">
            <v>1686.850000000009</v>
          </cell>
          <cell r="D878">
            <v>2361.59</v>
          </cell>
          <cell r="E878">
            <v>0</v>
          </cell>
          <cell r="F878">
            <v>1100.2199999999939</v>
          </cell>
          <cell r="G878">
            <v>1540.31</v>
          </cell>
        </row>
        <row r="879">
          <cell r="B879">
            <v>875</v>
          </cell>
          <cell r="C879">
            <v>1688.7800000000091</v>
          </cell>
          <cell r="D879">
            <v>2364.29</v>
          </cell>
          <cell r="E879">
            <v>0</v>
          </cell>
          <cell r="F879">
            <v>1101.4799999999939</v>
          </cell>
          <cell r="G879">
            <v>1542.07</v>
          </cell>
        </row>
        <row r="880">
          <cell r="B880">
            <v>876</v>
          </cell>
          <cell r="C880">
            <v>1690.7100000000091</v>
          </cell>
          <cell r="D880">
            <v>2366.9899999999998</v>
          </cell>
          <cell r="E880">
            <v>0</v>
          </cell>
          <cell r="F880">
            <v>1102.7399999999939</v>
          </cell>
          <cell r="G880">
            <v>1543.84</v>
          </cell>
        </row>
        <row r="881">
          <cell r="B881">
            <v>877</v>
          </cell>
          <cell r="C881">
            <v>1692.6400000000092</v>
          </cell>
          <cell r="D881">
            <v>2369.6999999999998</v>
          </cell>
          <cell r="E881">
            <v>0</v>
          </cell>
          <cell r="F881">
            <v>1103.9999999999939</v>
          </cell>
          <cell r="G881">
            <v>1545.6</v>
          </cell>
        </row>
        <row r="882">
          <cell r="B882">
            <v>878</v>
          </cell>
          <cell r="C882">
            <v>1694.5700000000093</v>
          </cell>
          <cell r="D882">
            <v>2372.4</v>
          </cell>
          <cell r="E882">
            <v>0</v>
          </cell>
          <cell r="F882">
            <v>1105.2599999999939</v>
          </cell>
          <cell r="G882">
            <v>1547.36</v>
          </cell>
        </row>
        <row r="883">
          <cell r="B883">
            <v>879</v>
          </cell>
          <cell r="C883">
            <v>1696.5000000000093</v>
          </cell>
          <cell r="D883">
            <v>2375.1</v>
          </cell>
          <cell r="E883">
            <v>0</v>
          </cell>
          <cell r="F883">
            <v>1106.5199999999938</v>
          </cell>
          <cell r="G883">
            <v>1549.13</v>
          </cell>
        </row>
        <row r="884">
          <cell r="B884">
            <v>880</v>
          </cell>
          <cell r="C884">
            <v>1698.4300000000094</v>
          </cell>
          <cell r="D884">
            <v>2377.8000000000002</v>
          </cell>
          <cell r="E884">
            <v>0</v>
          </cell>
          <cell r="F884">
            <v>1107.7799999999938</v>
          </cell>
          <cell r="G884">
            <v>1550.89</v>
          </cell>
        </row>
        <row r="885">
          <cell r="B885">
            <v>881</v>
          </cell>
          <cell r="C885">
            <v>1700.3600000000094</v>
          </cell>
          <cell r="D885">
            <v>2380.5</v>
          </cell>
          <cell r="E885">
            <v>0</v>
          </cell>
          <cell r="F885">
            <v>1109.0399999999938</v>
          </cell>
          <cell r="G885">
            <v>1552.66</v>
          </cell>
        </row>
        <row r="886">
          <cell r="B886">
            <v>882</v>
          </cell>
          <cell r="C886">
            <v>1702.2900000000095</v>
          </cell>
          <cell r="D886">
            <v>2383.21</v>
          </cell>
          <cell r="E886">
            <v>0</v>
          </cell>
          <cell r="F886">
            <v>1110.2999999999938</v>
          </cell>
          <cell r="G886">
            <v>1554.42</v>
          </cell>
        </row>
        <row r="887">
          <cell r="B887">
            <v>883</v>
          </cell>
          <cell r="C887">
            <v>1704.2200000000096</v>
          </cell>
          <cell r="D887">
            <v>2385.91</v>
          </cell>
          <cell r="E887">
            <v>0</v>
          </cell>
          <cell r="F887">
            <v>1111.5599999999938</v>
          </cell>
          <cell r="G887">
            <v>1556.18</v>
          </cell>
        </row>
        <row r="888">
          <cell r="B888">
            <v>884</v>
          </cell>
          <cell r="C888">
            <v>1706.1500000000096</v>
          </cell>
          <cell r="D888">
            <v>2388.61</v>
          </cell>
          <cell r="E888">
            <v>0</v>
          </cell>
          <cell r="F888">
            <v>1112.8199999999938</v>
          </cell>
          <cell r="G888">
            <v>1557.95</v>
          </cell>
        </row>
        <row r="889">
          <cell r="B889">
            <v>885</v>
          </cell>
          <cell r="C889">
            <v>1708.0800000000097</v>
          </cell>
          <cell r="D889">
            <v>2391.31</v>
          </cell>
          <cell r="E889">
            <v>0</v>
          </cell>
          <cell r="F889">
            <v>1114.0799999999938</v>
          </cell>
          <cell r="G889">
            <v>1559.71</v>
          </cell>
        </row>
        <row r="890">
          <cell r="B890">
            <v>886</v>
          </cell>
          <cell r="C890">
            <v>1710.0100000000098</v>
          </cell>
          <cell r="D890">
            <v>2394.0100000000002</v>
          </cell>
          <cell r="E890">
            <v>0</v>
          </cell>
          <cell r="F890">
            <v>1115.3399999999938</v>
          </cell>
          <cell r="G890">
            <v>1561.48</v>
          </cell>
        </row>
        <row r="891">
          <cell r="B891">
            <v>887</v>
          </cell>
          <cell r="C891">
            <v>1711.9400000000098</v>
          </cell>
          <cell r="D891">
            <v>2396.7199999999998</v>
          </cell>
          <cell r="E891">
            <v>0</v>
          </cell>
          <cell r="F891">
            <v>1116.5999999999938</v>
          </cell>
          <cell r="G891">
            <v>1563.24</v>
          </cell>
        </row>
        <row r="892">
          <cell r="B892">
            <v>888</v>
          </cell>
          <cell r="C892">
            <v>1713.8700000000099</v>
          </cell>
          <cell r="D892">
            <v>2399.42</v>
          </cell>
          <cell r="E892">
            <v>0</v>
          </cell>
          <cell r="F892">
            <v>1117.8599999999938</v>
          </cell>
          <cell r="G892">
            <v>1565</v>
          </cell>
        </row>
        <row r="893">
          <cell r="B893">
            <v>889</v>
          </cell>
          <cell r="C893">
            <v>1715.80000000001</v>
          </cell>
          <cell r="D893">
            <v>2402.12</v>
          </cell>
          <cell r="E893">
            <v>0</v>
          </cell>
          <cell r="F893">
            <v>1119.1199999999938</v>
          </cell>
          <cell r="G893">
            <v>1566.77</v>
          </cell>
        </row>
        <row r="894">
          <cell r="B894">
            <v>890</v>
          </cell>
          <cell r="C894">
            <v>1717.73000000001</v>
          </cell>
          <cell r="D894">
            <v>2404.8200000000002</v>
          </cell>
          <cell r="E894">
            <v>0</v>
          </cell>
          <cell r="F894">
            <v>1120.3799999999937</v>
          </cell>
          <cell r="G894">
            <v>1568.53</v>
          </cell>
        </row>
        <row r="895">
          <cell r="B895">
            <v>891</v>
          </cell>
          <cell r="C895">
            <v>1719.6600000000101</v>
          </cell>
          <cell r="D895">
            <v>2407.52</v>
          </cell>
          <cell r="E895">
            <v>0</v>
          </cell>
          <cell r="F895">
            <v>1121.6399999999937</v>
          </cell>
          <cell r="G895">
            <v>1570.3</v>
          </cell>
        </row>
        <row r="896">
          <cell r="B896">
            <v>892</v>
          </cell>
          <cell r="C896">
            <v>1721.5900000000101</v>
          </cell>
          <cell r="D896">
            <v>2410.23</v>
          </cell>
          <cell r="E896">
            <v>0</v>
          </cell>
          <cell r="F896">
            <v>1122.8999999999937</v>
          </cell>
          <cell r="G896">
            <v>1572.06</v>
          </cell>
        </row>
        <row r="897">
          <cell r="B897">
            <v>893</v>
          </cell>
          <cell r="C897">
            <v>1723.5200000000102</v>
          </cell>
          <cell r="D897">
            <v>2412.9299999999998</v>
          </cell>
          <cell r="E897">
            <v>0</v>
          </cell>
          <cell r="F897">
            <v>1124.1599999999937</v>
          </cell>
          <cell r="G897">
            <v>1573.82</v>
          </cell>
        </row>
        <row r="898">
          <cell r="B898">
            <v>894</v>
          </cell>
          <cell r="C898">
            <v>1725.4500000000103</v>
          </cell>
          <cell r="D898">
            <v>2415.63</v>
          </cell>
          <cell r="E898">
            <v>0</v>
          </cell>
          <cell r="F898">
            <v>1125.4199999999937</v>
          </cell>
          <cell r="G898">
            <v>1575.59</v>
          </cell>
        </row>
        <row r="899">
          <cell r="B899">
            <v>895</v>
          </cell>
          <cell r="C899">
            <v>1727.3800000000103</v>
          </cell>
          <cell r="D899">
            <v>2418.33</v>
          </cell>
          <cell r="E899">
            <v>0</v>
          </cell>
          <cell r="F899">
            <v>1126.6799999999937</v>
          </cell>
          <cell r="G899">
            <v>1577.35</v>
          </cell>
        </row>
        <row r="900">
          <cell r="B900">
            <v>896</v>
          </cell>
          <cell r="C900">
            <v>1729.3100000000104</v>
          </cell>
          <cell r="D900">
            <v>2421.0300000000002</v>
          </cell>
          <cell r="E900">
            <v>0</v>
          </cell>
          <cell r="F900">
            <v>1127.9399999999937</v>
          </cell>
          <cell r="G900">
            <v>1579.12</v>
          </cell>
        </row>
        <row r="901">
          <cell r="B901">
            <v>897</v>
          </cell>
          <cell r="C901">
            <v>1731.2400000000105</v>
          </cell>
          <cell r="D901">
            <v>2423.7399999999998</v>
          </cell>
          <cell r="E901">
            <v>0</v>
          </cell>
          <cell r="F901">
            <v>1129.1999999999937</v>
          </cell>
          <cell r="G901">
            <v>1580.88</v>
          </cell>
        </row>
        <row r="902">
          <cell r="B902">
            <v>898</v>
          </cell>
          <cell r="C902">
            <v>1733.1700000000105</v>
          </cell>
          <cell r="D902">
            <v>2426.44</v>
          </cell>
          <cell r="E902">
            <v>0</v>
          </cell>
          <cell r="F902">
            <v>1130.4599999999937</v>
          </cell>
          <cell r="G902">
            <v>1582.64</v>
          </cell>
        </row>
        <row r="903">
          <cell r="B903">
            <v>899</v>
          </cell>
          <cell r="C903">
            <v>1735.1000000000106</v>
          </cell>
          <cell r="D903">
            <v>2429.14</v>
          </cell>
          <cell r="E903">
            <v>0</v>
          </cell>
          <cell r="F903">
            <v>1131.7199999999937</v>
          </cell>
          <cell r="G903">
            <v>1584.41</v>
          </cell>
        </row>
        <row r="904">
          <cell r="B904">
            <v>900</v>
          </cell>
          <cell r="C904">
            <v>1737.0300000000107</v>
          </cell>
          <cell r="D904">
            <v>2431.84</v>
          </cell>
          <cell r="E904">
            <v>0</v>
          </cell>
          <cell r="F904">
            <v>1132.9799999999937</v>
          </cell>
          <cell r="G904">
            <v>1586.17</v>
          </cell>
        </row>
        <row r="905">
          <cell r="B905">
            <v>901</v>
          </cell>
          <cell r="C905">
            <v>1738.9600000000107</v>
          </cell>
          <cell r="D905">
            <v>2434.54</v>
          </cell>
          <cell r="E905">
            <v>0</v>
          </cell>
          <cell r="F905">
            <v>1134.2399999999936</v>
          </cell>
          <cell r="G905">
            <v>1587.94</v>
          </cell>
        </row>
        <row r="906">
          <cell r="B906">
            <v>902</v>
          </cell>
          <cell r="C906">
            <v>1740.8900000000108</v>
          </cell>
          <cell r="D906">
            <v>2437.25</v>
          </cell>
          <cell r="E906">
            <v>0</v>
          </cell>
          <cell r="F906">
            <v>1135.4999999999936</v>
          </cell>
          <cell r="G906">
            <v>1589.7</v>
          </cell>
        </row>
        <row r="907">
          <cell r="B907">
            <v>903</v>
          </cell>
          <cell r="C907">
            <v>1742.8200000000109</v>
          </cell>
          <cell r="D907">
            <v>2439.9499999999998</v>
          </cell>
          <cell r="E907">
            <v>0</v>
          </cell>
          <cell r="F907">
            <v>1136.7599999999936</v>
          </cell>
          <cell r="G907">
            <v>1591.46</v>
          </cell>
        </row>
        <row r="908">
          <cell r="B908">
            <v>904</v>
          </cell>
          <cell r="C908">
            <v>1744.7500000000109</v>
          </cell>
          <cell r="D908">
            <v>2442.65</v>
          </cell>
          <cell r="E908">
            <v>0</v>
          </cell>
          <cell r="F908">
            <v>1138.0199999999936</v>
          </cell>
          <cell r="G908">
            <v>1593.23</v>
          </cell>
        </row>
        <row r="909">
          <cell r="B909">
            <v>905</v>
          </cell>
          <cell r="C909">
            <v>1746.680000000011</v>
          </cell>
          <cell r="D909">
            <v>2445.35</v>
          </cell>
          <cell r="E909">
            <v>0</v>
          </cell>
          <cell r="F909">
            <v>1139.2799999999936</v>
          </cell>
          <cell r="G909">
            <v>1594.99</v>
          </cell>
        </row>
        <row r="910">
          <cell r="B910">
            <v>906</v>
          </cell>
          <cell r="C910">
            <v>1748.610000000011</v>
          </cell>
          <cell r="D910">
            <v>2448.0500000000002</v>
          </cell>
          <cell r="E910">
            <v>0</v>
          </cell>
          <cell r="F910">
            <v>1140.5399999999936</v>
          </cell>
          <cell r="G910">
            <v>1596.76</v>
          </cell>
        </row>
        <row r="911">
          <cell r="B911">
            <v>907</v>
          </cell>
          <cell r="C911">
            <v>1750.5400000000111</v>
          </cell>
          <cell r="D911">
            <v>2450.7600000000002</v>
          </cell>
          <cell r="E911">
            <v>0</v>
          </cell>
          <cell r="F911">
            <v>1141.7999999999936</v>
          </cell>
          <cell r="G911">
            <v>1598.52</v>
          </cell>
        </row>
        <row r="912">
          <cell r="B912">
            <v>908</v>
          </cell>
          <cell r="C912">
            <v>1752.4700000000112</v>
          </cell>
          <cell r="D912">
            <v>2453.46</v>
          </cell>
          <cell r="E912">
            <v>0</v>
          </cell>
          <cell r="F912">
            <v>1143.0599999999936</v>
          </cell>
          <cell r="G912">
            <v>1600.28</v>
          </cell>
        </row>
        <row r="913">
          <cell r="B913">
            <v>909</v>
          </cell>
          <cell r="C913">
            <v>1754.4000000000112</v>
          </cell>
          <cell r="D913">
            <v>2456.16</v>
          </cell>
          <cell r="E913">
            <v>0</v>
          </cell>
          <cell r="F913">
            <v>1144.3199999999936</v>
          </cell>
          <cell r="G913">
            <v>1602.05</v>
          </cell>
        </row>
        <row r="914">
          <cell r="B914">
            <v>910</v>
          </cell>
          <cell r="C914">
            <v>1756.3300000000113</v>
          </cell>
          <cell r="D914">
            <v>2458.86</v>
          </cell>
          <cell r="E914">
            <v>0</v>
          </cell>
          <cell r="F914">
            <v>1145.5799999999936</v>
          </cell>
          <cell r="G914">
            <v>1603.81</v>
          </cell>
        </row>
        <row r="915">
          <cell r="B915">
            <v>911</v>
          </cell>
          <cell r="C915">
            <v>1758.2600000000114</v>
          </cell>
          <cell r="D915">
            <v>2461.56</v>
          </cell>
          <cell r="E915">
            <v>0</v>
          </cell>
          <cell r="F915">
            <v>1146.8399999999936</v>
          </cell>
          <cell r="G915">
            <v>1605.58</v>
          </cell>
        </row>
        <row r="916">
          <cell r="B916">
            <v>912</v>
          </cell>
          <cell r="C916">
            <v>1760.1900000000114</v>
          </cell>
          <cell r="D916">
            <v>2464.27</v>
          </cell>
          <cell r="E916">
            <v>0</v>
          </cell>
          <cell r="F916">
            <v>1148.0999999999935</v>
          </cell>
          <cell r="G916">
            <v>1607.34</v>
          </cell>
        </row>
        <row r="917">
          <cell r="B917">
            <v>913</v>
          </cell>
          <cell r="C917">
            <v>1762.1200000000115</v>
          </cell>
          <cell r="D917">
            <v>2466.9699999999998</v>
          </cell>
          <cell r="E917">
            <v>0</v>
          </cell>
          <cell r="F917">
            <v>1149.3599999999935</v>
          </cell>
          <cell r="G917">
            <v>1609.1</v>
          </cell>
        </row>
        <row r="918">
          <cell r="B918">
            <v>914</v>
          </cell>
          <cell r="C918">
            <v>1764.0500000000116</v>
          </cell>
          <cell r="D918">
            <v>2469.67</v>
          </cell>
          <cell r="E918">
            <v>0</v>
          </cell>
          <cell r="F918">
            <v>1150.6199999999935</v>
          </cell>
          <cell r="G918">
            <v>1610.87</v>
          </cell>
        </row>
        <row r="919">
          <cell r="B919">
            <v>915</v>
          </cell>
          <cell r="C919">
            <v>1765.9800000000116</v>
          </cell>
          <cell r="D919">
            <v>2472.37</v>
          </cell>
          <cell r="E919">
            <v>0</v>
          </cell>
          <cell r="F919">
            <v>1151.8799999999935</v>
          </cell>
          <cell r="G919">
            <v>1612.63</v>
          </cell>
        </row>
        <row r="920">
          <cell r="B920">
            <v>916</v>
          </cell>
          <cell r="C920">
            <v>1767.9100000000117</v>
          </cell>
          <cell r="D920">
            <v>2475.0700000000002</v>
          </cell>
          <cell r="E920">
            <v>0</v>
          </cell>
          <cell r="F920">
            <v>1153.1399999999935</v>
          </cell>
          <cell r="G920">
            <v>1614.4</v>
          </cell>
        </row>
        <row r="921">
          <cell r="B921">
            <v>917</v>
          </cell>
          <cell r="C921">
            <v>1769.8400000000117</v>
          </cell>
          <cell r="D921">
            <v>2477.7800000000002</v>
          </cell>
          <cell r="E921">
            <v>0</v>
          </cell>
          <cell r="F921">
            <v>1154.3999999999935</v>
          </cell>
          <cell r="G921">
            <v>1616.16</v>
          </cell>
        </row>
        <row r="922">
          <cell r="B922">
            <v>918</v>
          </cell>
          <cell r="C922">
            <v>1771.7700000000118</v>
          </cell>
          <cell r="D922">
            <v>2480.48</v>
          </cell>
          <cell r="E922">
            <v>0</v>
          </cell>
          <cell r="F922">
            <v>1155.6599999999935</v>
          </cell>
          <cell r="G922">
            <v>1617.92</v>
          </cell>
        </row>
        <row r="923">
          <cell r="B923">
            <v>919</v>
          </cell>
          <cell r="C923">
            <v>1773.7000000000119</v>
          </cell>
          <cell r="D923">
            <v>2483.1799999999998</v>
          </cell>
          <cell r="E923">
            <v>0</v>
          </cell>
          <cell r="F923">
            <v>1156.9199999999935</v>
          </cell>
          <cell r="G923">
            <v>1619.69</v>
          </cell>
        </row>
        <row r="924">
          <cell r="B924">
            <v>920</v>
          </cell>
          <cell r="C924">
            <v>1775.6300000000119</v>
          </cell>
          <cell r="D924">
            <v>2485.88</v>
          </cell>
          <cell r="E924">
            <v>0</v>
          </cell>
          <cell r="F924">
            <v>1158.1799999999935</v>
          </cell>
          <cell r="G924">
            <v>1621.45</v>
          </cell>
        </row>
        <row r="925">
          <cell r="B925">
            <v>921</v>
          </cell>
          <cell r="C925">
            <v>1777.560000000012</v>
          </cell>
          <cell r="D925">
            <v>2488.58</v>
          </cell>
          <cell r="E925">
            <v>0</v>
          </cell>
          <cell r="F925">
            <v>1159.4399999999935</v>
          </cell>
          <cell r="G925">
            <v>1623.22</v>
          </cell>
        </row>
        <row r="926">
          <cell r="B926">
            <v>922</v>
          </cell>
          <cell r="C926">
            <v>1779.4900000000121</v>
          </cell>
          <cell r="D926">
            <v>2491.29</v>
          </cell>
          <cell r="E926">
            <v>0</v>
          </cell>
          <cell r="F926">
            <v>1160.6999999999935</v>
          </cell>
          <cell r="G926">
            <v>1624.98</v>
          </cell>
        </row>
        <row r="927">
          <cell r="B927">
            <v>923</v>
          </cell>
          <cell r="C927">
            <v>1781.4200000000121</v>
          </cell>
          <cell r="D927">
            <v>2493.9899999999998</v>
          </cell>
          <cell r="E927">
            <v>0</v>
          </cell>
          <cell r="F927">
            <v>1161.9599999999934</v>
          </cell>
          <cell r="G927">
            <v>1626.74</v>
          </cell>
        </row>
        <row r="928">
          <cell r="B928">
            <v>924</v>
          </cell>
          <cell r="C928">
            <v>1783.3500000000122</v>
          </cell>
          <cell r="D928">
            <v>2496.69</v>
          </cell>
          <cell r="E928">
            <v>0</v>
          </cell>
          <cell r="F928">
            <v>1163.2199999999934</v>
          </cell>
          <cell r="G928">
            <v>1628.51</v>
          </cell>
        </row>
        <row r="929">
          <cell r="B929">
            <v>925</v>
          </cell>
          <cell r="C929">
            <v>1785.2800000000123</v>
          </cell>
          <cell r="D929">
            <v>2499.39</v>
          </cell>
          <cell r="E929">
            <v>0</v>
          </cell>
          <cell r="F929">
            <v>1164.4799999999934</v>
          </cell>
          <cell r="G929">
            <v>1630.27</v>
          </cell>
        </row>
        <row r="930">
          <cell r="B930">
            <v>926</v>
          </cell>
          <cell r="C930">
            <v>1787.2100000000123</v>
          </cell>
          <cell r="D930">
            <v>2502.09</v>
          </cell>
          <cell r="E930">
            <v>0</v>
          </cell>
          <cell r="F930">
            <v>1165.7399999999934</v>
          </cell>
          <cell r="G930">
            <v>1632.04</v>
          </cell>
        </row>
        <row r="931">
          <cell r="B931">
            <v>927</v>
          </cell>
          <cell r="C931">
            <v>1789.1400000000124</v>
          </cell>
          <cell r="D931">
            <v>2504.8000000000002</v>
          </cell>
          <cell r="E931">
            <v>0</v>
          </cell>
          <cell r="F931">
            <v>1166.9999999999934</v>
          </cell>
          <cell r="G931">
            <v>1633.8</v>
          </cell>
        </row>
        <row r="932">
          <cell r="B932">
            <v>928</v>
          </cell>
          <cell r="C932">
            <v>1791.0700000000124</v>
          </cell>
          <cell r="D932">
            <v>2507.5</v>
          </cell>
          <cell r="E932">
            <v>0</v>
          </cell>
          <cell r="F932">
            <v>1168.2599999999934</v>
          </cell>
          <cell r="G932">
            <v>1635.56</v>
          </cell>
        </row>
        <row r="933">
          <cell r="B933">
            <v>929</v>
          </cell>
          <cell r="C933">
            <v>1793.0000000000125</v>
          </cell>
          <cell r="D933">
            <v>2510.1999999999998</v>
          </cell>
          <cell r="E933">
            <v>0</v>
          </cell>
          <cell r="F933">
            <v>1169.5199999999934</v>
          </cell>
          <cell r="G933">
            <v>1637.33</v>
          </cell>
        </row>
        <row r="934">
          <cell r="B934">
            <v>930</v>
          </cell>
          <cell r="C934">
            <v>1794.9300000000126</v>
          </cell>
          <cell r="D934">
            <v>2512.9</v>
          </cell>
          <cell r="E934">
            <v>0</v>
          </cell>
          <cell r="F934">
            <v>1170.7799999999934</v>
          </cell>
          <cell r="G934">
            <v>1639.09</v>
          </cell>
        </row>
        <row r="935">
          <cell r="B935">
            <v>931</v>
          </cell>
          <cell r="C935">
            <v>1796.8600000000126</v>
          </cell>
          <cell r="D935">
            <v>2515.6</v>
          </cell>
          <cell r="E935">
            <v>0</v>
          </cell>
          <cell r="F935">
            <v>1172.0399999999934</v>
          </cell>
          <cell r="G935">
            <v>1640.86</v>
          </cell>
        </row>
        <row r="936">
          <cell r="B936">
            <v>932</v>
          </cell>
          <cell r="C936">
            <v>1798.7900000000127</v>
          </cell>
          <cell r="D936">
            <v>2518.31</v>
          </cell>
          <cell r="E936">
            <v>0</v>
          </cell>
          <cell r="F936">
            <v>1173.2999999999934</v>
          </cell>
          <cell r="G936">
            <v>1642.62</v>
          </cell>
        </row>
        <row r="937">
          <cell r="B937">
            <v>933</v>
          </cell>
          <cell r="C937">
            <v>1800.7200000000128</v>
          </cell>
          <cell r="D937">
            <v>2521.0100000000002</v>
          </cell>
          <cell r="E937">
            <v>0</v>
          </cell>
          <cell r="F937">
            <v>1174.5599999999934</v>
          </cell>
          <cell r="G937">
            <v>1644.38</v>
          </cell>
        </row>
        <row r="938">
          <cell r="B938">
            <v>934</v>
          </cell>
          <cell r="C938">
            <v>1802.6500000000128</v>
          </cell>
          <cell r="D938">
            <v>2523.71</v>
          </cell>
          <cell r="E938">
            <v>0</v>
          </cell>
          <cell r="F938">
            <v>1175.8199999999933</v>
          </cell>
          <cell r="G938">
            <v>1646.15</v>
          </cell>
        </row>
        <row r="939">
          <cell r="B939">
            <v>935</v>
          </cell>
          <cell r="C939">
            <v>1804.5800000000129</v>
          </cell>
          <cell r="D939">
            <v>2526.41</v>
          </cell>
          <cell r="E939">
            <v>0</v>
          </cell>
          <cell r="F939">
            <v>1177.0799999999933</v>
          </cell>
          <cell r="G939">
            <v>1647.91</v>
          </cell>
        </row>
        <row r="940">
          <cell r="B940">
            <v>936</v>
          </cell>
          <cell r="C940">
            <v>1806.510000000013</v>
          </cell>
          <cell r="D940">
            <v>2529.11</v>
          </cell>
          <cell r="E940">
            <v>0</v>
          </cell>
          <cell r="F940">
            <v>1178.3399999999933</v>
          </cell>
          <cell r="G940">
            <v>1649.68</v>
          </cell>
        </row>
        <row r="941">
          <cell r="B941">
            <v>937</v>
          </cell>
          <cell r="C941">
            <v>1808.440000000013</v>
          </cell>
          <cell r="D941">
            <v>2531.8200000000002</v>
          </cell>
          <cell r="E941">
            <v>0</v>
          </cell>
          <cell r="F941">
            <v>1179.5999999999933</v>
          </cell>
          <cell r="G941">
            <v>1651.44</v>
          </cell>
        </row>
        <row r="942">
          <cell r="B942">
            <v>938</v>
          </cell>
          <cell r="C942">
            <v>1810.3700000000131</v>
          </cell>
          <cell r="D942">
            <v>2534.52</v>
          </cell>
          <cell r="E942">
            <v>0</v>
          </cell>
          <cell r="F942">
            <v>1180.8599999999933</v>
          </cell>
          <cell r="G942">
            <v>1653.2</v>
          </cell>
        </row>
        <row r="943">
          <cell r="B943">
            <v>939</v>
          </cell>
          <cell r="C943">
            <v>1812.3000000000131</v>
          </cell>
          <cell r="D943">
            <v>2537.2199999999998</v>
          </cell>
          <cell r="E943">
            <v>0</v>
          </cell>
          <cell r="F943">
            <v>1182.1199999999933</v>
          </cell>
          <cell r="G943">
            <v>1654.97</v>
          </cell>
        </row>
        <row r="944">
          <cell r="B944">
            <v>940</v>
          </cell>
          <cell r="C944">
            <v>1814.2300000000132</v>
          </cell>
          <cell r="D944">
            <v>2539.92</v>
          </cell>
          <cell r="E944">
            <v>0</v>
          </cell>
          <cell r="F944">
            <v>1183.3799999999933</v>
          </cell>
          <cell r="G944">
            <v>1656.73</v>
          </cell>
        </row>
        <row r="945">
          <cell r="B945">
            <v>941</v>
          </cell>
          <cell r="C945">
            <v>1816.1600000000133</v>
          </cell>
          <cell r="D945">
            <v>2542.62</v>
          </cell>
          <cell r="E945">
            <v>0</v>
          </cell>
          <cell r="F945">
            <v>1184.6399999999933</v>
          </cell>
          <cell r="G945">
            <v>1658.5</v>
          </cell>
        </row>
        <row r="946">
          <cell r="B946">
            <v>942</v>
          </cell>
          <cell r="C946">
            <v>1818.0900000000133</v>
          </cell>
          <cell r="D946">
            <v>2545.33</v>
          </cell>
          <cell r="E946">
            <v>0</v>
          </cell>
          <cell r="F946">
            <v>1185.8999999999933</v>
          </cell>
          <cell r="G946">
            <v>1660.26</v>
          </cell>
        </row>
        <row r="947">
          <cell r="B947">
            <v>943</v>
          </cell>
          <cell r="C947">
            <v>1820.0200000000134</v>
          </cell>
          <cell r="D947">
            <v>2548.0300000000002</v>
          </cell>
          <cell r="E947">
            <v>0</v>
          </cell>
          <cell r="F947">
            <v>1187.1599999999933</v>
          </cell>
          <cell r="G947">
            <v>1662.02</v>
          </cell>
        </row>
        <row r="948">
          <cell r="B948">
            <v>944</v>
          </cell>
          <cell r="C948">
            <v>1821.9500000000135</v>
          </cell>
          <cell r="D948">
            <v>2550.73</v>
          </cell>
          <cell r="E948">
            <v>0</v>
          </cell>
          <cell r="F948">
            <v>1188.4199999999933</v>
          </cell>
          <cell r="G948">
            <v>1663.79</v>
          </cell>
        </row>
        <row r="949">
          <cell r="B949">
            <v>945</v>
          </cell>
          <cell r="C949">
            <v>1823.8800000000135</v>
          </cell>
          <cell r="D949">
            <v>2553.4299999999998</v>
          </cell>
          <cell r="E949">
            <v>0</v>
          </cell>
          <cell r="F949">
            <v>1189.6799999999932</v>
          </cell>
          <cell r="G949">
            <v>1665.55</v>
          </cell>
        </row>
        <row r="950">
          <cell r="B950">
            <v>946</v>
          </cell>
          <cell r="C950">
            <v>1825.8100000000136</v>
          </cell>
          <cell r="D950">
            <v>2556.13</v>
          </cell>
          <cell r="E950">
            <v>0</v>
          </cell>
          <cell r="F950">
            <v>1190.9399999999932</v>
          </cell>
          <cell r="G950">
            <v>1667.32</v>
          </cell>
        </row>
        <row r="951">
          <cell r="B951">
            <v>947</v>
          </cell>
          <cell r="C951">
            <v>1827.7400000000137</v>
          </cell>
          <cell r="D951">
            <v>2558.84</v>
          </cell>
          <cell r="E951">
            <v>0</v>
          </cell>
          <cell r="F951">
            <v>1192.1999999999932</v>
          </cell>
          <cell r="G951">
            <v>1669.08</v>
          </cell>
        </row>
        <row r="952">
          <cell r="B952">
            <v>948</v>
          </cell>
          <cell r="C952">
            <v>1829.6700000000137</v>
          </cell>
          <cell r="D952">
            <v>2561.54</v>
          </cell>
          <cell r="E952">
            <v>0</v>
          </cell>
          <cell r="F952">
            <v>1193.4599999999932</v>
          </cell>
          <cell r="G952">
            <v>1670.84</v>
          </cell>
        </row>
        <row r="953">
          <cell r="B953">
            <v>949</v>
          </cell>
          <cell r="C953">
            <v>1831.6000000000138</v>
          </cell>
          <cell r="D953">
            <v>2564.2399999999998</v>
          </cell>
          <cell r="E953">
            <v>0</v>
          </cell>
          <cell r="F953">
            <v>1194.7199999999932</v>
          </cell>
          <cell r="G953">
            <v>1672.61</v>
          </cell>
        </row>
        <row r="954">
          <cell r="B954">
            <v>950</v>
          </cell>
          <cell r="C954">
            <v>1833.5300000000138</v>
          </cell>
          <cell r="D954">
            <v>2566.94</v>
          </cell>
          <cell r="E954">
            <v>0</v>
          </cell>
          <cell r="F954">
            <v>1195.9799999999932</v>
          </cell>
          <cell r="G954">
            <v>1674.37</v>
          </cell>
        </row>
        <row r="955">
          <cell r="B955">
            <v>951</v>
          </cell>
          <cell r="C955">
            <v>1835.4600000000139</v>
          </cell>
          <cell r="D955">
            <v>2569.64</v>
          </cell>
          <cell r="E955">
            <v>0</v>
          </cell>
          <cell r="F955">
            <v>1197.2399999999932</v>
          </cell>
          <cell r="G955">
            <v>1676.14</v>
          </cell>
        </row>
        <row r="956">
          <cell r="B956">
            <v>952</v>
          </cell>
          <cell r="C956">
            <v>1837.390000000014</v>
          </cell>
          <cell r="D956">
            <v>2572.35</v>
          </cell>
          <cell r="E956">
            <v>0</v>
          </cell>
          <cell r="F956">
            <v>1198.4999999999932</v>
          </cell>
          <cell r="G956">
            <v>1677.9</v>
          </cell>
        </row>
        <row r="957">
          <cell r="B957">
            <v>953</v>
          </cell>
          <cell r="C957">
            <v>1839.320000000014</v>
          </cell>
          <cell r="D957">
            <v>2575.0500000000002</v>
          </cell>
          <cell r="E957">
            <v>0</v>
          </cell>
          <cell r="F957">
            <v>1199.7599999999932</v>
          </cell>
          <cell r="G957">
            <v>1679.66</v>
          </cell>
        </row>
        <row r="958">
          <cell r="B958">
            <v>954</v>
          </cell>
          <cell r="C958">
            <v>1841.2500000000141</v>
          </cell>
          <cell r="D958">
            <v>2577.75</v>
          </cell>
          <cell r="E958">
            <v>0</v>
          </cell>
          <cell r="F958">
            <v>1201.0199999999932</v>
          </cell>
          <cell r="G958">
            <v>1681.43</v>
          </cell>
        </row>
        <row r="959">
          <cell r="B959">
            <v>955</v>
          </cell>
          <cell r="C959">
            <v>1843.1800000000142</v>
          </cell>
          <cell r="D959">
            <v>2580.4499999999998</v>
          </cell>
          <cell r="E959">
            <v>0</v>
          </cell>
          <cell r="F959">
            <v>1202.2799999999932</v>
          </cell>
          <cell r="G959">
            <v>1683.19</v>
          </cell>
        </row>
        <row r="960">
          <cell r="B960">
            <v>956</v>
          </cell>
          <cell r="C960">
            <v>1845.1100000000142</v>
          </cell>
          <cell r="D960">
            <v>2583.15</v>
          </cell>
          <cell r="E960">
            <v>0</v>
          </cell>
          <cell r="F960">
            <v>1203.5399999999931</v>
          </cell>
          <cell r="G960">
            <v>1684.96</v>
          </cell>
        </row>
        <row r="961">
          <cell r="B961">
            <v>957</v>
          </cell>
          <cell r="C961">
            <v>1847.0400000000143</v>
          </cell>
          <cell r="D961">
            <v>2585.86</v>
          </cell>
          <cell r="E961">
            <v>0</v>
          </cell>
          <cell r="F961">
            <v>1204.7999999999931</v>
          </cell>
          <cell r="G961">
            <v>1686.72</v>
          </cell>
        </row>
        <row r="962">
          <cell r="B962">
            <v>958</v>
          </cell>
          <cell r="C962">
            <v>1848.9700000000144</v>
          </cell>
          <cell r="D962">
            <v>2588.56</v>
          </cell>
          <cell r="E962">
            <v>0</v>
          </cell>
          <cell r="F962">
            <v>1206.0599999999931</v>
          </cell>
          <cell r="G962">
            <v>1688.48</v>
          </cell>
        </row>
        <row r="963">
          <cell r="B963">
            <v>959</v>
          </cell>
          <cell r="C963">
            <v>1850.9000000000144</v>
          </cell>
          <cell r="D963">
            <v>2591.2600000000002</v>
          </cell>
          <cell r="E963">
            <v>0</v>
          </cell>
          <cell r="F963">
            <v>1207.3199999999931</v>
          </cell>
          <cell r="G963">
            <v>1690.25</v>
          </cell>
        </row>
        <row r="964">
          <cell r="B964">
            <v>960</v>
          </cell>
          <cell r="C964">
            <v>1852.8300000000145</v>
          </cell>
          <cell r="D964">
            <v>2593.96</v>
          </cell>
          <cell r="E964">
            <v>0</v>
          </cell>
          <cell r="F964">
            <v>1208.5799999999931</v>
          </cell>
          <cell r="G964">
            <v>1692.01</v>
          </cell>
        </row>
        <row r="965">
          <cell r="B965">
            <v>961</v>
          </cell>
          <cell r="C965">
            <v>1854.7600000000145</v>
          </cell>
          <cell r="D965">
            <v>2596.66</v>
          </cell>
          <cell r="E965">
            <v>0</v>
          </cell>
          <cell r="F965">
            <v>1209.8399999999931</v>
          </cell>
          <cell r="G965">
            <v>1693.78</v>
          </cell>
        </row>
        <row r="966">
          <cell r="B966">
            <v>962</v>
          </cell>
          <cell r="C966">
            <v>1856.6900000000146</v>
          </cell>
          <cell r="D966">
            <v>2599.37</v>
          </cell>
          <cell r="E966">
            <v>0</v>
          </cell>
          <cell r="F966">
            <v>1211.0999999999931</v>
          </cell>
          <cell r="G966">
            <v>1695.54</v>
          </cell>
        </row>
        <row r="967">
          <cell r="B967">
            <v>963</v>
          </cell>
          <cell r="C967">
            <v>1858.6200000000147</v>
          </cell>
          <cell r="D967">
            <v>2602.0700000000002</v>
          </cell>
          <cell r="E967">
            <v>0</v>
          </cell>
          <cell r="F967">
            <v>1212.3599999999931</v>
          </cell>
          <cell r="G967">
            <v>1697.3</v>
          </cell>
        </row>
        <row r="968">
          <cell r="B968">
            <v>964</v>
          </cell>
          <cell r="C968">
            <v>1860.5500000000147</v>
          </cell>
          <cell r="D968">
            <v>2604.77</v>
          </cell>
          <cell r="E968">
            <v>0</v>
          </cell>
          <cell r="F968">
            <v>1213.6199999999931</v>
          </cell>
          <cell r="G968">
            <v>1699.07</v>
          </cell>
        </row>
        <row r="969">
          <cell r="B969">
            <v>965</v>
          </cell>
          <cell r="C969">
            <v>1862.4800000000148</v>
          </cell>
          <cell r="D969">
            <v>2607.4699999999998</v>
          </cell>
          <cell r="E969">
            <v>0</v>
          </cell>
          <cell r="F969">
            <v>1214.8799999999931</v>
          </cell>
          <cell r="G969">
            <v>1700.83</v>
          </cell>
        </row>
        <row r="970">
          <cell r="B970">
            <v>966</v>
          </cell>
          <cell r="C970">
            <v>1864.4100000000149</v>
          </cell>
          <cell r="D970">
            <v>2610.17</v>
          </cell>
          <cell r="E970">
            <v>0</v>
          </cell>
          <cell r="F970">
            <v>1216.1399999999931</v>
          </cell>
          <cell r="G970">
            <v>1702.6</v>
          </cell>
        </row>
        <row r="971">
          <cell r="B971">
            <v>967</v>
          </cell>
          <cell r="C971">
            <v>1866.3400000000149</v>
          </cell>
          <cell r="D971">
            <v>2612.88</v>
          </cell>
          <cell r="E971">
            <v>0</v>
          </cell>
          <cell r="F971">
            <v>1217.399999999993</v>
          </cell>
          <cell r="G971">
            <v>1704.36</v>
          </cell>
        </row>
        <row r="972">
          <cell r="B972">
            <v>968</v>
          </cell>
          <cell r="C972">
            <v>1868.270000000015</v>
          </cell>
          <cell r="D972">
            <v>2615.58</v>
          </cell>
          <cell r="E972">
            <v>0</v>
          </cell>
          <cell r="F972">
            <v>1218.659999999993</v>
          </cell>
          <cell r="G972">
            <v>1706.12</v>
          </cell>
        </row>
        <row r="973">
          <cell r="B973">
            <v>969</v>
          </cell>
          <cell r="C973">
            <v>1870.2000000000151</v>
          </cell>
          <cell r="D973">
            <v>2618.2800000000002</v>
          </cell>
          <cell r="E973">
            <v>0</v>
          </cell>
          <cell r="F973">
            <v>1219.919999999993</v>
          </cell>
          <cell r="G973">
            <v>1707.89</v>
          </cell>
        </row>
        <row r="974">
          <cell r="B974">
            <v>970</v>
          </cell>
          <cell r="C974">
            <v>1872.1300000000151</v>
          </cell>
          <cell r="D974">
            <v>2620.98</v>
          </cell>
          <cell r="E974">
            <v>0</v>
          </cell>
          <cell r="F974">
            <v>1221.179999999993</v>
          </cell>
          <cell r="G974">
            <v>1709.65</v>
          </cell>
        </row>
        <row r="975">
          <cell r="B975">
            <v>971</v>
          </cell>
          <cell r="C975">
            <v>1874.0600000000152</v>
          </cell>
          <cell r="D975">
            <v>2623.68</v>
          </cell>
          <cell r="E975">
            <v>0</v>
          </cell>
          <cell r="F975">
            <v>1222.439999999993</v>
          </cell>
          <cell r="G975">
            <v>1711.42</v>
          </cell>
        </row>
        <row r="976">
          <cell r="B976">
            <v>972</v>
          </cell>
          <cell r="C976">
            <v>1875.9900000000152</v>
          </cell>
          <cell r="D976">
            <v>2626.39</v>
          </cell>
          <cell r="E976">
            <v>0</v>
          </cell>
          <cell r="F976">
            <v>1223.699999999993</v>
          </cell>
          <cell r="G976">
            <v>1713.18</v>
          </cell>
        </row>
        <row r="977">
          <cell r="B977">
            <v>973</v>
          </cell>
          <cell r="C977">
            <v>1877.9200000000153</v>
          </cell>
          <cell r="D977">
            <v>2629.09</v>
          </cell>
          <cell r="E977">
            <v>0</v>
          </cell>
          <cell r="F977">
            <v>1224.959999999993</v>
          </cell>
          <cell r="G977">
            <v>1714.94</v>
          </cell>
        </row>
        <row r="978">
          <cell r="B978">
            <v>974</v>
          </cell>
          <cell r="C978">
            <v>1879.8500000000154</v>
          </cell>
          <cell r="D978">
            <v>2631.79</v>
          </cell>
          <cell r="E978">
            <v>0</v>
          </cell>
          <cell r="F978">
            <v>1226.219999999993</v>
          </cell>
          <cell r="G978">
            <v>1716.71</v>
          </cell>
        </row>
        <row r="979">
          <cell r="B979">
            <v>975</v>
          </cell>
          <cell r="C979">
            <v>1881.7800000000154</v>
          </cell>
          <cell r="D979">
            <v>2634.49</v>
          </cell>
          <cell r="E979">
            <v>0</v>
          </cell>
          <cell r="F979">
            <v>1227.479999999993</v>
          </cell>
          <cell r="G979">
            <v>1718.47</v>
          </cell>
        </row>
        <row r="980">
          <cell r="B980">
            <v>976</v>
          </cell>
          <cell r="C980">
            <v>1883.7100000000155</v>
          </cell>
          <cell r="D980">
            <v>2637.19</v>
          </cell>
          <cell r="E980">
            <v>0</v>
          </cell>
          <cell r="F980">
            <v>1228.739999999993</v>
          </cell>
          <cell r="G980">
            <v>1720.24</v>
          </cell>
        </row>
        <row r="981">
          <cell r="B981">
            <v>977</v>
          </cell>
          <cell r="C981">
            <v>1885.6400000000156</v>
          </cell>
          <cell r="D981">
            <v>2639.9</v>
          </cell>
          <cell r="E981">
            <v>0</v>
          </cell>
          <cell r="F981">
            <v>1229.999999999993</v>
          </cell>
          <cell r="G981">
            <v>1722</v>
          </cell>
        </row>
        <row r="982">
          <cell r="B982">
            <v>978</v>
          </cell>
          <cell r="C982">
            <v>1887.5700000000156</v>
          </cell>
          <cell r="D982">
            <v>2642.6</v>
          </cell>
          <cell r="E982">
            <v>0</v>
          </cell>
          <cell r="F982">
            <v>1231.2599999999929</v>
          </cell>
          <cell r="G982">
            <v>1723.76</v>
          </cell>
        </row>
        <row r="983">
          <cell r="B983">
            <v>979</v>
          </cell>
          <cell r="C983">
            <v>1889.5000000000157</v>
          </cell>
          <cell r="D983">
            <v>2645.3</v>
          </cell>
          <cell r="E983">
            <v>0</v>
          </cell>
          <cell r="F983">
            <v>1232.5199999999929</v>
          </cell>
          <cell r="G983">
            <v>1725.53</v>
          </cell>
        </row>
        <row r="984">
          <cell r="B984">
            <v>980</v>
          </cell>
          <cell r="C984">
            <v>1891.4300000000158</v>
          </cell>
          <cell r="D984">
            <v>2648</v>
          </cell>
          <cell r="E984">
            <v>0</v>
          </cell>
          <cell r="F984">
            <v>1233.7799999999929</v>
          </cell>
          <cell r="G984">
            <v>1727.29</v>
          </cell>
        </row>
        <row r="985">
          <cell r="B985">
            <v>981</v>
          </cell>
          <cell r="C985">
            <v>1893.3600000000158</v>
          </cell>
          <cell r="D985">
            <v>2650.7</v>
          </cell>
          <cell r="E985">
            <v>0</v>
          </cell>
          <cell r="F985">
            <v>1235.0399999999929</v>
          </cell>
          <cell r="G985">
            <v>1729.06</v>
          </cell>
        </row>
        <row r="986">
          <cell r="B986">
            <v>982</v>
          </cell>
          <cell r="C986">
            <v>1895.2900000000159</v>
          </cell>
          <cell r="D986">
            <v>2653.41</v>
          </cell>
          <cell r="E986">
            <v>0</v>
          </cell>
          <cell r="F986">
            <v>1236.2999999999929</v>
          </cell>
          <cell r="G986">
            <v>1730.82</v>
          </cell>
        </row>
        <row r="987">
          <cell r="B987">
            <v>983</v>
          </cell>
          <cell r="C987">
            <v>1897.2200000000159</v>
          </cell>
          <cell r="D987">
            <v>2656.11</v>
          </cell>
          <cell r="E987">
            <v>0</v>
          </cell>
          <cell r="F987">
            <v>1237.5599999999929</v>
          </cell>
          <cell r="G987">
            <v>1732.58</v>
          </cell>
        </row>
        <row r="988">
          <cell r="B988">
            <v>984</v>
          </cell>
          <cell r="C988">
            <v>1899.150000000016</v>
          </cell>
          <cell r="D988">
            <v>2658.81</v>
          </cell>
          <cell r="E988">
            <v>0</v>
          </cell>
          <cell r="F988">
            <v>1238.8199999999929</v>
          </cell>
          <cell r="G988">
            <v>1734.35</v>
          </cell>
        </row>
        <row r="989">
          <cell r="B989">
            <v>985</v>
          </cell>
          <cell r="C989">
            <v>1901.0800000000161</v>
          </cell>
          <cell r="D989">
            <v>2661.51</v>
          </cell>
          <cell r="E989">
            <v>0</v>
          </cell>
          <cell r="F989">
            <v>1240.0799999999929</v>
          </cell>
          <cell r="G989">
            <v>1736.11</v>
          </cell>
        </row>
        <row r="990">
          <cell r="B990">
            <v>986</v>
          </cell>
          <cell r="C990">
            <v>1903.0100000000161</v>
          </cell>
          <cell r="D990">
            <v>2664.21</v>
          </cell>
          <cell r="E990">
            <v>0</v>
          </cell>
          <cell r="F990">
            <v>1241.3399999999929</v>
          </cell>
          <cell r="G990">
            <v>1737.88</v>
          </cell>
        </row>
        <row r="991">
          <cell r="B991">
            <v>987</v>
          </cell>
          <cell r="C991">
            <v>1904.9400000000162</v>
          </cell>
          <cell r="D991">
            <v>2666.92</v>
          </cell>
          <cell r="E991">
            <v>0</v>
          </cell>
          <cell r="F991">
            <v>1242.5999999999929</v>
          </cell>
          <cell r="G991">
            <v>1739.64</v>
          </cell>
        </row>
        <row r="992">
          <cell r="B992">
            <v>988</v>
          </cell>
          <cell r="C992">
            <v>1906.8700000000163</v>
          </cell>
          <cell r="D992">
            <v>2669.62</v>
          </cell>
          <cell r="E992">
            <v>0</v>
          </cell>
          <cell r="F992">
            <v>1243.8599999999929</v>
          </cell>
          <cell r="G992">
            <v>1741.4</v>
          </cell>
        </row>
        <row r="993">
          <cell r="B993">
            <v>989</v>
          </cell>
          <cell r="C993">
            <v>1908.8000000000163</v>
          </cell>
          <cell r="D993">
            <v>2672.32</v>
          </cell>
          <cell r="E993">
            <v>0</v>
          </cell>
          <cell r="F993">
            <v>1245.1199999999928</v>
          </cell>
          <cell r="G993">
            <v>1743.17</v>
          </cell>
        </row>
        <row r="994">
          <cell r="B994">
            <v>990</v>
          </cell>
          <cell r="C994">
            <v>1910.7300000000164</v>
          </cell>
          <cell r="D994">
            <v>2675.02</v>
          </cell>
          <cell r="E994">
            <v>0</v>
          </cell>
          <cell r="F994">
            <v>1246.3799999999928</v>
          </cell>
          <cell r="G994">
            <v>1744.93</v>
          </cell>
        </row>
        <row r="995">
          <cell r="B995">
            <v>991</v>
          </cell>
          <cell r="C995">
            <v>1912.6600000000165</v>
          </cell>
          <cell r="D995">
            <v>2677.72</v>
          </cell>
          <cell r="E995">
            <v>0</v>
          </cell>
          <cell r="F995">
            <v>1247.6399999999928</v>
          </cell>
          <cell r="G995">
            <v>1746.7</v>
          </cell>
        </row>
        <row r="996">
          <cell r="B996">
            <v>992</v>
          </cell>
          <cell r="C996">
            <v>1914.5900000000165</v>
          </cell>
          <cell r="D996">
            <v>2680.43</v>
          </cell>
          <cell r="E996">
            <v>0</v>
          </cell>
          <cell r="F996">
            <v>1248.8999999999928</v>
          </cell>
          <cell r="G996">
            <v>1748.46</v>
          </cell>
        </row>
        <row r="997">
          <cell r="B997">
            <v>993</v>
          </cell>
          <cell r="C997">
            <v>1916.5200000000166</v>
          </cell>
          <cell r="D997">
            <v>2683.13</v>
          </cell>
          <cell r="E997">
            <v>0</v>
          </cell>
          <cell r="F997">
            <v>1250.1599999999928</v>
          </cell>
          <cell r="G997">
            <v>1750.22</v>
          </cell>
        </row>
        <row r="998">
          <cell r="B998">
            <v>994</v>
          </cell>
          <cell r="C998">
            <v>1918.4500000000166</v>
          </cell>
          <cell r="D998">
            <v>2685.83</v>
          </cell>
          <cell r="E998">
            <v>0</v>
          </cell>
          <cell r="F998">
            <v>1251.4199999999928</v>
          </cell>
          <cell r="G998">
            <v>1751.99</v>
          </cell>
        </row>
        <row r="999">
          <cell r="B999">
            <v>995</v>
          </cell>
          <cell r="C999">
            <v>1920.3800000000167</v>
          </cell>
          <cell r="D999">
            <v>2688.53</v>
          </cell>
          <cell r="E999">
            <v>0</v>
          </cell>
          <cell r="F999">
            <v>1252.6799999999928</v>
          </cell>
          <cell r="G999">
            <v>1753.75</v>
          </cell>
        </row>
        <row r="1000">
          <cell r="B1000">
            <v>996</v>
          </cell>
          <cell r="C1000">
            <v>1922.3100000000168</v>
          </cell>
          <cell r="D1000">
            <v>2691.23</v>
          </cell>
          <cell r="E1000">
            <v>0</v>
          </cell>
          <cell r="F1000">
            <v>1253.9399999999928</v>
          </cell>
          <cell r="G1000">
            <v>1755.52</v>
          </cell>
        </row>
        <row r="1001">
          <cell r="B1001">
            <v>997</v>
          </cell>
          <cell r="C1001">
            <v>1924.2400000000168</v>
          </cell>
          <cell r="D1001">
            <v>2693.94</v>
          </cell>
          <cell r="E1001">
            <v>0</v>
          </cell>
          <cell r="F1001">
            <v>1255.1999999999928</v>
          </cell>
          <cell r="G1001">
            <v>1757.28</v>
          </cell>
        </row>
        <row r="1002">
          <cell r="B1002">
            <v>998</v>
          </cell>
          <cell r="C1002">
            <v>1926.1700000000169</v>
          </cell>
          <cell r="D1002">
            <v>2696.64</v>
          </cell>
          <cell r="E1002">
            <v>0</v>
          </cell>
          <cell r="F1002">
            <v>1256.4599999999928</v>
          </cell>
          <cell r="G1002">
            <v>1759.04</v>
          </cell>
        </row>
        <row r="1003">
          <cell r="B1003">
            <v>999</v>
          </cell>
          <cell r="C1003">
            <v>1928.100000000017</v>
          </cell>
          <cell r="D1003">
            <v>2699.34</v>
          </cell>
          <cell r="E1003">
            <v>0</v>
          </cell>
          <cell r="F1003">
            <v>1257.7199999999928</v>
          </cell>
          <cell r="G1003">
            <v>1760.81</v>
          </cell>
        </row>
        <row r="1004">
          <cell r="B1004">
            <v>1000</v>
          </cell>
          <cell r="C1004">
            <v>1930.030000000017</v>
          </cell>
          <cell r="D1004">
            <v>2702.04</v>
          </cell>
          <cell r="E1004">
            <v>0</v>
          </cell>
          <cell r="F1004">
            <v>1258.9799999999927</v>
          </cell>
          <cell r="G1004">
            <v>1762.57</v>
          </cell>
        </row>
        <row r="1005"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B1006">
            <v>0</v>
          </cell>
          <cell r="C1006" t="str">
            <v>1.93</v>
          </cell>
          <cell r="D1006">
            <v>0</v>
          </cell>
          <cell r="E1006">
            <v>0</v>
          </cell>
          <cell r="F1006" t="str">
            <v>1.26</v>
          </cell>
          <cell r="G1006">
            <v>0</v>
          </cell>
        </row>
      </sheetData>
      <sheetData sheetId="100" refreshError="1"/>
      <sheetData sheetId="101" refreshError="1">
        <row r="5">
          <cell r="I5">
            <v>0</v>
          </cell>
        </row>
      </sheetData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อกข้อมูล"/>
      <sheetName val="กรอกราคาวัสดุ"/>
      <sheetName val="งานกำแพงปากท่อ"/>
      <sheetName val="ค่างานต้นทุน"/>
      <sheetName val="ปร.5 road"/>
      <sheetName val="ปร.4 road"/>
      <sheetName val="ปร.4 box2"/>
      <sheetName val="แผนที่ขนส่ง1"/>
      <sheetName val="บัญชี"/>
      <sheetName val="สรุปงวดงาน"/>
      <sheetName val="งวดเงิน%"/>
      <sheetName val="ต่อรอง"/>
      <sheetName val="สรุปงวดงาน (2)"/>
      <sheetName val="รายการ"/>
      <sheetName val="Oil"/>
      <sheetName val="รายระบายน้ำ-2"/>
      <sheetName val="ข้อมูลคำนวณ"/>
      <sheetName val="ค่างานต้นทุนสะพาน"/>
      <sheetName val="F(Bridge)"/>
      <sheetName val="อำนวยการ(Bridge)"/>
      <sheetName val="ดอกเบี้ย(Bridge)"/>
      <sheetName val="ดอกเบี้ย(Road)"/>
      <sheetName val="ปริมาณดิน"/>
      <sheetName val="งานดิน"/>
      <sheetName val="(F Road)"/>
      <sheetName val="งวดเงิน% (2)"/>
      <sheetName val="งวดเงิน"/>
      <sheetName val="ราคาป้าย"/>
      <sheetName val="ข้อมูลดิบ"/>
      <sheetName val="ค่าเสื่อมราคา"/>
      <sheetName val="ข้อมูลสะพาน"/>
      <sheetName val="ปร.5 ท่อลอดเหลี่ยม"/>
      <sheetName val="ปร.4 box3"/>
      <sheetName val="ปร.5 รางระบายน้ำ"/>
      <sheetName val="รางระบายน้ำ"/>
      <sheetName val="บ่อพัก"/>
      <sheetName val="ท่อระบายน้ำ"/>
      <sheetName val="กำแพงปากท่อ"/>
      <sheetName val="ป้ายจราจร"/>
      <sheetName val="Winฯ-ทางเชื่อม "/>
      <sheetName val="อำนวยการ(Road)"/>
      <sheetName val="ขนาด ท่อ"/>
      <sheetName val="Sheet1"/>
      <sheetName val="Sheet2"/>
    </sheetNames>
    <sheetDataSet>
      <sheetData sheetId="0" refreshError="1"/>
      <sheetData sheetId="1"/>
      <sheetData sheetId="2" refreshError="1"/>
      <sheetData sheetId="3">
        <row r="208">
          <cell r="I208">
            <v>1</v>
          </cell>
        </row>
        <row r="210">
          <cell r="I210">
            <v>7.41</v>
          </cell>
        </row>
        <row r="211">
          <cell r="I211">
            <v>7.41</v>
          </cell>
        </row>
        <row r="295">
          <cell r="I295">
            <v>1234.77</v>
          </cell>
        </row>
      </sheetData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B5">
            <v>1</v>
          </cell>
          <cell r="C5" t="str">
            <v>5.29</v>
          </cell>
          <cell r="D5">
            <v>7.41</v>
          </cell>
          <cell r="F5" t="str">
            <v>3.14</v>
          </cell>
          <cell r="G5">
            <v>4.4000000000000004</v>
          </cell>
        </row>
        <row r="6">
          <cell r="B6">
            <v>2</v>
          </cell>
          <cell r="C6" t="str">
            <v>6.89</v>
          </cell>
          <cell r="D6">
            <v>9.65</v>
          </cell>
          <cell r="F6" t="str">
            <v>4.34</v>
          </cell>
          <cell r="G6">
            <v>6.08</v>
          </cell>
        </row>
        <row r="7">
          <cell r="B7">
            <v>3</v>
          </cell>
          <cell r="C7" t="str">
            <v>8.5</v>
          </cell>
          <cell r="D7">
            <v>11.9</v>
          </cell>
          <cell r="F7" t="str">
            <v>5.53</v>
          </cell>
          <cell r="G7">
            <v>7.74</v>
          </cell>
        </row>
        <row r="8">
          <cell r="B8">
            <v>4</v>
          </cell>
          <cell r="C8" t="str">
            <v>10.1</v>
          </cell>
          <cell r="D8">
            <v>14.14</v>
          </cell>
          <cell r="F8" t="str">
            <v>6.73</v>
          </cell>
          <cell r="G8">
            <v>9.42</v>
          </cell>
        </row>
        <row r="9">
          <cell r="B9">
            <v>5</v>
          </cell>
          <cell r="C9" t="str">
            <v>11.71</v>
          </cell>
          <cell r="D9">
            <v>16.39</v>
          </cell>
          <cell r="F9" t="str">
            <v>7.93</v>
          </cell>
          <cell r="G9">
            <v>11.1</v>
          </cell>
        </row>
        <row r="10">
          <cell r="B10">
            <v>6</v>
          </cell>
          <cell r="C10" t="str">
            <v>13.31</v>
          </cell>
          <cell r="D10">
            <v>18.63</v>
          </cell>
          <cell r="F10" t="str">
            <v>9.12</v>
          </cell>
          <cell r="G10">
            <v>12.77</v>
          </cell>
        </row>
        <row r="11">
          <cell r="B11">
            <v>7</v>
          </cell>
          <cell r="C11" t="str">
            <v>14.92</v>
          </cell>
          <cell r="D11">
            <v>20.89</v>
          </cell>
          <cell r="F11" t="str">
            <v>10.32</v>
          </cell>
          <cell r="G11">
            <v>14.45</v>
          </cell>
        </row>
        <row r="12">
          <cell r="B12">
            <v>8</v>
          </cell>
          <cell r="C12" t="str">
            <v>16.66</v>
          </cell>
          <cell r="D12">
            <v>23.32</v>
          </cell>
          <cell r="F12" t="str">
            <v>11.52</v>
          </cell>
          <cell r="G12">
            <v>16.13</v>
          </cell>
        </row>
        <row r="13">
          <cell r="B13">
            <v>9</v>
          </cell>
          <cell r="C13" t="str">
            <v>18.65</v>
          </cell>
          <cell r="D13">
            <v>26.11</v>
          </cell>
          <cell r="F13" t="str">
            <v>12.71</v>
          </cell>
          <cell r="G13">
            <v>17.79</v>
          </cell>
        </row>
        <row r="14">
          <cell r="B14">
            <v>10</v>
          </cell>
          <cell r="C14" t="str">
            <v>20.64</v>
          </cell>
          <cell r="D14">
            <v>28.9</v>
          </cell>
          <cell r="F14" t="str">
            <v>13.91</v>
          </cell>
          <cell r="G14">
            <v>19.47</v>
          </cell>
        </row>
        <row r="15">
          <cell r="B15">
            <v>11</v>
          </cell>
          <cell r="C15" t="str">
            <v>22.63</v>
          </cell>
          <cell r="D15">
            <v>31.68</v>
          </cell>
          <cell r="F15" t="str">
            <v>15.11</v>
          </cell>
          <cell r="G15">
            <v>21.15</v>
          </cell>
        </row>
        <row r="16">
          <cell r="B16">
            <v>12</v>
          </cell>
          <cell r="C16" t="str">
            <v>24.62</v>
          </cell>
          <cell r="D16">
            <v>34.47</v>
          </cell>
          <cell r="F16" t="str">
            <v>16.3</v>
          </cell>
          <cell r="G16">
            <v>22.82</v>
          </cell>
        </row>
        <row r="17">
          <cell r="B17">
            <v>13</v>
          </cell>
          <cell r="C17" t="str">
            <v>26.61</v>
          </cell>
          <cell r="D17">
            <v>37.25</v>
          </cell>
          <cell r="F17" t="str">
            <v>17.5</v>
          </cell>
          <cell r="G17">
            <v>24.5</v>
          </cell>
        </row>
        <row r="18">
          <cell r="B18">
            <v>14</v>
          </cell>
          <cell r="C18" t="str">
            <v>28.6</v>
          </cell>
          <cell r="D18">
            <v>40.04</v>
          </cell>
          <cell r="F18" t="str">
            <v>18.7</v>
          </cell>
          <cell r="G18">
            <v>26.18</v>
          </cell>
        </row>
        <row r="19">
          <cell r="B19">
            <v>15</v>
          </cell>
          <cell r="C19" t="str">
            <v>30.59</v>
          </cell>
          <cell r="D19">
            <v>42.83</v>
          </cell>
          <cell r="F19" t="str">
            <v>19.93</v>
          </cell>
          <cell r="G19">
            <v>27.9</v>
          </cell>
        </row>
        <row r="20">
          <cell r="B20">
            <v>16</v>
          </cell>
          <cell r="C20" t="str">
            <v>32.58</v>
          </cell>
          <cell r="D20">
            <v>45.61</v>
          </cell>
          <cell r="F20" t="str">
            <v>21.23</v>
          </cell>
          <cell r="G20">
            <v>29.72</v>
          </cell>
        </row>
        <row r="21">
          <cell r="B21">
            <v>17</v>
          </cell>
          <cell r="C21" t="str">
            <v>34.57</v>
          </cell>
          <cell r="D21">
            <v>48.4</v>
          </cell>
          <cell r="F21" t="str">
            <v>22.53</v>
          </cell>
          <cell r="G21">
            <v>31.54</v>
          </cell>
        </row>
        <row r="22">
          <cell r="B22">
            <v>18</v>
          </cell>
          <cell r="C22" t="str">
            <v>36.56</v>
          </cell>
          <cell r="D22">
            <v>51.18</v>
          </cell>
          <cell r="F22" t="str">
            <v>23.84</v>
          </cell>
          <cell r="G22">
            <v>33.380000000000003</v>
          </cell>
        </row>
        <row r="23">
          <cell r="B23">
            <v>19</v>
          </cell>
          <cell r="C23" t="str">
            <v>38.56</v>
          </cell>
          <cell r="D23">
            <v>53.98</v>
          </cell>
          <cell r="F23" t="str">
            <v>25.14</v>
          </cell>
          <cell r="G23">
            <v>35.200000000000003</v>
          </cell>
        </row>
        <row r="24">
          <cell r="B24">
            <v>20</v>
          </cell>
          <cell r="C24" t="str">
            <v>40.55</v>
          </cell>
          <cell r="D24">
            <v>56.77</v>
          </cell>
          <cell r="F24" t="str">
            <v>26.44</v>
          </cell>
          <cell r="G24">
            <v>37.020000000000003</v>
          </cell>
        </row>
        <row r="25">
          <cell r="B25">
            <v>21</v>
          </cell>
          <cell r="C25" t="str">
            <v>42.54</v>
          </cell>
          <cell r="D25">
            <v>59.56</v>
          </cell>
          <cell r="F25" t="str">
            <v>27.75</v>
          </cell>
          <cell r="G25">
            <v>38.85</v>
          </cell>
        </row>
        <row r="26">
          <cell r="B26">
            <v>22</v>
          </cell>
          <cell r="C26" t="str">
            <v>44.53</v>
          </cell>
          <cell r="D26">
            <v>62.34</v>
          </cell>
          <cell r="F26" t="str">
            <v>29.05</v>
          </cell>
          <cell r="G26">
            <v>40.67</v>
          </cell>
        </row>
        <row r="27">
          <cell r="B27">
            <v>23</v>
          </cell>
          <cell r="C27" t="str">
            <v>46.52</v>
          </cell>
          <cell r="D27">
            <v>65.13</v>
          </cell>
          <cell r="F27" t="str">
            <v>30.35</v>
          </cell>
          <cell r="G27">
            <v>42.49</v>
          </cell>
        </row>
        <row r="28">
          <cell r="B28">
            <v>24</v>
          </cell>
          <cell r="C28" t="str">
            <v>48.51</v>
          </cell>
          <cell r="D28">
            <v>67.91</v>
          </cell>
          <cell r="F28" t="str">
            <v>31.65</v>
          </cell>
          <cell r="G28">
            <v>44.31</v>
          </cell>
        </row>
        <row r="29">
          <cell r="B29">
            <v>25</v>
          </cell>
          <cell r="C29" t="str">
            <v>50.5</v>
          </cell>
          <cell r="D29">
            <v>70.7</v>
          </cell>
          <cell r="F29" t="str">
            <v>32.96</v>
          </cell>
          <cell r="G29">
            <v>46.14</v>
          </cell>
        </row>
        <row r="30">
          <cell r="B30">
            <v>26</v>
          </cell>
          <cell r="C30" t="str">
            <v>52.49</v>
          </cell>
          <cell r="D30">
            <v>73.489999999999995</v>
          </cell>
          <cell r="F30" t="str">
            <v>34.26</v>
          </cell>
          <cell r="G30">
            <v>47.96</v>
          </cell>
        </row>
        <row r="31">
          <cell r="B31">
            <v>27</v>
          </cell>
          <cell r="C31" t="str">
            <v>54.48</v>
          </cell>
          <cell r="D31">
            <v>76.27</v>
          </cell>
          <cell r="F31" t="str">
            <v>35.56</v>
          </cell>
          <cell r="G31">
            <v>49.78</v>
          </cell>
        </row>
        <row r="32">
          <cell r="B32">
            <v>28</v>
          </cell>
          <cell r="C32" t="str">
            <v>56.47</v>
          </cell>
          <cell r="D32">
            <v>79.06</v>
          </cell>
          <cell r="F32" t="str">
            <v>36.87</v>
          </cell>
          <cell r="G32">
            <v>51.62</v>
          </cell>
        </row>
        <row r="33">
          <cell r="B33">
            <v>29</v>
          </cell>
          <cell r="C33" t="str">
            <v>58.46</v>
          </cell>
          <cell r="D33">
            <v>81.84</v>
          </cell>
          <cell r="F33" t="str">
            <v>38.17</v>
          </cell>
          <cell r="G33">
            <v>53.44</v>
          </cell>
        </row>
        <row r="34">
          <cell r="B34">
            <v>30</v>
          </cell>
          <cell r="C34" t="str">
            <v>60.45</v>
          </cell>
          <cell r="D34">
            <v>84.63</v>
          </cell>
          <cell r="F34" t="str">
            <v>39.47</v>
          </cell>
          <cell r="G34">
            <v>55.26</v>
          </cell>
        </row>
        <row r="35">
          <cell r="B35">
            <v>31</v>
          </cell>
          <cell r="C35" t="str">
            <v>62.44</v>
          </cell>
          <cell r="D35">
            <v>87.42</v>
          </cell>
          <cell r="F35" t="str">
            <v>40.77</v>
          </cell>
          <cell r="G35">
            <v>57.08</v>
          </cell>
        </row>
        <row r="36">
          <cell r="B36">
            <v>32</v>
          </cell>
          <cell r="C36" t="str">
            <v>64.44</v>
          </cell>
          <cell r="D36">
            <v>90.22</v>
          </cell>
          <cell r="F36" t="str">
            <v>42.08</v>
          </cell>
          <cell r="G36">
            <v>58.91</v>
          </cell>
        </row>
        <row r="37">
          <cell r="B37">
            <v>33</v>
          </cell>
          <cell r="C37" t="str">
            <v>66.43</v>
          </cell>
          <cell r="D37">
            <v>93</v>
          </cell>
          <cell r="F37" t="str">
            <v>43.38</v>
          </cell>
          <cell r="G37">
            <v>60.73</v>
          </cell>
        </row>
        <row r="38">
          <cell r="B38">
            <v>34</v>
          </cell>
          <cell r="C38" t="str">
            <v>68.42</v>
          </cell>
          <cell r="D38">
            <v>95.79</v>
          </cell>
          <cell r="F38" t="str">
            <v>44.68</v>
          </cell>
          <cell r="G38">
            <v>62.55</v>
          </cell>
        </row>
        <row r="39">
          <cell r="B39">
            <v>35</v>
          </cell>
          <cell r="C39" t="str">
            <v>70.4</v>
          </cell>
          <cell r="D39">
            <v>98.56</v>
          </cell>
          <cell r="F39" t="str">
            <v>45.98</v>
          </cell>
          <cell r="G39">
            <v>64.37</v>
          </cell>
        </row>
        <row r="40">
          <cell r="B40">
            <v>36</v>
          </cell>
          <cell r="C40" t="str">
            <v>72.4</v>
          </cell>
          <cell r="D40">
            <v>101.36</v>
          </cell>
          <cell r="F40" t="str">
            <v>47.29</v>
          </cell>
          <cell r="G40">
            <v>66.209999999999994</v>
          </cell>
        </row>
        <row r="41">
          <cell r="B41">
            <v>37</v>
          </cell>
          <cell r="C41" t="str">
            <v>74.39</v>
          </cell>
          <cell r="D41">
            <v>104.15</v>
          </cell>
          <cell r="F41" t="str">
            <v>48.59</v>
          </cell>
          <cell r="G41">
            <v>68.03</v>
          </cell>
        </row>
        <row r="42">
          <cell r="B42">
            <v>38</v>
          </cell>
          <cell r="C42" t="str">
            <v>76.38</v>
          </cell>
          <cell r="D42">
            <v>106.93</v>
          </cell>
          <cell r="F42" t="str">
            <v>49.89</v>
          </cell>
          <cell r="G42">
            <v>69.849999999999994</v>
          </cell>
        </row>
        <row r="43">
          <cell r="B43">
            <v>39</v>
          </cell>
          <cell r="C43" t="str">
            <v>78.37</v>
          </cell>
          <cell r="D43">
            <v>109.72</v>
          </cell>
          <cell r="F43" t="str">
            <v>51.2</v>
          </cell>
          <cell r="G43">
            <v>71.680000000000007</v>
          </cell>
        </row>
        <row r="44">
          <cell r="B44">
            <v>40</v>
          </cell>
          <cell r="C44" t="str">
            <v>80.36</v>
          </cell>
          <cell r="D44">
            <v>112.5</v>
          </cell>
          <cell r="F44" t="str">
            <v>52.5</v>
          </cell>
          <cell r="G44">
            <v>73.5</v>
          </cell>
        </row>
        <row r="45">
          <cell r="B45">
            <v>41</v>
          </cell>
          <cell r="C45" t="str">
            <v>82.36</v>
          </cell>
          <cell r="D45">
            <v>115.3</v>
          </cell>
          <cell r="F45" t="str">
            <v>53.8</v>
          </cell>
          <cell r="G45">
            <v>75.319999999999993</v>
          </cell>
        </row>
        <row r="46">
          <cell r="B46">
            <v>42</v>
          </cell>
          <cell r="C46" t="str">
            <v>84.35</v>
          </cell>
          <cell r="D46">
            <v>118.09</v>
          </cell>
          <cell r="F46" t="str">
            <v>55.11</v>
          </cell>
          <cell r="G46">
            <v>77.150000000000006</v>
          </cell>
        </row>
        <row r="47">
          <cell r="B47">
            <v>43</v>
          </cell>
          <cell r="C47" t="str">
            <v>86.33</v>
          </cell>
          <cell r="D47">
            <v>120.86</v>
          </cell>
          <cell r="F47" t="str">
            <v>56.4</v>
          </cell>
          <cell r="G47">
            <v>78.959999999999994</v>
          </cell>
        </row>
        <row r="48">
          <cell r="B48">
            <v>44</v>
          </cell>
          <cell r="C48" t="str">
            <v>88.33</v>
          </cell>
          <cell r="D48">
            <v>123.66</v>
          </cell>
          <cell r="F48" t="str">
            <v>57.71</v>
          </cell>
          <cell r="G48">
            <v>80.790000000000006</v>
          </cell>
        </row>
        <row r="49">
          <cell r="B49">
            <v>45</v>
          </cell>
          <cell r="C49" t="str">
            <v>90.31</v>
          </cell>
          <cell r="D49">
            <v>126.43</v>
          </cell>
          <cell r="F49" t="str">
            <v>59.01</v>
          </cell>
          <cell r="G49">
            <v>82.61</v>
          </cell>
        </row>
        <row r="50">
          <cell r="B50">
            <v>46</v>
          </cell>
          <cell r="C50" t="str">
            <v>92.31</v>
          </cell>
          <cell r="D50">
            <v>129.22999999999999</v>
          </cell>
          <cell r="F50" t="str">
            <v>60.32</v>
          </cell>
          <cell r="G50">
            <v>84.45</v>
          </cell>
        </row>
        <row r="51">
          <cell r="B51">
            <v>47</v>
          </cell>
          <cell r="C51" t="str">
            <v>94.29</v>
          </cell>
          <cell r="D51">
            <v>132.01</v>
          </cell>
          <cell r="F51" t="str">
            <v>61.62</v>
          </cell>
          <cell r="G51">
            <v>86.27</v>
          </cell>
        </row>
        <row r="52">
          <cell r="B52">
            <v>48</v>
          </cell>
          <cell r="C52" t="str">
            <v>96.29</v>
          </cell>
          <cell r="D52">
            <v>134.81</v>
          </cell>
          <cell r="F52" t="str">
            <v>62.92</v>
          </cell>
          <cell r="G52">
            <v>88.09</v>
          </cell>
        </row>
        <row r="53">
          <cell r="B53">
            <v>49</v>
          </cell>
          <cell r="C53" t="str">
            <v>98.27</v>
          </cell>
          <cell r="D53">
            <v>137.58000000000001</v>
          </cell>
          <cell r="F53" t="str">
            <v>64.22</v>
          </cell>
          <cell r="G53">
            <v>89.91</v>
          </cell>
        </row>
        <row r="54">
          <cell r="B54">
            <v>50</v>
          </cell>
          <cell r="C54" t="str">
            <v>100.26</v>
          </cell>
          <cell r="D54">
            <v>140.36000000000001</v>
          </cell>
          <cell r="F54" t="str">
            <v>65.53</v>
          </cell>
          <cell r="G54">
            <v>91.74</v>
          </cell>
        </row>
        <row r="55">
          <cell r="B55">
            <v>51</v>
          </cell>
          <cell r="C55" t="str">
            <v>102.26</v>
          </cell>
          <cell r="D55">
            <v>143.16</v>
          </cell>
          <cell r="F55" t="str">
            <v>66.83</v>
          </cell>
          <cell r="G55">
            <v>93.56</v>
          </cell>
        </row>
        <row r="56">
          <cell r="B56">
            <v>52</v>
          </cell>
          <cell r="C56" t="str">
            <v>104.24</v>
          </cell>
          <cell r="D56">
            <v>145.94</v>
          </cell>
          <cell r="F56" t="str">
            <v>68.13</v>
          </cell>
          <cell r="G56">
            <v>95.38</v>
          </cell>
        </row>
        <row r="57">
          <cell r="B57">
            <v>53</v>
          </cell>
          <cell r="C57" t="str">
            <v>106.23</v>
          </cell>
          <cell r="D57">
            <v>148.72</v>
          </cell>
          <cell r="F57" t="str">
            <v>69.43</v>
          </cell>
          <cell r="G57">
            <v>97.2</v>
          </cell>
        </row>
        <row r="58">
          <cell r="B58">
            <v>54</v>
          </cell>
          <cell r="C58" t="str">
            <v>108.23</v>
          </cell>
          <cell r="D58">
            <v>151.52000000000001</v>
          </cell>
          <cell r="F58" t="str">
            <v>70.73</v>
          </cell>
          <cell r="G58">
            <v>99.02</v>
          </cell>
        </row>
        <row r="59">
          <cell r="B59">
            <v>55</v>
          </cell>
          <cell r="C59" t="str">
            <v>110.21</v>
          </cell>
          <cell r="D59">
            <v>154.29</v>
          </cell>
          <cell r="F59" t="str">
            <v>72.04</v>
          </cell>
          <cell r="G59">
            <v>100.86</v>
          </cell>
        </row>
        <row r="60">
          <cell r="B60">
            <v>56</v>
          </cell>
          <cell r="C60" t="str">
            <v>112.2</v>
          </cell>
          <cell r="D60">
            <v>157.08000000000001</v>
          </cell>
          <cell r="F60" t="str">
            <v>73.34</v>
          </cell>
          <cell r="G60">
            <v>102.68</v>
          </cell>
        </row>
        <row r="61">
          <cell r="B61">
            <v>57</v>
          </cell>
          <cell r="C61" t="str">
            <v>114.2</v>
          </cell>
          <cell r="D61">
            <v>159.88</v>
          </cell>
          <cell r="F61" t="str">
            <v>74.64</v>
          </cell>
          <cell r="G61">
            <v>104.5</v>
          </cell>
        </row>
        <row r="62">
          <cell r="B62">
            <v>58</v>
          </cell>
          <cell r="C62" t="str">
            <v>116.21</v>
          </cell>
          <cell r="D62">
            <v>162.69</v>
          </cell>
          <cell r="F62" t="str">
            <v>75.94</v>
          </cell>
          <cell r="G62">
            <v>106.32</v>
          </cell>
        </row>
        <row r="63">
          <cell r="B63">
            <v>59</v>
          </cell>
          <cell r="C63" t="str">
            <v>118.19</v>
          </cell>
          <cell r="D63">
            <v>165.47</v>
          </cell>
          <cell r="F63" t="str">
            <v>77.25</v>
          </cell>
          <cell r="G63">
            <v>108.15</v>
          </cell>
        </row>
        <row r="64">
          <cell r="B64">
            <v>60</v>
          </cell>
          <cell r="C64" t="str">
            <v>120.17</v>
          </cell>
          <cell r="D64">
            <v>168.24</v>
          </cell>
          <cell r="F64" t="str">
            <v>78.56</v>
          </cell>
          <cell r="G64">
            <v>109.98</v>
          </cell>
        </row>
        <row r="65">
          <cell r="B65">
            <v>61</v>
          </cell>
          <cell r="C65" t="str">
            <v>122.17</v>
          </cell>
          <cell r="D65">
            <v>171.04</v>
          </cell>
          <cell r="F65" t="str">
            <v>79.86</v>
          </cell>
          <cell r="G65">
            <v>111.8</v>
          </cell>
        </row>
        <row r="66">
          <cell r="B66">
            <v>62</v>
          </cell>
          <cell r="C66" t="str">
            <v>124.18</v>
          </cell>
          <cell r="D66">
            <v>173.85</v>
          </cell>
          <cell r="F66" t="str">
            <v>81.16</v>
          </cell>
          <cell r="G66">
            <v>113.62</v>
          </cell>
        </row>
        <row r="67">
          <cell r="B67">
            <v>63</v>
          </cell>
          <cell r="C67" t="str">
            <v>126.15</v>
          </cell>
          <cell r="D67">
            <v>176.61</v>
          </cell>
          <cell r="F67" t="str">
            <v>82.46</v>
          </cell>
          <cell r="G67">
            <v>115.44</v>
          </cell>
        </row>
        <row r="68">
          <cell r="B68">
            <v>64</v>
          </cell>
          <cell r="C68" t="str">
            <v>128.13</v>
          </cell>
          <cell r="D68">
            <v>179.38</v>
          </cell>
          <cell r="F68" t="str">
            <v>83.77</v>
          </cell>
          <cell r="G68">
            <v>117.28</v>
          </cell>
        </row>
        <row r="69">
          <cell r="B69">
            <v>65</v>
          </cell>
          <cell r="C69" t="str">
            <v>130.12</v>
          </cell>
          <cell r="D69">
            <v>182.17</v>
          </cell>
          <cell r="F69" t="str">
            <v>85.06</v>
          </cell>
          <cell r="G69">
            <v>119.08</v>
          </cell>
        </row>
        <row r="70">
          <cell r="B70">
            <v>66</v>
          </cell>
          <cell r="C70" t="str">
            <v>132.11</v>
          </cell>
          <cell r="D70">
            <v>184.95</v>
          </cell>
          <cell r="F70" t="str">
            <v>86.37</v>
          </cell>
          <cell r="G70">
            <v>120.92</v>
          </cell>
        </row>
        <row r="71">
          <cell r="B71">
            <v>67</v>
          </cell>
          <cell r="C71" t="str">
            <v>134.12</v>
          </cell>
          <cell r="D71">
            <v>187.77</v>
          </cell>
          <cell r="F71" t="str">
            <v>87.67</v>
          </cell>
          <cell r="G71">
            <v>122.74</v>
          </cell>
        </row>
        <row r="72">
          <cell r="B72">
            <v>68</v>
          </cell>
          <cell r="C72" t="str">
            <v>136.08</v>
          </cell>
          <cell r="D72">
            <v>190.51</v>
          </cell>
          <cell r="F72" t="str">
            <v>88.97</v>
          </cell>
          <cell r="G72">
            <v>124.56</v>
          </cell>
        </row>
        <row r="73">
          <cell r="B73">
            <v>69</v>
          </cell>
          <cell r="C73" t="str">
            <v>138.1</v>
          </cell>
          <cell r="D73">
            <v>193.34</v>
          </cell>
          <cell r="F73" t="str">
            <v>90.27</v>
          </cell>
          <cell r="G73">
            <v>126.38</v>
          </cell>
        </row>
        <row r="74">
          <cell r="B74">
            <v>70</v>
          </cell>
          <cell r="C74" t="str">
            <v>140.08</v>
          </cell>
          <cell r="D74">
            <v>196.11</v>
          </cell>
          <cell r="F74" t="str">
            <v>91.58</v>
          </cell>
          <cell r="G74">
            <v>128.21</v>
          </cell>
        </row>
        <row r="75">
          <cell r="B75">
            <v>71</v>
          </cell>
          <cell r="C75" t="str">
            <v>142.07</v>
          </cell>
          <cell r="D75">
            <v>198.9</v>
          </cell>
          <cell r="F75" t="str">
            <v>92.89</v>
          </cell>
          <cell r="G75">
            <v>130.05000000000001</v>
          </cell>
        </row>
        <row r="76">
          <cell r="B76">
            <v>72</v>
          </cell>
          <cell r="C76" t="str">
            <v>144.06</v>
          </cell>
          <cell r="D76">
            <v>201.68</v>
          </cell>
          <cell r="F76" t="str">
            <v>94.19</v>
          </cell>
          <cell r="G76">
            <v>131.87</v>
          </cell>
        </row>
        <row r="77">
          <cell r="B77">
            <v>73</v>
          </cell>
          <cell r="C77" t="str">
            <v>146.06</v>
          </cell>
          <cell r="D77">
            <v>204.48</v>
          </cell>
          <cell r="F77" t="str">
            <v>95.49</v>
          </cell>
          <cell r="G77">
            <v>133.69</v>
          </cell>
        </row>
        <row r="78">
          <cell r="B78">
            <v>74</v>
          </cell>
          <cell r="C78" t="str">
            <v>148.07</v>
          </cell>
          <cell r="D78">
            <v>207.3</v>
          </cell>
          <cell r="F78" t="str">
            <v>96.8</v>
          </cell>
          <cell r="G78">
            <v>135.52000000000001</v>
          </cell>
        </row>
        <row r="79">
          <cell r="B79">
            <v>75</v>
          </cell>
          <cell r="C79" t="str">
            <v>150.02</v>
          </cell>
          <cell r="D79">
            <v>210.03</v>
          </cell>
          <cell r="F79" t="str">
            <v>98.1</v>
          </cell>
          <cell r="G79">
            <v>137.34</v>
          </cell>
        </row>
        <row r="80">
          <cell r="B80">
            <v>76</v>
          </cell>
          <cell r="C80" t="str">
            <v>152.04</v>
          </cell>
          <cell r="D80">
            <v>212.86</v>
          </cell>
          <cell r="F80" t="str">
            <v>99.4</v>
          </cell>
          <cell r="G80">
            <v>139.16</v>
          </cell>
        </row>
        <row r="81">
          <cell r="B81">
            <v>77</v>
          </cell>
          <cell r="C81" t="str">
            <v>154.01</v>
          </cell>
          <cell r="D81">
            <v>215.61</v>
          </cell>
          <cell r="F81" t="str">
            <v>100.7</v>
          </cell>
          <cell r="G81">
            <v>140.97999999999999</v>
          </cell>
        </row>
        <row r="82">
          <cell r="B82">
            <v>78</v>
          </cell>
          <cell r="C82" t="str">
            <v>155.99</v>
          </cell>
          <cell r="D82">
            <v>218.39</v>
          </cell>
          <cell r="F82" t="str">
            <v>102</v>
          </cell>
          <cell r="G82">
            <v>142.80000000000001</v>
          </cell>
        </row>
        <row r="83">
          <cell r="B83">
            <v>79</v>
          </cell>
          <cell r="C83" t="str">
            <v>158.03</v>
          </cell>
          <cell r="D83">
            <v>221.24</v>
          </cell>
          <cell r="F83" t="str">
            <v>103.31</v>
          </cell>
          <cell r="G83">
            <v>144.63</v>
          </cell>
        </row>
        <row r="84">
          <cell r="B84">
            <v>80</v>
          </cell>
          <cell r="C84" t="str">
            <v>160.02</v>
          </cell>
          <cell r="D84">
            <v>224.03</v>
          </cell>
          <cell r="F84" t="str">
            <v>104.61</v>
          </cell>
          <cell r="G84">
            <v>146.44999999999999</v>
          </cell>
        </row>
        <row r="85">
          <cell r="B85">
            <v>81</v>
          </cell>
          <cell r="C85" t="str">
            <v>162.02</v>
          </cell>
          <cell r="D85">
            <v>226.83</v>
          </cell>
          <cell r="F85" t="str">
            <v>105.92</v>
          </cell>
          <cell r="G85">
            <v>148.29</v>
          </cell>
        </row>
        <row r="86">
          <cell r="B86">
            <v>82</v>
          </cell>
          <cell r="C86" t="str">
            <v>163.95</v>
          </cell>
          <cell r="D86">
            <v>229.53</v>
          </cell>
          <cell r="F86" t="str">
            <v>107.21</v>
          </cell>
          <cell r="G86">
            <v>150.09</v>
          </cell>
        </row>
        <row r="87">
          <cell r="B87">
            <v>83</v>
          </cell>
          <cell r="C87" t="str">
            <v>165.95</v>
          </cell>
          <cell r="D87">
            <v>232.33</v>
          </cell>
          <cell r="F87" t="str">
            <v>108.53</v>
          </cell>
          <cell r="G87">
            <v>151.94</v>
          </cell>
        </row>
        <row r="88">
          <cell r="B88">
            <v>84</v>
          </cell>
          <cell r="C88" t="str">
            <v>167.97</v>
          </cell>
          <cell r="D88">
            <v>235.16</v>
          </cell>
          <cell r="F88" t="str">
            <v>109.82</v>
          </cell>
          <cell r="G88">
            <v>153.75</v>
          </cell>
        </row>
        <row r="89">
          <cell r="B89">
            <v>85</v>
          </cell>
          <cell r="C89" t="str">
            <v>169.99</v>
          </cell>
          <cell r="D89">
            <v>237.99</v>
          </cell>
          <cell r="F89" t="str">
            <v>111.13</v>
          </cell>
          <cell r="G89">
            <v>155.58000000000001</v>
          </cell>
        </row>
        <row r="90">
          <cell r="B90">
            <v>86</v>
          </cell>
          <cell r="C90" t="str">
            <v>171.94</v>
          </cell>
          <cell r="D90">
            <v>240.72</v>
          </cell>
          <cell r="F90" t="str">
            <v>112.43</v>
          </cell>
          <cell r="G90">
            <v>157.4</v>
          </cell>
        </row>
        <row r="91">
          <cell r="B91">
            <v>87</v>
          </cell>
          <cell r="C91" t="str">
            <v>173.9</v>
          </cell>
          <cell r="D91">
            <v>243.46</v>
          </cell>
          <cell r="F91" t="str">
            <v>113.73</v>
          </cell>
          <cell r="G91">
            <v>159.22</v>
          </cell>
        </row>
        <row r="92">
          <cell r="B92">
            <v>88</v>
          </cell>
          <cell r="C92" t="str">
            <v>175.94</v>
          </cell>
          <cell r="D92">
            <v>246.32</v>
          </cell>
          <cell r="F92" t="str">
            <v>115.03</v>
          </cell>
          <cell r="G92">
            <v>161.04</v>
          </cell>
        </row>
        <row r="93">
          <cell r="B93">
            <v>89</v>
          </cell>
          <cell r="C93" t="str">
            <v>177.91</v>
          </cell>
          <cell r="D93">
            <v>249.07</v>
          </cell>
          <cell r="F93" t="str">
            <v>116.33</v>
          </cell>
          <cell r="G93">
            <v>162.86000000000001</v>
          </cell>
        </row>
        <row r="94">
          <cell r="B94">
            <v>90</v>
          </cell>
          <cell r="C94" t="str">
            <v>179.88</v>
          </cell>
          <cell r="D94">
            <v>251.83</v>
          </cell>
          <cell r="F94" t="str">
            <v>117.65</v>
          </cell>
          <cell r="G94">
            <v>164.71</v>
          </cell>
        </row>
        <row r="95">
          <cell r="B95">
            <v>91</v>
          </cell>
          <cell r="C95" t="str">
            <v>181.94</v>
          </cell>
          <cell r="D95">
            <v>254.72</v>
          </cell>
          <cell r="F95" t="str">
            <v>118.96</v>
          </cell>
          <cell r="G95">
            <v>166.54</v>
          </cell>
        </row>
        <row r="96">
          <cell r="B96">
            <v>92</v>
          </cell>
          <cell r="C96" t="str">
            <v>183.92</v>
          </cell>
          <cell r="D96">
            <v>257.49</v>
          </cell>
          <cell r="F96" t="str">
            <v>120.24</v>
          </cell>
          <cell r="G96">
            <v>168.34</v>
          </cell>
        </row>
        <row r="97">
          <cell r="B97">
            <v>93</v>
          </cell>
          <cell r="C97" t="str">
            <v>185.91</v>
          </cell>
          <cell r="D97">
            <v>260.27</v>
          </cell>
          <cell r="F97" t="str">
            <v>121.54</v>
          </cell>
          <cell r="G97">
            <v>170.16</v>
          </cell>
        </row>
        <row r="98">
          <cell r="B98">
            <v>94</v>
          </cell>
          <cell r="C98" t="str">
            <v>187.91</v>
          </cell>
          <cell r="D98">
            <v>263.07</v>
          </cell>
          <cell r="F98" t="str">
            <v>122.85</v>
          </cell>
          <cell r="G98">
            <v>171.99</v>
          </cell>
        </row>
        <row r="99">
          <cell r="B99">
            <v>95</v>
          </cell>
          <cell r="C99" t="str">
            <v>189.82</v>
          </cell>
          <cell r="D99">
            <v>265.75</v>
          </cell>
          <cell r="F99" t="str">
            <v>124.16</v>
          </cell>
          <cell r="G99">
            <v>173.82</v>
          </cell>
        </row>
        <row r="100">
          <cell r="B100">
            <v>96</v>
          </cell>
          <cell r="C100" t="str">
            <v>191.83</v>
          </cell>
          <cell r="D100">
            <v>268.56</v>
          </cell>
          <cell r="F100" t="str">
            <v>125.47</v>
          </cell>
          <cell r="G100">
            <v>175.66</v>
          </cell>
        </row>
        <row r="101">
          <cell r="B101">
            <v>97</v>
          </cell>
          <cell r="C101" t="str">
            <v>193.84</v>
          </cell>
          <cell r="D101">
            <v>271.38</v>
          </cell>
          <cell r="F101" t="str">
            <v>126.76</v>
          </cell>
          <cell r="G101">
            <v>177.46</v>
          </cell>
        </row>
        <row r="102">
          <cell r="B102">
            <v>98</v>
          </cell>
          <cell r="C102" t="str">
            <v>195.85</v>
          </cell>
          <cell r="D102">
            <v>274.19</v>
          </cell>
          <cell r="F102" t="str">
            <v>128.07</v>
          </cell>
          <cell r="G102">
            <v>179.3</v>
          </cell>
        </row>
        <row r="103">
          <cell r="B103">
            <v>99</v>
          </cell>
          <cell r="C103" t="str">
            <v>197.88</v>
          </cell>
          <cell r="D103">
            <v>277.02999999999997</v>
          </cell>
          <cell r="F103" t="str">
            <v>129.36</v>
          </cell>
          <cell r="G103">
            <v>181.1</v>
          </cell>
        </row>
        <row r="104">
          <cell r="B104">
            <v>100</v>
          </cell>
          <cell r="C104" t="str">
            <v>199.81</v>
          </cell>
          <cell r="D104">
            <v>279.73</v>
          </cell>
          <cell r="F104" t="str">
            <v>130.68</v>
          </cell>
          <cell r="G104">
            <v>182.95</v>
          </cell>
        </row>
        <row r="105">
          <cell r="B105">
            <v>101</v>
          </cell>
          <cell r="C105" t="str">
            <v>201.84</v>
          </cell>
          <cell r="D105">
            <v>282.58</v>
          </cell>
          <cell r="F105" t="str">
            <v>131.96</v>
          </cell>
          <cell r="G105">
            <v>184.74</v>
          </cell>
        </row>
        <row r="106">
          <cell r="B106">
            <v>102</v>
          </cell>
          <cell r="C106" t="str">
            <v>203.78</v>
          </cell>
          <cell r="D106">
            <v>285.29000000000002</v>
          </cell>
          <cell r="F106" t="str">
            <v>133.29</v>
          </cell>
          <cell r="G106">
            <v>186.61</v>
          </cell>
        </row>
        <row r="107">
          <cell r="B107">
            <v>103</v>
          </cell>
          <cell r="C107" t="str">
            <v>205.82</v>
          </cell>
          <cell r="D107">
            <v>288.14999999999998</v>
          </cell>
          <cell r="F107" t="str">
            <v>134.58</v>
          </cell>
          <cell r="G107">
            <v>188.41</v>
          </cell>
        </row>
        <row r="108">
          <cell r="B108">
            <v>104</v>
          </cell>
          <cell r="C108" t="str">
            <v>207.77</v>
          </cell>
          <cell r="D108">
            <v>290.88</v>
          </cell>
          <cell r="F108" t="str">
            <v>135.87</v>
          </cell>
          <cell r="G108">
            <v>190.22</v>
          </cell>
        </row>
        <row r="109">
          <cell r="B109">
            <v>105</v>
          </cell>
          <cell r="C109" t="str">
            <v>209.83</v>
          </cell>
          <cell r="D109">
            <v>293.76</v>
          </cell>
          <cell r="F109" t="str">
            <v>137.2</v>
          </cell>
          <cell r="G109">
            <v>192.08</v>
          </cell>
        </row>
        <row r="110">
          <cell r="B110">
            <v>106</v>
          </cell>
          <cell r="C110" t="str">
            <v>211.78</v>
          </cell>
          <cell r="D110">
            <v>296.49</v>
          </cell>
          <cell r="F110" t="str">
            <v>138.49</v>
          </cell>
          <cell r="G110">
            <v>193.89</v>
          </cell>
        </row>
        <row r="111">
          <cell r="B111">
            <v>107</v>
          </cell>
          <cell r="C111" t="str">
            <v>213.74</v>
          </cell>
          <cell r="D111">
            <v>299.24</v>
          </cell>
          <cell r="F111" t="str">
            <v>139.79</v>
          </cell>
          <cell r="G111">
            <v>195.71</v>
          </cell>
        </row>
        <row r="112">
          <cell r="B112">
            <v>108</v>
          </cell>
          <cell r="C112" t="str">
            <v>215.7</v>
          </cell>
          <cell r="D112">
            <v>301.98</v>
          </cell>
          <cell r="F112" t="str">
            <v>141.09</v>
          </cell>
          <cell r="G112">
            <v>197.53</v>
          </cell>
        </row>
        <row r="113">
          <cell r="B113">
            <v>109</v>
          </cell>
          <cell r="C113" t="str">
            <v>217.78</v>
          </cell>
          <cell r="D113">
            <v>304.89</v>
          </cell>
          <cell r="F113" t="str">
            <v>142.39</v>
          </cell>
          <cell r="G113">
            <v>199.35</v>
          </cell>
        </row>
        <row r="114">
          <cell r="B114">
            <v>110</v>
          </cell>
          <cell r="C114" t="str">
            <v>219.75</v>
          </cell>
          <cell r="D114">
            <v>307.64999999999998</v>
          </cell>
          <cell r="F114" t="str">
            <v>143.69</v>
          </cell>
          <cell r="G114">
            <v>201.17</v>
          </cell>
        </row>
        <row r="115">
          <cell r="B115">
            <v>111</v>
          </cell>
          <cell r="C115" t="str">
            <v>221.73</v>
          </cell>
          <cell r="D115">
            <v>310.42</v>
          </cell>
          <cell r="F115" t="str">
            <v>144.99</v>
          </cell>
          <cell r="G115">
            <v>202.99</v>
          </cell>
        </row>
        <row r="116">
          <cell r="B116">
            <v>112</v>
          </cell>
          <cell r="C116" t="str">
            <v>223.71</v>
          </cell>
          <cell r="D116">
            <v>313.19</v>
          </cell>
          <cell r="F116" t="str">
            <v>146.29</v>
          </cell>
          <cell r="G116">
            <v>204.81</v>
          </cell>
        </row>
        <row r="117">
          <cell r="B117">
            <v>113</v>
          </cell>
          <cell r="C117" t="str">
            <v>225.69</v>
          </cell>
          <cell r="D117">
            <v>315.97000000000003</v>
          </cell>
          <cell r="F117" t="str">
            <v>147.59</v>
          </cell>
          <cell r="G117">
            <v>206.63</v>
          </cell>
        </row>
        <row r="118">
          <cell r="B118">
            <v>114</v>
          </cell>
          <cell r="C118" t="str">
            <v>227.68</v>
          </cell>
          <cell r="D118">
            <v>318.75</v>
          </cell>
          <cell r="F118" t="str">
            <v>148.9</v>
          </cell>
          <cell r="G118">
            <v>208.46</v>
          </cell>
        </row>
        <row r="119">
          <cell r="B119">
            <v>115</v>
          </cell>
          <cell r="C119" t="str">
            <v>229.67</v>
          </cell>
          <cell r="D119">
            <v>321.54000000000002</v>
          </cell>
          <cell r="F119" t="str">
            <v>150.2</v>
          </cell>
          <cell r="G119">
            <v>210.28</v>
          </cell>
        </row>
        <row r="120">
          <cell r="B120">
            <v>116</v>
          </cell>
          <cell r="C120" t="str">
            <v>231.66</v>
          </cell>
          <cell r="D120">
            <v>324.32</v>
          </cell>
          <cell r="F120" t="str">
            <v>151.51</v>
          </cell>
          <cell r="G120">
            <v>212.11</v>
          </cell>
        </row>
        <row r="121">
          <cell r="B121">
            <v>117</v>
          </cell>
          <cell r="C121" t="str">
            <v>233.67</v>
          </cell>
          <cell r="D121">
            <v>327.14</v>
          </cell>
          <cell r="F121" t="str">
            <v>152.82</v>
          </cell>
          <cell r="G121">
            <v>213.95</v>
          </cell>
        </row>
        <row r="122">
          <cell r="B122">
            <v>118</v>
          </cell>
          <cell r="C122" t="str">
            <v>235.67</v>
          </cell>
          <cell r="D122">
            <v>329.94</v>
          </cell>
          <cell r="F122" t="str">
            <v>154.13</v>
          </cell>
          <cell r="G122">
            <v>215.78</v>
          </cell>
        </row>
        <row r="123">
          <cell r="B123">
            <v>119</v>
          </cell>
          <cell r="C123" t="str">
            <v>237.68</v>
          </cell>
          <cell r="D123">
            <v>332.75</v>
          </cell>
          <cell r="F123" t="str">
            <v>155.44</v>
          </cell>
          <cell r="G123">
            <v>217.62</v>
          </cell>
        </row>
        <row r="124">
          <cell r="B124">
            <v>120</v>
          </cell>
          <cell r="C124" t="str">
            <v>239.7</v>
          </cell>
          <cell r="D124">
            <v>335.58</v>
          </cell>
          <cell r="F124" t="str">
            <v>156.71</v>
          </cell>
          <cell r="G124">
            <v>219.39</v>
          </cell>
        </row>
        <row r="125">
          <cell r="B125">
            <v>121</v>
          </cell>
          <cell r="C125" t="str">
            <v>241.57</v>
          </cell>
          <cell r="D125">
            <v>338.2</v>
          </cell>
          <cell r="F125" t="str">
            <v>158.03</v>
          </cell>
          <cell r="G125">
            <v>221.24</v>
          </cell>
        </row>
        <row r="126">
          <cell r="B126">
            <v>122</v>
          </cell>
          <cell r="C126" t="str">
            <v>243.59</v>
          </cell>
          <cell r="D126">
            <v>341.03</v>
          </cell>
          <cell r="F126" t="str">
            <v>159.34</v>
          </cell>
          <cell r="G126">
            <v>223.08</v>
          </cell>
        </row>
        <row r="127">
          <cell r="B127">
            <v>123</v>
          </cell>
          <cell r="C127" t="str">
            <v>245.62</v>
          </cell>
          <cell r="D127">
            <v>343.87</v>
          </cell>
          <cell r="F127" t="str">
            <v>160.62</v>
          </cell>
          <cell r="G127">
            <v>224.87</v>
          </cell>
        </row>
        <row r="128">
          <cell r="B128">
            <v>124</v>
          </cell>
          <cell r="C128" t="str">
            <v>247.66</v>
          </cell>
          <cell r="D128">
            <v>346.72</v>
          </cell>
          <cell r="F128" t="str">
            <v>161.94</v>
          </cell>
          <cell r="G128">
            <v>226.72</v>
          </cell>
        </row>
        <row r="129">
          <cell r="B129">
            <v>125</v>
          </cell>
          <cell r="C129" t="str">
            <v>249.54</v>
          </cell>
          <cell r="D129">
            <v>349.36</v>
          </cell>
          <cell r="F129" t="str">
            <v>163.25</v>
          </cell>
          <cell r="G129">
            <v>228.55</v>
          </cell>
        </row>
        <row r="130">
          <cell r="B130">
            <v>126</v>
          </cell>
          <cell r="C130" t="str">
            <v>251.58</v>
          </cell>
          <cell r="D130">
            <v>352.21</v>
          </cell>
          <cell r="F130" t="str">
            <v>164.53</v>
          </cell>
          <cell r="G130">
            <v>230.34</v>
          </cell>
        </row>
        <row r="131">
          <cell r="B131">
            <v>127</v>
          </cell>
          <cell r="C131" t="str">
            <v>253.63</v>
          </cell>
          <cell r="D131">
            <v>355.08</v>
          </cell>
          <cell r="F131" t="str">
            <v>165.85</v>
          </cell>
          <cell r="G131">
            <v>232.19</v>
          </cell>
        </row>
        <row r="132">
          <cell r="B132">
            <v>128</v>
          </cell>
          <cell r="C132" t="str">
            <v>255.52</v>
          </cell>
          <cell r="D132">
            <v>357.73</v>
          </cell>
          <cell r="F132" t="str">
            <v>167.18</v>
          </cell>
          <cell r="G132">
            <v>234.05</v>
          </cell>
        </row>
        <row r="133">
          <cell r="B133">
            <v>129</v>
          </cell>
          <cell r="C133" t="str">
            <v>257.58</v>
          </cell>
          <cell r="D133">
            <v>360.61</v>
          </cell>
          <cell r="F133" t="str">
            <v>168.46</v>
          </cell>
          <cell r="G133">
            <v>235.84</v>
          </cell>
        </row>
        <row r="134">
          <cell r="B134">
            <v>130</v>
          </cell>
          <cell r="C134" t="str">
            <v>259.64</v>
          </cell>
          <cell r="D134">
            <v>363.5</v>
          </cell>
          <cell r="F134" t="str">
            <v>169.78</v>
          </cell>
          <cell r="G134">
            <v>237.69</v>
          </cell>
        </row>
        <row r="135">
          <cell r="B135">
            <v>131</v>
          </cell>
          <cell r="C135" t="str">
            <v>261.55</v>
          </cell>
          <cell r="D135">
            <v>366.17</v>
          </cell>
          <cell r="F135" t="str">
            <v>171.06</v>
          </cell>
          <cell r="G135">
            <v>239.48</v>
          </cell>
        </row>
        <row r="136">
          <cell r="B136">
            <v>132</v>
          </cell>
          <cell r="C136" t="str">
            <v>263.62</v>
          </cell>
          <cell r="D136">
            <v>369.07</v>
          </cell>
          <cell r="F136" t="str">
            <v>172.34</v>
          </cell>
          <cell r="G136">
            <v>241.28</v>
          </cell>
        </row>
        <row r="137">
          <cell r="B137">
            <v>133</v>
          </cell>
          <cell r="C137" t="str">
            <v>265.52</v>
          </cell>
          <cell r="D137">
            <v>371.73</v>
          </cell>
          <cell r="F137" t="str">
            <v>173.67</v>
          </cell>
          <cell r="G137">
            <v>243.14</v>
          </cell>
        </row>
        <row r="138">
          <cell r="B138">
            <v>134</v>
          </cell>
          <cell r="C138" t="str">
            <v>267.61</v>
          </cell>
          <cell r="D138">
            <v>374.65</v>
          </cell>
          <cell r="F138" t="str">
            <v>174.95</v>
          </cell>
          <cell r="G138">
            <v>244.93</v>
          </cell>
        </row>
        <row r="139">
          <cell r="B139">
            <v>135</v>
          </cell>
          <cell r="C139" t="str">
            <v>269.52</v>
          </cell>
          <cell r="D139">
            <v>377.33</v>
          </cell>
          <cell r="F139" t="str">
            <v>176.29</v>
          </cell>
          <cell r="G139">
            <v>246.81</v>
          </cell>
        </row>
        <row r="140">
          <cell r="B140">
            <v>136</v>
          </cell>
          <cell r="C140" t="str">
            <v>271.43</v>
          </cell>
          <cell r="D140">
            <v>380</v>
          </cell>
          <cell r="F140" t="str">
            <v>177.57</v>
          </cell>
          <cell r="G140">
            <v>248.6</v>
          </cell>
        </row>
        <row r="141">
          <cell r="B141">
            <v>137</v>
          </cell>
          <cell r="C141" t="str">
            <v>273.53</v>
          </cell>
          <cell r="D141">
            <v>382.94</v>
          </cell>
          <cell r="F141" t="str">
            <v>178.91</v>
          </cell>
          <cell r="G141">
            <v>250.47</v>
          </cell>
        </row>
        <row r="142">
          <cell r="B142">
            <v>138</v>
          </cell>
          <cell r="C142" t="str">
            <v>275.45</v>
          </cell>
          <cell r="D142">
            <v>385.63</v>
          </cell>
          <cell r="F142" t="str">
            <v>180.19</v>
          </cell>
          <cell r="G142">
            <v>252.27</v>
          </cell>
        </row>
        <row r="143">
          <cell r="B143">
            <v>139</v>
          </cell>
          <cell r="C143" t="str">
            <v>277.56</v>
          </cell>
          <cell r="D143">
            <v>388.58</v>
          </cell>
          <cell r="F143" t="str">
            <v>181.48</v>
          </cell>
          <cell r="G143">
            <v>254.07</v>
          </cell>
        </row>
        <row r="144">
          <cell r="B144">
            <v>140</v>
          </cell>
          <cell r="C144" t="str">
            <v>279.48</v>
          </cell>
          <cell r="D144">
            <v>391.27</v>
          </cell>
          <cell r="F144" t="str">
            <v>182.76</v>
          </cell>
          <cell r="G144">
            <v>255.86</v>
          </cell>
        </row>
        <row r="145">
          <cell r="B145">
            <v>141</v>
          </cell>
          <cell r="C145" t="str">
            <v>281.41</v>
          </cell>
          <cell r="D145">
            <v>393.97</v>
          </cell>
          <cell r="F145" t="str">
            <v>184.11</v>
          </cell>
          <cell r="G145">
            <v>257.75</v>
          </cell>
        </row>
        <row r="146">
          <cell r="B146">
            <v>142</v>
          </cell>
          <cell r="C146" t="str">
            <v>283.53</v>
          </cell>
          <cell r="D146">
            <v>396.94</v>
          </cell>
          <cell r="F146" t="str">
            <v>185.39</v>
          </cell>
          <cell r="G146">
            <v>259.55</v>
          </cell>
        </row>
        <row r="147">
          <cell r="B147">
            <v>143</v>
          </cell>
          <cell r="C147" t="str">
            <v>285.46</v>
          </cell>
          <cell r="D147">
            <v>399.64</v>
          </cell>
          <cell r="F147" t="str">
            <v>186.68</v>
          </cell>
          <cell r="G147">
            <v>261.35000000000002</v>
          </cell>
        </row>
        <row r="148">
          <cell r="B148">
            <v>144</v>
          </cell>
          <cell r="C148" t="str">
            <v>287.4</v>
          </cell>
          <cell r="D148">
            <v>402.36</v>
          </cell>
          <cell r="F148" t="str">
            <v>188.03</v>
          </cell>
          <cell r="G148">
            <v>263.24</v>
          </cell>
        </row>
        <row r="149">
          <cell r="B149">
            <v>145</v>
          </cell>
          <cell r="C149" t="str">
            <v>289.54</v>
          </cell>
          <cell r="D149">
            <v>405.36</v>
          </cell>
          <cell r="F149" t="str">
            <v>189.32</v>
          </cell>
          <cell r="G149">
            <v>265.05</v>
          </cell>
        </row>
        <row r="150">
          <cell r="B150">
            <v>146</v>
          </cell>
          <cell r="C150" t="str">
            <v>291.48</v>
          </cell>
          <cell r="D150">
            <v>408.07</v>
          </cell>
          <cell r="F150" t="str">
            <v>190.61</v>
          </cell>
          <cell r="G150">
            <v>266.85000000000002</v>
          </cell>
        </row>
        <row r="151">
          <cell r="B151">
            <v>147</v>
          </cell>
          <cell r="C151" t="str">
            <v>293.42</v>
          </cell>
          <cell r="D151">
            <v>410.79</v>
          </cell>
          <cell r="F151" t="str">
            <v>191.9</v>
          </cell>
          <cell r="G151">
            <v>268.66000000000003</v>
          </cell>
        </row>
        <row r="152">
          <cell r="B152">
            <v>148</v>
          </cell>
          <cell r="C152" t="str">
            <v>295.37</v>
          </cell>
          <cell r="D152">
            <v>413.52</v>
          </cell>
          <cell r="F152" t="str">
            <v>193.19</v>
          </cell>
          <cell r="G152">
            <v>270.47000000000003</v>
          </cell>
        </row>
        <row r="153">
          <cell r="B153">
            <v>149</v>
          </cell>
          <cell r="C153" t="str">
            <v>297.32</v>
          </cell>
          <cell r="D153">
            <v>416.25</v>
          </cell>
          <cell r="F153" t="str">
            <v>194.55</v>
          </cell>
          <cell r="G153">
            <v>272.37</v>
          </cell>
        </row>
        <row r="154">
          <cell r="B154">
            <v>150</v>
          </cell>
          <cell r="C154" t="str">
            <v>299.49</v>
          </cell>
          <cell r="D154">
            <v>419.29</v>
          </cell>
          <cell r="F154" t="str">
            <v>195.84</v>
          </cell>
          <cell r="G154">
            <v>274.18</v>
          </cell>
        </row>
        <row r="155">
          <cell r="B155">
            <v>151</v>
          </cell>
          <cell r="C155" t="str">
            <v>301.44</v>
          </cell>
          <cell r="D155">
            <v>422.02</v>
          </cell>
          <cell r="F155" t="str">
            <v>197.14</v>
          </cell>
          <cell r="G155">
            <v>276</v>
          </cell>
        </row>
        <row r="156">
          <cell r="B156">
            <v>152</v>
          </cell>
          <cell r="C156" t="str">
            <v>303.4</v>
          </cell>
          <cell r="D156">
            <v>424.76</v>
          </cell>
          <cell r="F156" t="str">
            <v>198.43</v>
          </cell>
          <cell r="G156">
            <v>277.8</v>
          </cell>
        </row>
        <row r="157">
          <cell r="B157">
            <v>153</v>
          </cell>
          <cell r="C157" t="str">
            <v>305.36</v>
          </cell>
          <cell r="D157">
            <v>427.5</v>
          </cell>
          <cell r="F157" t="str">
            <v>199.73</v>
          </cell>
          <cell r="G157">
            <v>279.62</v>
          </cell>
        </row>
        <row r="158">
          <cell r="B158">
            <v>154</v>
          </cell>
          <cell r="C158" t="str">
            <v>307.32</v>
          </cell>
          <cell r="D158">
            <v>430.25</v>
          </cell>
          <cell r="F158" t="str">
            <v>201.03</v>
          </cell>
          <cell r="G158">
            <v>281.44</v>
          </cell>
        </row>
        <row r="159">
          <cell r="B159">
            <v>155</v>
          </cell>
          <cell r="C159" t="str">
            <v>309.29</v>
          </cell>
          <cell r="D159">
            <v>433.01</v>
          </cell>
          <cell r="F159" t="str">
            <v>202.33</v>
          </cell>
          <cell r="G159">
            <v>283.26</v>
          </cell>
        </row>
        <row r="160">
          <cell r="B160">
            <v>156</v>
          </cell>
          <cell r="C160" t="str">
            <v>311.26</v>
          </cell>
          <cell r="D160">
            <v>435.76</v>
          </cell>
          <cell r="F160" t="str">
            <v>203.62</v>
          </cell>
          <cell r="G160">
            <v>285.07</v>
          </cell>
        </row>
        <row r="161">
          <cell r="B161">
            <v>157</v>
          </cell>
          <cell r="C161" t="str">
            <v>313.23</v>
          </cell>
          <cell r="D161">
            <v>438.52</v>
          </cell>
          <cell r="F161" t="str">
            <v>204.92</v>
          </cell>
          <cell r="G161">
            <v>286.89</v>
          </cell>
        </row>
        <row r="162">
          <cell r="B162">
            <v>158</v>
          </cell>
          <cell r="C162" t="str">
            <v>315.44</v>
          </cell>
          <cell r="D162">
            <v>441.62</v>
          </cell>
          <cell r="F162" t="str">
            <v>206.22</v>
          </cell>
          <cell r="G162">
            <v>288.70999999999998</v>
          </cell>
        </row>
        <row r="163">
          <cell r="B163">
            <v>159</v>
          </cell>
          <cell r="C163" t="str">
            <v>317.42</v>
          </cell>
          <cell r="D163">
            <v>444.39</v>
          </cell>
          <cell r="F163" t="str">
            <v>207.53</v>
          </cell>
          <cell r="G163">
            <v>290.54000000000002</v>
          </cell>
        </row>
        <row r="164">
          <cell r="B164">
            <v>160</v>
          </cell>
          <cell r="C164" t="str">
            <v>319.41</v>
          </cell>
          <cell r="D164">
            <v>447.17</v>
          </cell>
          <cell r="F164" t="str">
            <v>208.83</v>
          </cell>
          <cell r="G164">
            <v>292.36</v>
          </cell>
        </row>
        <row r="165">
          <cell r="B165">
            <v>161</v>
          </cell>
          <cell r="C165" t="str">
            <v>321.39</v>
          </cell>
          <cell r="D165">
            <v>449.95</v>
          </cell>
          <cell r="F165" t="str">
            <v>210.13</v>
          </cell>
          <cell r="G165">
            <v>294.18</v>
          </cell>
        </row>
        <row r="166">
          <cell r="B166">
            <v>162</v>
          </cell>
          <cell r="C166" t="str">
            <v>323.38</v>
          </cell>
          <cell r="D166">
            <v>452.73</v>
          </cell>
          <cell r="F166" t="str">
            <v>211.43</v>
          </cell>
          <cell r="G166">
            <v>296</v>
          </cell>
        </row>
        <row r="167">
          <cell r="B167">
            <v>163</v>
          </cell>
          <cell r="C167" t="str">
            <v>325.37</v>
          </cell>
          <cell r="D167">
            <v>455.52</v>
          </cell>
          <cell r="F167" t="str">
            <v>212.74</v>
          </cell>
          <cell r="G167">
            <v>297.83999999999997</v>
          </cell>
        </row>
        <row r="168">
          <cell r="B168">
            <v>164</v>
          </cell>
          <cell r="C168" t="str">
            <v>327.37</v>
          </cell>
          <cell r="D168">
            <v>458.32</v>
          </cell>
          <cell r="F168" t="str">
            <v>214.05</v>
          </cell>
          <cell r="G168">
            <v>299.67</v>
          </cell>
        </row>
        <row r="169">
          <cell r="B169">
            <v>165</v>
          </cell>
          <cell r="C169" t="str">
            <v>329.36</v>
          </cell>
          <cell r="D169">
            <v>461.1</v>
          </cell>
          <cell r="F169" t="str">
            <v>215.35</v>
          </cell>
          <cell r="G169">
            <v>301.49</v>
          </cell>
        </row>
        <row r="170">
          <cell r="B170">
            <v>166</v>
          </cell>
          <cell r="C170" t="str">
            <v>331.36</v>
          </cell>
          <cell r="D170">
            <v>463.9</v>
          </cell>
          <cell r="F170" t="str">
            <v>216.66</v>
          </cell>
          <cell r="G170">
            <v>303.32</v>
          </cell>
        </row>
        <row r="171">
          <cell r="B171">
            <v>167</v>
          </cell>
          <cell r="C171" t="str">
            <v>333.37</v>
          </cell>
          <cell r="D171">
            <v>466.72</v>
          </cell>
          <cell r="F171" t="str">
            <v>217.97</v>
          </cell>
          <cell r="G171">
            <v>305.16000000000003</v>
          </cell>
        </row>
        <row r="172">
          <cell r="B172">
            <v>168</v>
          </cell>
          <cell r="C172" t="str">
            <v>335.38</v>
          </cell>
          <cell r="D172">
            <v>469.53</v>
          </cell>
          <cell r="F172" t="str">
            <v>219.28</v>
          </cell>
          <cell r="G172">
            <v>306.99</v>
          </cell>
        </row>
        <row r="173">
          <cell r="B173">
            <v>169</v>
          </cell>
          <cell r="C173" t="str">
            <v>337.11</v>
          </cell>
          <cell r="D173">
            <v>471.95</v>
          </cell>
          <cell r="F173" t="str">
            <v>220.59</v>
          </cell>
          <cell r="G173">
            <v>308.83</v>
          </cell>
        </row>
        <row r="174">
          <cell r="B174">
            <v>170</v>
          </cell>
          <cell r="C174" t="str">
            <v>339.12</v>
          </cell>
          <cell r="D174">
            <v>474.77</v>
          </cell>
          <cell r="F174" t="str">
            <v>221.9</v>
          </cell>
          <cell r="G174">
            <v>310.66000000000003</v>
          </cell>
        </row>
        <row r="175">
          <cell r="B175">
            <v>171</v>
          </cell>
          <cell r="C175" t="str">
            <v>341.14</v>
          </cell>
          <cell r="D175">
            <v>477.6</v>
          </cell>
          <cell r="F175" t="str">
            <v>223.21</v>
          </cell>
          <cell r="G175">
            <v>312.49</v>
          </cell>
        </row>
        <row r="176">
          <cell r="B176">
            <v>172</v>
          </cell>
          <cell r="C176" t="str">
            <v>343.15</v>
          </cell>
          <cell r="D176">
            <v>480.41</v>
          </cell>
          <cell r="F176" t="str">
            <v>224.52</v>
          </cell>
          <cell r="G176">
            <v>314.33</v>
          </cell>
        </row>
        <row r="177">
          <cell r="B177">
            <v>173</v>
          </cell>
          <cell r="C177" t="str">
            <v>345.18</v>
          </cell>
          <cell r="D177">
            <v>483.25</v>
          </cell>
          <cell r="F177" t="str">
            <v>225.76</v>
          </cell>
          <cell r="G177">
            <v>316.06</v>
          </cell>
        </row>
        <row r="178">
          <cell r="B178">
            <v>174</v>
          </cell>
          <cell r="C178" t="str">
            <v>347.2</v>
          </cell>
          <cell r="D178">
            <v>486.08</v>
          </cell>
          <cell r="F178" t="str">
            <v>227.07</v>
          </cell>
          <cell r="G178">
            <v>317.89999999999998</v>
          </cell>
        </row>
        <row r="179">
          <cell r="B179">
            <v>175</v>
          </cell>
          <cell r="C179" t="str">
            <v>349.23</v>
          </cell>
          <cell r="D179">
            <v>488.92</v>
          </cell>
          <cell r="F179" t="str">
            <v>228.39</v>
          </cell>
          <cell r="G179">
            <v>319.75</v>
          </cell>
        </row>
        <row r="180">
          <cell r="B180">
            <v>176</v>
          </cell>
          <cell r="C180" t="str">
            <v>351.26</v>
          </cell>
          <cell r="D180">
            <v>491.76</v>
          </cell>
          <cell r="F180" t="str">
            <v>229.7</v>
          </cell>
          <cell r="G180">
            <v>321.58</v>
          </cell>
        </row>
        <row r="181">
          <cell r="B181">
            <v>177</v>
          </cell>
          <cell r="C181" t="str">
            <v>353.3</v>
          </cell>
          <cell r="D181">
            <v>494.62</v>
          </cell>
          <cell r="F181" t="str">
            <v>231.02</v>
          </cell>
          <cell r="G181">
            <v>323.43</v>
          </cell>
        </row>
        <row r="182">
          <cell r="B182">
            <v>178</v>
          </cell>
          <cell r="C182" t="str">
            <v>355.03</v>
          </cell>
          <cell r="D182">
            <v>497.04</v>
          </cell>
          <cell r="F182" t="str">
            <v>232.34</v>
          </cell>
          <cell r="G182">
            <v>325.27999999999997</v>
          </cell>
        </row>
        <row r="183">
          <cell r="B183">
            <v>179</v>
          </cell>
          <cell r="C183" t="str">
            <v>357.08</v>
          </cell>
          <cell r="D183">
            <v>499.91</v>
          </cell>
          <cell r="F183" t="str">
            <v>233.57</v>
          </cell>
          <cell r="G183">
            <v>327</v>
          </cell>
        </row>
        <row r="184">
          <cell r="B184">
            <v>180</v>
          </cell>
          <cell r="C184" t="str">
            <v>359.12</v>
          </cell>
          <cell r="D184">
            <v>502.77</v>
          </cell>
          <cell r="F184" t="str">
            <v>234.89</v>
          </cell>
          <cell r="G184">
            <v>328.85</v>
          </cell>
        </row>
        <row r="185">
          <cell r="B185">
            <v>181</v>
          </cell>
          <cell r="C185" t="str">
            <v>361.17</v>
          </cell>
          <cell r="D185">
            <v>505.64</v>
          </cell>
          <cell r="F185" t="str">
            <v>236.21</v>
          </cell>
          <cell r="G185">
            <v>330.69</v>
          </cell>
        </row>
        <row r="186">
          <cell r="B186">
            <v>182</v>
          </cell>
          <cell r="C186" t="str">
            <v>363.22</v>
          </cell>
          <cell r="D186">
            <v>508.51</v>
          </cell>
          <cell r="F186" t="str">
            <v>237.54</v>
          </cell>
          <cell r="G186">
            <v>332.56</v>
          </cell>
        </row>
        <row r="187">
          <cell r="B187">
            <v>183</v>
          </cell>
          <cell r="C187" t="str">
            <v>365.28</v>
          </cell>
          <cell r="D187">
            <v>511.39</v>
          </cell>
          <cell r="F187" t="str">
            <v>238.86</v>
          </cell>
          <cell r="G187">
            <v>334.4</v>
          </cell>
        </row>
        <row r="188">
          <cell r="B188">
            <v>184</v>
          </cell>
          <cell r="C188" t="str">
            <v>367.02</v>
          </cell>
          <cell r="D188">
            <v>513.83000000000004</v>
          </cell>
          <cell r="F188" t="str">
            <v>240.09</v>
          </cell>
          <cell r="G188">
            <v>336.13</v>
          </cell>
        </row>
        <row r="189">
          <cell r="B189">
            <v>185</v>
          </cell>
          <cell r="C189" t="str">
            <v>369.08</v>
          </cell>
          <cell r="D189">
            <v>516.71</v>
          </cell>
          <cell r="F189" t="str">
            <v>241.42</v>
          </cell>
          <cell r="G189">
            <v>337.99</v>
          </cell>
        </row>
        <row r="190">
          <cell r="B190">
            <v>186</v>
          </cell>
          <cell r="C190" t="str">
            <v>371.15</v>
          </cell>
          <cell r="D190">
            <v>519.61</v>
          </cell>
          <cell r="F190" t="str">
            <v>242.74</v>
          </cell>
          <cell r="G190">
            <v>339.84</v>
          </cell>
        </row>
        <row r="191">
          <cell r="B191">
            <v>187</v>
          </cell>
          <cell r="C191" t="str">
            <v>373.22</v>
          </cell>
          <cell r="D191">
            <v>522.51</v>
          </cell>
          <cell r="F191" t="str">
            <v>244.07</v>
          </cell>
          <cell r="G191">
            <v>341.7</v>
          </cell>
        </row>
        <row r="192">
          <cell r="B192">
            <v>188</v>
          </cell>
          <cell r="C192" t="str">
            <v>374.95</v>
          </cell>
          <cell r="D192">
            <v>524.92999999999995</v>
          </cell>
          <cell r="F192" t="str">
            <v>245.3</v>
          </cell>
          <cell r="G192">
            <v>343.42</v>
          </cell>
        </row>
        <row r="193">
          <cell r="B193">
            <v>189</v>
          </cell>
          <cell r="C193" t="str">
            <v>377.03</v>
          </cell>
          <cell r="D193">
            <v>527.84</v>
          </cell>
          <cell r="F193" t="str">
            <v>246.63</v>
          </cell>
          <cell r="G193">
            <v>345.28</v>
          </cell>
        </row>
        <row r="194">
          <cell r="B194">
            <v>190</v>
          </cell>
          <cell r="C194" t="str">
            <v>379.11</v>
          </cell>
          <cell r="D194">
            <v>530.75</v>
          </cell>
          <cell r="F194" t="str">
            <v>247.96</v>
          </cell>
          <cell r="G194">
            <v>347.14</v>
          </cell>
        </row>
        <row r="195">
          <cell r="B195">
            <v>191</v>
          </cell>
          <cell r="C195" t="str">
            <v>381.2</v>
          </cell>
          <cell r="D195">
            <v>533.67999999999995</v>
          </cell>
          <cell r="F195" t="str">
            <v>249.29</v>
          </cell>
          <cell r="G195">
            <v>349.01</v>
          </cell>
        </row>
        <row r="196">
          <cell r="B196">
            <v>192</v>
          </cell>
          <cell r="C196" t="str">
            <v>382.93</v>
          </cell>
          <cell r="D196">
            <v>536.1</v>
          </cell>
          <cell r="F196" t="str">
            <v>250.53</v>
          </cell>
          <cell r="G196">
            <v>350.74</v>
          </cell>
        </row>
        <row r="197">
          <cell r="B197">
            <v>193</v>
          </cell>
          <cell r="C197" t="str">
            <v>385.02</v>
          </cell>
          <cell r="D197">
            <v>539.03</v>
          </cell>
          <cell r="F197" t="str">
            <v>251.86</v>
          </cell>
          <cell r="G197">
            <v>352.6</v>
          </cell>
        </row>
        <row r="198">
          <cell r="B198">
            <v>194</v>
          </cell>
          <cell r="C198" t="str">
            <v>387.12</v>
          </cell>
          <cell r="D198">
            <v>541.97</v>
          </cell>
          <cell r="F198" t="str">
            <v>253.19</v>
          </cell>
          <cell r="G198">
            <v>354.47</v>
          </cell>
        </row>
        <row r="199">
          <cell r="B199">
            <v>195</v>
          </cell>
          <cell r="C199" t="str">
            <v>389.22</v>
          </cell>
          <cell r="D199">
            <v>544.91</v>
          </cell>
          <cell r="F199" t="str">
            <v>254.43</v>
          </cell>
          <cell r="G199">
            <v>356.2</v>
          </cell>
        </row>
        <row r="200">
          <cell r="B200">
            <v>196</v>
          </cell>
          <cell r="C200" t="str">
            <v>390.95</v>
          </cell>
          <cell r="D200">
            <v>547.33000000000004</v>
          </cell>
          <cell r="F200" t="str">
            <v>255.76</v>
          </cell>
          <cell r="G200">
            <v>358.06</v>
          </cell>
        </row>
        <row r="201">
          <cell r="B201">
            <v>197</v>
          </cell>
          <cell r="C201" t="str">
            <v>393.06</v>
          </cell>
          <cell r="D201">
            <v>550.28</v>
          </cell>
          <cell r="F201" t="str">
            <v>257.1</v>
          </cell>
          <cell r="G201">
            <v>359.94</v>
          </cell>
        </row>
        <row r="202">
          <cell r="B202">
            <v>198</v>
          </cell>
          <cell r="C202" t="str">
            <v>395.17</v>
          </cell>
          <cell r="D202">
            <v>553.24</v>
          </cell>
          <cell r="F202" t="str">
            <v>258.33</v>
          </cell>
          <cell r="G202">
            <v>361.66</v>
          </cell>
        </row>
        <row r="203">
          <cell r="B203">
            <v>199</v>
          </cell>
          <cell r="C203" t="str">
            <v>396.91</v>
          </cell>
          <cell r="D203">
            <v>555.66999999999996</v>
          </cell>
          <cell r="F203" t="str">
            <v>259.67</v>
          </cell>
          <cell r="G203">
            <v>363.54</v>
          </cell>
        </row>
        <row r="204">
          <cell r="B204">
            <v>200</v>
          </cell>
          <cell r="C204" t="str">
            <v>399.02</v>
          </cell>
          <cell r="D204">
            <v>558.63</v>
          </cell>
          <cell r="F204" t="str">
            <v>261.01</v>
          </cell>
          <cell r="G204">
            <v>365.41</v>
          </cell>
        </row>
        <row r="205">
          <cell r="B205">
            <v>201</v>
          </cell>
          <cell r="C205">
            <v>401.02</v>
          </cell>
          <cell r="D205">
            <v>561.42999999999995</v>
          </cell>
          <cell r="F205">
            <v>262.31</v>
          </cell>
          <cell r="G205">
            <v>367.23</v>
          </cell>
        </row>
        <row r="206">
          <cell r="B206">
            <v>202</v>
          </cell>
          <cell r="C206">
            <v>403.02</v>
          </cell>
          <cell r="D206">
            <v>564.23</v>
          </cell>
          <cell r="F206">
            <v>263.61</v>
          </cell>
          <cell r="G206">
            <v>369.05</v>
          </cell>
        </row>
        <row r="207">
          <cell r="B207">
            <v>203</v>
          </cell>
          <cell r="C207">
            <v>405.02</v>
          </cell>
          <cell r="D207">
            <v>567.03</v>
          </cell>
          <cell r="F207">
            <v>264.91000000000003</v>
          </cell>
          <cell r="G207">
            <v>370.87</v>
          </cell>
        </row>
        <row r="208">
          <cell r="B208">
            <v>204</v>
          </cell>
          <cell r="C208">
            <v>407.02</v>
          </cell>
          <cell r="D208">
            <v>569.83000000000004</v>
          </cell>
          <cell r="F208">
            <v>266.21000000000004</v>
          </cell>
          <cell r="G208">
            <v>372.69</v>
          </cell>
        </row>
        <row r="209">
          <cell r="B209">
            <v>205</v>
          </cell>
          <cell r="C209">
            <v>409.02</v>
          </cell>
          <cell r="D209">
            <v>572.63</v>
          </cell>
          <cell r="F209">
            <v>267.51000000000005</v>
          </cell>
          <cell r="G209">
            <v>374.51</v>
          </cell>
        </row>
        <row r="210">
          <cell r="B210">
            <v>206</v>
          </cell>
          <cell r="C210">
            <v>411.02</v>
          </cell>
          <cell r="D210">
            <v>575.42999999999995</v>
          </cell>
          <cell r="F210">
            <v>268.81000000000006</v>
          </cell>
          <cell r="G210">
            <v>376.33</v>
          </cell>
        </row>
        <row r="211">
          <cell r="B211">
            <v>207</v>
          </cell>
          <cell r="C211">
            <v>413.02</v>
          </cell>
          <cell r="D211">
            <v>578.23</v>
          </cell>
          <cell r="F211">
            <v>270.11000000000007</v>
          </cell>
          <cell r="G211">
            <v>378.15</v>
          </cell>
        </row>
        <row r="212">
          <cell r="B212">
            <v>208</v>
          </cell>
          <cell r="C212">
            <v>415.02</v>
          </cell>
          <cell r="D212">
            <v>581.03</v>
          </cell>
          <cell r="F212">
            <v>271.41000000000008</v>
          </cell>
          <cell r="G212">
            <v>379.97</v>
          </cell>
        </row>
        <row r="213">
          <cell r="B213">
            <v>209</v>
          </cell>
          <cell r="C213">
            <v>417.02</v>
          </cell>
          <cell r="D213">
            <v>583.83000000000004</v>
          </cell>
          <cell r="F213">
            <v>272.71000000000009</v>
          </cell>
          <cell r="G213">
            <v>381.79</v>
          </cell>
        </row>
        <row r="214">
          <cell r="B214">
            <v>210</v>
          </cell>
          <cell r="C214">
            <v>419.02</v>
          </cell>
          <cell r="D214">
            <v>586.63</v>
          </cell>
          <cell r="F214">
            <v>274.0100000000001</v>
          </cell>
          <cell r="G214">
            <v>383.61</v>
          </cell>
        </row>
        <row r="215">
          <cell r="B215">
            <v>211</v>
          </cell>
          <cell r="C215">
            <v>421.02</v>
          </cell>
          <cell r="D215">
            <v>589.42999999999995</v>
          </cell>
          <cell r="F215">
            <v>275.31000000000012</v>
          </cell>
          <cell r="G215">
            <v>385.43</v>
          </cell>
        </row>
        <row r="216">
          <cell r="B216">
            <v>212</v>
          </cell>
          <cell r="C216">
            <v>423.02</v>
          </cell>
          <cell r="D216">
            <v>592.23</v>
          </cell>
          <cell r="F216">
            <v>276.61000000000013</v>
          </cell>
          <cell r="G216">
            <v>387.25</v>
          </cell>
        </row>
        <row r="217">
          <cell r="B217">
            <v>213</v>
          </cell>
          <cell r="C217">
            <v>425.02</v>
          </cell>
          <cell r="D217">
            <v>595.03</v>
          </cell>
          <cell r="F217">
            <v>277.91000000000014</v>
          </cell>
          <cell r="G217">
            <v>389.07</v>
          </cell>
        </row>
        <row r="218">
          <cell r="B218">
            <v>214</v>
          </cell>
          <cell r="C218">
            <v>427.02</v>
          </cell>
          <cell r="D218">
            <v>597.83000000000004</v>
          </cell>
          <cell r="F218">
            <v>279.21000000000015</v>
          </cell>
          <cell r="G218">
            <v>390.89</v>
          </cell>
        </row>
        <row r="219">
          <cell r="B219">
            <v>215</v>
          </cell>
          <cell r="C219">
            <v>429.02</v>
          </cell>
          <cell r="D219">
            <v>600.63</v>
          </cell>
          <cell r="F219">
            <v>280.51000000000016</v>
          </cell>
          <cell r="G219">
            <v>392.71</v>
          </cell>
        </row>
        <row r="220">
          <cell r="B220">
            <v>216</v>
          </cell>
          <cell r="C220">
            <v>431.02</v>
          </cell>
          <cell r="D220">
            <v>603.42999999999995</v>
          </cell>
          <cell r="F220">
            <v>281.81000000000017</v>
          </cell>
          <cell r="G220">
            <v>394.53</v>
          </cell>
        </row>
        <row r="221">
          <cell r="B221">
            <v>217</v>
          </cell>
          <cell r="C221">
            <v>433.02</v>
          </cell>
          <cell r="D221">
            <v>606.23</v>
          </cell>
          <cell r="F221">
            <v>283.11000000000018</v>
          </cell>
          <cell r="G221">
            <v>396.35</v>
          </cell>
        </row>
        <row r="222">
          <cell r="B222">
            <v>218</v>
          </cell>
          <cell r="C222">
            <v>435.02</v>
          </cell>
          <cell r="D222">
            <v>609.03</v>
          </cell>
          <cell r="F222">
            <v>284.4100000000002</v>
          </cell>
          <cell r="G222">
            <v>398.17</v>
          </cell>
        </row>
        <row r="223">
          <cell r="B223">
            <v>219</v>
          </cell>
          <cell r="C223">
            <v>437.02</v>
          </cell>
          <cell r="D223">
            <v>611.83000000000004</v>
          </cell>
          <cell r="F223">
            <v>285.71000000000021</v>
          </cell>
          <cell r="G223">
            <v>399.99</v>
          </cell>
        </row>
        <row r="224">
          <cell r="B224">
            <v>220</v>
          </cell>
          <cell r="C224">
            <v>439.02</v>
          </cell>
          <cell r="D224">
            <v>614.63</v>
          </cell>
          <cell r="F224">
            <v>287.01000000000022</v>
          </cell>
          <cell r="G224">
            <v>401.81</v>
          </cell>
        </row>
        <row r="225">
          <cell r="B225">
            <v>221</v>
          </cell>
          <cell r="C225">
            <v>441.02</v>
          </cell>
          <cell r="D225">
            <v>617.42999999999995</v>
          </cell>
          <cell r="F225">
            <v>288.31000000000023</v>
          </cell>
          <cell r="G225">
            <v>403.63</v>
          </cell>
        </row>
        <row r="226">
          <cell r="B226">
            <v>222</v>
          </cell>
          <cell r="C226">
            <v>443.02</v>
          </cell>
          <cell r="D226">
            <v>620.23</v>
          </cell>
          <cell r="F226">
            <v>289.61000000000024</v>
          </cell>
          <cell r="G226">
            <v>405.45</v>
          </cell>
        </row>
        <row r="227">
          <cell r="B227">
            <v>223</v>
          </cell>
          <cell r="C227">
            <v>445.02</v>
          </cell>
          <cell r="D227">
            <v>623.03</v>
          </cell>
          <cell r="F227">
            <v>290.91000000000025</v>
          </cell>
          <cell r="G227">
            <v>407.27</v>
          </cell>
        </row>
        <row r="228">
          <cell r="B228">
            <v>224</v>
          </cell>
          <cell r="C228">
            <v>447.02</v>
          </cell>
          <cell r="D228">
            <v>625.83000000000004</v>
          </cell>
          <cell r="F228">
            <v>292.21000000000026</v>
          </cell>
          <cell r="G228">
            <v>409.09</v>
          </cell>
        </row>
        <row r="229">
          <cell r="B229">
            <v>225</v>
          </cell>
          <cell r="C229">
            <v>449.02</v>
          </cell>
          <cell r="D229">
            <v>628.63</v>
          </cell>
          <cell r="F229">
            <v>293.51000000000028</v>
          </cell>
          <cell r="G229">
            <v>410.91</v>
          </cell>
        </row>
        <row r="230">
          <cell r="B230">
            <v>226</v>
          </cell>
          <cell r="C230">
            <v>451.02</v>
          </cell>
          <cell r="D230">
            <v>631.42999999999995</v>
          </cell>
          <cell r="F230">
            <v>294.81000000000029</v>
          </cell>
          <cell r="G230">
            <v>412.73</v>
          </cell>
        </row>
        <row r="231">
          <cell r="B231">
            <v>227</v>
          </cell>
          <cell r="C231">
            <v>453.02</v>
          </cell>
          <cell r="D231">
            <v>634.23</v>
          </cell>
          <cell r="F231">
            <v>296.1100000000003</v>
          </cell>
          <cell r="G231">
            <v>414.55</v>
          </cell>
        </row>
        <row r="232">
          <cell r="B232">
            <v>228</v>
          </cell>
          <cell r="C232">
            <v>455.02</v>
          </cell>
          <cell r="D232">
            <v>637.03</v>
          </cell>
          <cell r="F232">
            <v>297.41000000000031</v>
          </cell>
          <cell r="G232">
            <v>416.37</v>
          </cell>
        </row>
        <row r="233">
          <cell r="B233">
            <v>229</v>
          </cell>
          <cell r="C233">
            <v>457.02</v>
          </cell>
          <cell r="D233">
            <v>639.83000000000004</v>
          </cell>
          <cell r="F233">
            <v>298.71000000000032</v>
          </cell>
          <cell r="G233">
            <v>418.19</v>
          </cell>
        </row>
        <row r="234">
          <cell r="B234">
            <v>230</v>
          </cell>
          <cell r="C234">
            <v>459.02</v>
          </cell>
          <cell r="D234">
            <v>642.63</v>
          </cell>
          <cell r="F234">
            <v>300.01000000000033</v>
          </cell>
          <cell r="G234">
            <v>420.01</v>
          </cell>
        </row>
        <row r="235">
          <cell r="B235">
            <v>231</v>
          </cell>
          <cell r="C235">
            <v>461.02</v>
          </cell>
          <cell r="D235">
            <v>645.42999999999995</v>
          </cell>
          <cell r="F235">
            <v>301.31000000000034</v>
          </cell>
          <cell r="G235">
            <v>421.83</v>
          </cell>
        </row>
        <row r="236">
          <cell r="B236">
            <v>232</v>
          </cell>
          <cell r="C236">
            <v>463.02</v>
          </cell>
          <cell r="D236">
            <v>648.23</v>
          </cell>
          <cell r="F236">
            <v>302.61000000000035</v>
          </cell>
          <cell r="G236">
            <v>423.65</v>
          </cell>
        </row>
        <row r="237">
          <cell r="B237">
            <v>233</v>
          </cell>
          <cell r="C237">
            <v>465.02</v>
          </cell>
          <cell r="D237">
            <v>651.03</v>
          </cell>
          <cell r="F237">
            <v>303.91000000000037</v>
          </cell>
          <cell r="G237">
            <v>425.47</v>
          </cell>
        </row>
        <row r="238">
          <cell r="B238">
            <v>234</v>
          </cell>
          <cell r="C238">
            <v>467.02</v>
          </cell>
          <cell r="D238">
            <v>653.83000000000004</v>
          </cell>
          <cell r="F238">
            <v>305.21000000000038</v>
          </cell>
          <cell r="G238">
            <v>427.29</v>
          </cell>
        </row>
        <row r="239">
          <cell r="B239">
            <v>235</v>
          </cell>
          <cell r="C239">
            <v>469.02</v>
          </cell>
          <cell r="D239">
            <v>656.63</v>
          </cell>
          <cell r="F239">
            <v>306.51000000000039</v>
          </cell>
          <cell r="G239">
            <v>429.11</v>
          </cell>
        </row>
        <row r="240">
          <cell r="B240">
            <v>236</v>
          </cell>
          <cell r="C240">
            <v>471.02</v>
          </cell>
          <cell r="D240">
            <v>659.43</v>
          </cell>
          <cell r="F240">
            <v>307.8100000000004</v>
          </cell>
          <cell r="G240">
            <v>430.93</v>
          </cell>
        </row>
        <row r="241">
          <cell r="B241">
            <v>237</v>
          </cell>
          <cell r="C241">
            <v>473.02</v>
          </cell>
          <cell r="D241">
            <v>662.23</v>
          </cell>
          <cell r="F241">
            <v>309.11000000000041</v>
          </cell>
          <cell r="G241">
            <v>432.75</v>
          </cell>
        </row>
        <row r="242">
          <cell r="B242">
            <v>238</v>
          </cell>
          <cell r="C242">
            <v>475.02</v>
          </cell>
          <cell r="D242">
            <v>665.03</v>
          </cell>
          <cell r="F242">
            <v>310.41000000000042</v>
          </cell>
          <cell r="G242">
            <v>434.57</v>
          </cell>
        </row>
        <row r="243">
          <cell r="B243">
            <v>239</v>
          </cell>
          <cell r="C243">
            <v>477.02</v>
          </cell>
          <cell r="D243">
            <v>667.83</v>
          </cell>
          <cell r="F243">
            <v>311.71000000000043</v>
          </cell>
          <cell r="G243">
            <v>436.39</v>
          </cell>
        </row>
        <row r="244">
          <cell r="B244">
            <v>240</v>
          </cell>
          <cell r="C244">
            <v>479.02</v>
          </cell>
          <cell r="D244">
            <v>670.63</v>
          </cell>
          <cell r="F244">
            <v>313.01000000000045</v>
          </cell>
          <cell r="G244">
            <v>438.21</v>
          </cell>
        </row>
        <row r="245">
          <cell r="B245">
            <v>241</v>
          </cell>
          <cell r="C245">
            <v>481.02</v>
          </cell>
          <cell r="D245">
            <v>673.43</v>
          </cell>
          <cell r="F245">
            <v>314.31000000000046</v>
          </cell>
          <cell r="G245">
            <v>440.03</v>
          </cell>
        </row>
        <row r="246">
          <cell r="B246">
            <v>242</v>
          </cell>
          <cell r="C246">
            <v>483.02</v>
          </cell>
          <cell r="D246">
            <v>676.23</v>
          </cell>
          <cell r="F246">
            <v>315.61000000000047</v>
          </cell>
          <cell r="G246">
            <v>441.85</v>
          </cell>
        </row>
        <row r="247">
          <cell r="B247">
            <v>243</v>
          </cell>
          <cell r="C247">
            <v>485.02</v>
          </cell>
          <cell r="D247">
            <v>679.03</v>
          </cell>
          <cell r="F247">
            <v>316.91000000000048</v>
          </cell>
          <cell r="G247">
            <v>443.67</v>
          </cell>
        </row>
        <row r="248">
          <cell r="B248">
            <v>244</v>
          </cell>
          <cell r="C248">
            <v>487.02</v>
          </cell>
          <cell r="D248">
            <v>681.83</v>
          </cell>
          <cell r="F248">
            <v>318.21000000000049</v>
          </cell>
          <cell r="G248">
            <v>445.49</v>
          </cell>
        </row>
        <row r="249">
          <cell r="B249">
            <v>245</v>
          </cell>
          <cell r="C249">
            <v>489.02</v>
          </cell>
          <cell r="D249">
            <v>684.63</v>
          </cell>
          <cell r="F249">
            <v>319.5100000000005</v>
          </cell>
          <cell r="G249">
            <v>447.31</v>
          </cell>
        </row>
        <row r="250">
          <cell r="B250">
            <v>246</v>
          </cell>
          <cell r="C250">
            <v>491.02</v>
          </cell>
          <cell r="D250">
            <v>687.43</v>
          </cell>
          <cell r="F250">
            <v>320.81000000000051</v>
          </cell>
          <cell r="G250">
            <v>449.13</v>
          </cell>
        </row>
        <row r="251">
          <cell r="B251">
            <v>247</v>
          </cell>
          <cell r="C251">
            <v>493.02</v>
          </cell>
          <cell r="D251">
            <v>690.23</v>
          </cell>
          <cell r="F251">
            <v>322.11000000000053</v>
          </cell>
          <cell r="G251">
            <v>450.95</v>
          </cell>
        </row>
        <row r="252">
          <cell r="B252">
            <v>248</v>
          </cell>
          <cell r="C252">
            <v>495.02</v>
          </cell>
          <cell r="D252">
            <v>693.03</v>
          </cell>
          <cell r="F252">
            <v>323.41000000000054</v>
          </cell>
          <cell r="G252">
            <v>452.77</v>
          </cell>
        </row>
        <row r="253">
          <cell r="B253">
            <v>249</v>
          </cell>
          <cell r="C253">
            <v>497.02</v>
          </cell>
          <cell r="D253">
            <v>695.83</v>
          </cell>
          <cell r="F253">
            <v>324.71000000000055</v>
          </cell>
          <cell r="G253">
            <v>454.59</v>
          </cell>
        </row>
        <row r="254">
          <cell r="B254">
            <v>250</v>
          </cell>
          <cell r="C254">
            <v>499.02</v>
          </cell>
          <cell r="D254">
            <v>698.63</v>
          </cell>
          <cell r="F254">
            <v>326.01000000000056</v>
          </cell>
          <cell r="G254">
            <v>456.41</v>
          </cell>
        </row>
        <row r="255">
          <cell r="B255">
            <v>251</v>
          </cell>
          <cell r="C255">
            <v>501.02</v>
          </cell>
          <cell r="D255">
            <v>701.43</v>
          </cell>
          <cell r="F255">
            <v>327.31000000000057</v>
          </cell>
          <cell r="G255">
            <v>458.23</v>
          </cell>
        </row>
        <row r="256">
          <cell r="B256">
            <v>252</v>
          </cell>
          <cell r="C256">
            <v>503.02</v>
          </cell>
          <cell r="D256">
            <v>704.23</v>
          </cell>
          <cell r="F256">
            <v>328.61000000000058</v>
          </cell>
          <cell r="G256">
            <v>460.05</v>
          </cell>
        </row>
        <row r="257">
          <cell r="B257">
            <v>253</v>
          </cell>
          <cell r="C257">
            <v>505.02</v>
          </cell>
          <cell r="D257">
            <v>707.03</v>
          </cell>
          <cell r="F257">
            <v>329.91000000000059</v>
          </cell>
          <cell r="G257">
            <v>461.87</v>
          </cell>
        </row>
        <row r="258">
          <cell r="B258">
            <v>254</v>
          </cell>
          <cell r="C258">
            <v>507.02</v>
          </cell>
          <cell r="D258">
            <v>709.83</v>
          </cell>
          <cell r="F258">
            <v>331.2100000000006</v>
          </cell>
          <cell r="G258">
            <v>463.69</v>
          </cell>
        </row>
        <row r="259">
          <cell r="B259">
            <v>255</v>
          </cell>
          <cell r="C259">
            <v>509.02</v>
          </cell>
          <cell r="D259">
            <v>712.63</v>
          </cell>
          <cell r="F259">
            <v>332.51000000000062</v>
          </cell>
          <cell r="G259">
            <v>465.51</v>
          </cell>
        </row>
        <row r="260">
          <cell r="B260">
            <v>256</v>
          </cell>
          <cell r="C260">
            <v>511.02</v>
          </cell>
          <cell r="D260">
            <v>715.43</v>
          </cell>
          <cell r="F260">
            <v>333.81000000000063</v>
          </cell>
          <cell r="G260">
            <v>467.33</v>
          </cell>
        </row>
        <row r="261">
          <cell r="B261">
            <v>257</v>
          </cell>
          <cell r="C261">
            <v>513.02</v>
          </cell>
          <cell r="D261">
            <v>718.23</v>
          </cell>
          <cell r="F261">
            <v>335.11000000000064</v>
          </cell>
          <cell r="G261">
            <v>469.15</v>
          </cell>
        </row>
        <row r="262">
          <cell r="B262">
            <v>258</v>
          </cell>
          <cell r="C262">
            <v>515.02</v>
          </cell>
          <cell r="D262">
            <v>721.03</v>
          </cell>
          <cell r="F262">
            <v>336.41000000000065</v>
          </cell>
          <cell r="G262">
            <v>470.97</v>
          </cell>
        </row>
        <row r="263">
          <cell r="B263">
            <v>259</v>
          </cell>
          <cell r="C263">
            <v>517.02</v>
          </cell>
          <cell r="D263">
            <v>723.83</v>
          </cell>
          <cell r="F263">
            <v>337.71000000000066</v>
          </cell>
          <cell r="G263">
            <v>472.79</v>
          </cell>
        </row>
        <row r="264">
          <cell r="B264">
            <v>260</v>
          </cell>
          <cell r="C264">
            <v>519.02</v>
          </cell>
          <cell r="D264">
            <v>726.63</v>
          </cell>
          <cell r="F264">
            <v>339.01000000000067</v>
          </cell>
          <cell r="G264">
            <v>474.61</v>
          </cell>
        </row>
        <row r="265">
          <cell r="B265">
            <v>261</v>
          </cell>
          <cell r="C265">
            <v>521.02</v>
          </cell>
          <cell r="D265">
            <v>729.43</v>
          </cell>
          <cell r="F265">
            <v>340.31000000000068</v>
          </cell>
          <cell r="G265">
            <v>476.43</v>
          </cell>
        </row>
        <row r="266">
          <cell r="B266">
            <v>262</v>
          </cell>
          <cell r="C266">
            <v>523.02</v>
          </cell>
          <cell r="D266">
            <v>732.23</v>
          </cell>
          <cell r="F266">
            <v>341.6100000000007</v>
          </cell>
          <cell r="G266">
            <v>478.25</v>
          </cell>
        </row>
        <row r="267">
          <cell r="B267">
            <v>263</v>
          </cell>
          <cell r="C267">
            <v>525.02</v>
          </cell>
          <cell r="D267">
            <v>735.03</v>
          </cell>
          <cell r="F267">
            <v>342.91000000000071</v>
          </cell>
          <cell r="G267">
            <v>480.07</v>
          </cell>
        </row>
        <row r="268">
          <cell r="B268">
            <v>264</v>
          </cell>
          <cell r="C268">
            <v>527.02</v>
          </cell>
          <cell r="D268">
            <v>737.83</v>
          </cell>
          <cell r="F268">
            <v>344.21000000000072</v>
          </cell>
          <cell r="G268">
            <v>481.89</v>
          </cell>
        </row>
        <row r="269">
          <cell r="B269">
            <v>265</v>
          </cell>
          <cell r="C269">
            <v>529.02</v>
          </cell>
          <cell r="D269">
            <v>740.63</v>
          </cell>
          <cell r="F269">
            <v>345.51000000000073</v>
          </cell>
          <cell r="G269">
            <v>483.71</v>
          </cell>
        </row>
        <row r="270">
          <cell r="B270">
            <v>266</v>
          </cell>
          <cell r="C270">
            <v>531.02</v>
          </cell>
          <cell r="D270">
            <v>743.43</v>
          </cell>
          <cell r="F270">
            <v>346.81000000000074</v>
          </cell>
          <cell r="G270">
            <v>485.53</v>
          </cell>
        </row>
        <row r="271">
          <cell r="B271">
            <v>267</v>
          </cell>
          <cell r="C271">
            <v>533.02</v>
          </cell>
          <cell r="D271">
            <v>746.23</v>
          </cell>
          <cell r="F271">
            <v>348.11000000000075</v>
          </cell>
          <cell r="G271">
            <v>487.35</v>
          </cell>
        </row>
        <row r="272">
          <cell r="B272">
            <v>268</v>
          </cell>
          <cell r="C272">
            <v>535.02</v>
          </cell>
          <cell r="D272">
            <v>749.03</v>
          </cell>
          <cell r="F272">
            <v>349.41000000000076</v>
          </cell>
          <cell r="G272">
            <v>489.17</v>
          </cell>
        </row>
        <row r="273">
          <cell r="B273">
            <v>269</v>
          </cell>
          <cell r="C273">
            <v>537.02</v>
          </cell>
          <cell r="D273">
            <v>751.83</v>
          </cell>
          <cell r="F273">
            <v>350.71000000000078</v>
          </cell>
          <cell r="G273">
            <v>490.99</v>
          </cell>
        </row>
        <row r="274">
          <cell r="B274">
            <v>270</v>
          </cell>
          <cell r="C274">
            <v>539.02</v>
          </cell>
          <cell r="D274">
            <v>754.63</v>
          </cell>
          <cell r="F274">
            <v>352.01000000000079</v>
          </cell>
          <cell r="G274">
            <v>492.81</v>
          </cell>
        </row>
        <row r="275">
          <cell r="B275">
            <v>271</v>
          </cell>
          <cell r="C275">
            <v>541.02</v>
          </cell>
          <cell r="D275">
            <v>757.43</v>
          </cell>
          <cell r="F275">
            <v>353.3100000000008</v>
          </cell>
          <cell r="G275">
            <v>494.63</v>
          </cell>
        </row>
        <row r="276">
          <cell r="B276">
            <v>272</v>
          </cell>
          <cell r="C276">
            <v>543.02</v>
          </cell>
          <cell r="D276">
            <v>760.23</v>
          </cell>
          <cell r="F276">
            <v>354.61000000000081</v>
          </cell>
          <cell r="G276">
            <v>496.45</v>
          </cell>
        </row>
        <row r="277">
          <cell r="B277">
            <v>273</v>
          </cell>
          <cell r="C277">
            <v>545.02</v>
          </cell>
          <cell r="D277">
            <v>763.03</v>
          </cell>
          <cell r="F277">
            <v>355.91000000000082</v>
          </cell>
          <cell r="G277">
            <v>498.27</v>
          </cell>
        </row>
        <row r="278">
          <cell r="B278">
            <v>274</v>
          </cell>
          <cell r="C278">
            <v>547.02</v>
          </cell>
          <cell r="D278">
            <v>765.83</v>
          </cell>
          <cell r="F278">
            <v>357.21000000000083</v>
          </cell>
          <cell r="G278">
            <v>500.09</v>
          </cell>
        </row>
        <row r="279">
          <cell r="B279">
            <v>275</v>
          </cell>
          <cell r="C279">
            <v>549.02</v>
          </cell>
          <cell r="D279">
            <v>768.63</v>
          </cell>
          <cell r="F279">
            <v>358.51000000000084</v>
          </cell>
          <cell r="G279">
            <v>501.91</v>
          </cell>
        </row>
        <row r="280">
          <cell r="B280">
            <v>276</v>
          </cell>
          <cell r="C280">
            <v>551.02</v>
          </cell>
          <cell r="D280">
            <v>771.43</v>
          </cell>
          <cell r="F280">
            <v>359.81000000000085</v>
          </cell>
          <cell r="G280">
            <v>503.73</v>
          </cell>
        </row>
        <row r="281">
          <cell r="B281">
            <v>277</v>
          </cell>
          <cell r="C281">
            <v>553.02</v>
          </cell>
          <cell r="D281">
            <v>774.23</v>
          </cell>
          <cell r="F281">
            <v>361.11000000000087</v>
          </cell>
          <cell r="G281">
            <v>505.55</v>
          </cell>
        </row>
        <row r="282">
          <cell r="B282">
            <v>278</v>
          </cell>
          <cell r="C282">
            <v>555.02</v>
          </cell>
          <cell r="D282">
            <v>777.03</v>
          </cell>
          <cell r="F282">
            <v>362.41000000000088</v>
          </cell>
          <cell r="G282">
            <v>507.37</v>
          </cell>
        </row>
        <row r="283">
          <cell r="B283">
            <v>279</v>
          </cell>
          <cell r="C283">
            <v>557.02</v>
          </cell>
          <cell r="D283">
            <v>779.83</v>
          </cell>
          <cell r="F283">
            <v>363.71000000000089</v>
          </cell>
          <cell r="G283">
            <v>509.19</v>
          </cell>
        </row>
        <row r="284">
          <cell r="B284">
            <v>280</v>
          </cell>
          <cell r="C284">
            <v>559.02</v>
          </cell>
          <cell r="D284">
            <v>782.63</v>
          </cell>
          <cell r="F284">
            <v>365.0100000000009</v>
          </cell>
          <cell r="G284">
            <v>511.01</v>
          </cell>
        </row>
        <row r="285">
          <cell r="B285">
            <v>281</v>
          </cell>
          <cell r="C285">
            <v>561.02</v>
          </cell>
          <cell r="D285">
            <v>785.43</v>
          </cell>
          <cell r="F285">
            <v>366.31000000000091</v>
          </cell>
          <cell r="G285">
            <v>512.83000000000004</v>
          </cell>
        </row>
        <row r="286">
          <cell r="B286">
            <v>282</v>
          </cell>
          <cell r="C286">
            <v>563.02</v>
          </cell>
          <cell r="D286">
            <v>788.23</v>
          </cell>
          <cell r="F286">
            <v>367.61000000000092</v>
          </cell>
          <cell r="G286">
            <v>514.65</v>
          </cell>
        </row>
        <row r="287">
          <cell r="B287">
            <v>283</v>
          </cell>
          <cell r="C287">
            <v>565.02</v>
          </cell>
          <cell r="D287">
            <v>791.03</v>
          </cell>
          <cell r="F287">
            <v>368.91000000000093</v>
          </cell>
          <cell r="G287">
            <v>516.47</v>
          </cell>
        </row>
        <row r="288">
          <cell r="B288">
            <v>284</v>
          </cell>
          <cell r="C288">
            <v>567.02</v>
          </cell>
          <cell r="D288">
            <v>793.83</v>
          </cell>
          <cell r="F288">
            <v>370.21000000000095</v>
          </cell>
          <cell r="G288">
            <v>518.29</v>
          </cell>
        </row>
        <row r="289">
          <cell r="B289">
            <v>285</v>
          </cell>
          <cell r="C289">
            <v>569.02</v>
          </cell>
          <cell r="D289">
            <v>796.63</v>
          </cell>
          <cell r="F289">
            <v>371.51000000000096</v>
          </cell>
          <cell r="G289">
            <v>520.11</v>
          </cell>
        </row>
        <row r="290">
          <cell r="B290">
            <v>286</v>
          </cell>
          <cell r="C290">
            <v>571.02</v>
          </cell>
          <cell r="D290">
            <v>799.43</v>
          </cell>
          <cell r="F290">
            <v>372.81000000000097</v>
          </cell>
          <cell r="G290">
            <v>521.92999999999995</v>
          </cell>
        </row>
        <row r="291">
          <cell r="B291">
            <v>287</v>
          </cell>
          <cell r="C291">
            <v>573.02</v>
          </cell>
          <cell r="D291">
            <v>802.23</v>
          </cell>
          <cell r="F291">
            <v>374.11000000000098</v>
          </cell>
          <cell r="G291">
            <v>523.75</v>
          </cell>
        </row>
        <row r="292">
          <cell r="B292">
            <v>288</v>
          </cell>
          <cell r="C292">
            <v>575.02</v>
          </cell>
          <cell r="D292">
            <v>805.03</v>
          </cell>
          <cell r="F292">
            <v>375.41000000000099</v>
          </cell>
          <cell r="G292">
            <v>525.57000000000005</v>
          </cell>
        </row>
        <row r="293">
          <cell r="B293">
            <v>289</v>
          </cell>
          <cell r="C293">
            <v>577.02</v>
          </cell>
          <cell r="D293">
            <v>807.83</v>
          </cell>
          <cell r="F293">
            <v>376.710000000001</v>
          </cell>
          <cell r="G293">
            <v>527.39</v>
          </cell>
        </row>
        <row r="294">
          <cell r="B294">
            <v>290</v>
          </cell>
          <cell r="C294">
            <v>579.02</v>
          </cell>
          <cell r="D294">
            <v>810.63</v>
          </cell>
          <cell r="F294">
            <v>378.01000000000101</v>
          </cell>
          <cell r="G294">
            <v>529.21</v>
          </cell>
        </row>
        <row r="295">
          <cell r="B295">
            <v>291</v>
          </cell>
          <cell r="C295">
            <v>581.02</v>
          </cell>
          <cell r="D295">
            <v>813.43</v>
          </cell>
          <cell r="F295">
            <v>379.31000000000103</v>
          </cell>
          <cell r="G295">
            <v>531.03</v>
          </cell>
        </row>
        <row r="296">
          <cell r="B296">
            <v>292</v>
          </cell>
          <cell r="C296">
            <v>583.02</v>
          </cell>
          <cell r="D296">
            <v>816.23</v>
          </cell>
          <cell r="F296">
            <v>380.61000000000104</v>
          </cell>
          <cell r="G296">
            <v>532.85</v>
          </cell>
        </row>
        <row r="297">
          <cell r="B297">
            <v>293</v>
          </cell>
          <cell r="C297">
            <v>585.02</v>
          </cell>
          <cell r="D297">
            <v>819.03</v>
          </cell>
          <cell r="F297">
            <v>381.91000000000105</v>
          </cell>
          <cell r="G297">
            <v>534.66999999999996</v>
          </cell>
        </row>
        <row r="298">
          <cell r="B298">
            <v>294</v>
          </cell>
          <cell r="C298">
            <v>587.02</v>
          </cell>
          <cell r="D298">
            <v>821.83</v>
          </cell>
          <cell r="F298">
            <v>383.21000000000106</v>
          </cell>
          <cell r="G298">
            <v>536.49</v>
          </cell>
        </row>
        <row r="299">
          <cell r="B299">
            <v>295</v>
          </cell>
          <cell r="C299">
            <v>589.02</v>
          </cell>
          <cell r="D299">
            <v>824.63</v>
          </cell>
          <cell r="F299">
            <v>384.51000000000107</v>
          </cell>
          <cell r="G299">
            <v>538.30999999999995</v>
          </cell>
        </row>
        <row r="300">
          <cell r="B300">
            <v>296</v>
          </cell>
          <cell r="C300">
            <v>591.02</v>
          </cell>
          <cell r="D300">
            <v>827.43</v>
          </cell>
          <cell r="F300">
            <v>385.81000000000108</v>
          </cell>
          <cell r="G300">
            <v>540.13</v>
          </cell>
        </row>
        <row r="301">
          <cell r="B301">
            <v>297</v>
          </cell>
          <cell r="C301">
            <v>593.02</v>
          </cell>
          <cell r="D301">
            <v>830.23</v>
          </cell>
          <cell r="F301">
            <v>387.11000000000109</v>
          </cell>
          <cell r="G301">
            <v>541.95000000000005</v>
          </cell>
        </row>
        <row r="302">
          <cell r="B302">
            <v>298</v>
          </cell>
          <cell r="C302">
            <v>595.02</v>
          </cell>
          <cell r="D302">
            <v>833.03</v>
          </cell>
          <cell r="F302">
            <v>388.41000000000111</v>
          </cell>
          <cell r="G302">
            <v>543.77</v>
          </cell>
        </row>
        <row r="303">
          <cell r="B303">
            <v>299</v>
          </cell>
          <cell r="C303">
            <v>597.02</v>
          </cell>
          <cell r="D303">
            <v>835.83</v>
          </cell>
          <cell r="F303">
            <v>389.71000000000112</v>
          </cell>
          <cell r="G303">
            <v>545.59</v>
          </cell>
        </row>
        <row r="304">
          <cell r="B304">
            <v>300</v>
          </cell>
          <cell r="C304">
            <v>599.02</v>
          </cell>
          <cell r="D304">
            <v>838.63</v>
          </cell>
          <cell r="F304">
            <v>391.01000000000113</v>
          </cell>
          <cell r="G304">
            <v>547.41</v>
          </cell>
        </row>
        <row r="305">
          <cell r="B305">
            <v>301</v>
          </cell>
          <cell r="C305">
            <v>601.02</v>
          </cell>
          <cell r="D305">
            <v>841.43</v>
          </cell>
          <cell r="F305">
            <v>392.31000000000114</v>
          </cell>
          <cell r="G305">
            <v>549.23</v>
          </cell>
        </row>
        <row r="306">
          <cell r="B306">
            <v>302</v>
          </cell>
          <cell r="C306">
            <v>603.02</v>
          </cell>
          <cell r="D306">
            <v>844.23</v>
          </cell>
          <cell r="F306">
            <v>393.61000000000115</v>
          </cell>
          <cell r="G306">
            <v>551.04999999999995</v>
          </cell>
        </row>
        <row r="307">
          <cell r="B307">
            <v>303</v>
          </cell>
          <cell r="C307">
            <v>605.02</v>
          </cell>
          <cell r="D307">
            <v>847.03</v>
          </cell>
          <cell r="F307">
            <v>394.91000000000116</v>
          </cell>
          <cell r="G307">
            <v>552.87</v>
          </cell>
        </row>
        <row r="308">
          <cell r="B308">
            <v>304</v>
          </cell>
          <cell r="C308">
            <v>607.02</v>
          </cell>
          <cell r="D308">
            <v>849.83</v>
          </cell>
          <cell r="F308">
            <v>396.21000000000117</v>
          </cell>
          <cell r="G308">
            <v>554.69000000000005</v>
          </cell>
        </row>
        <row r="309">
          <cell r="B309">
            <v>305</v>
          </cell>
          <cell r="C309">
            <v>609.02</v>
          </cell>
          <cell r="D309">
            <v>852.63</v>
          </cell>
          <cell r="F309">
            <v>397.51000000000118</v>
          </cell>
          <cell r="G309">
            <v>556.51</v>
          </cell>
        </row>
        <row r="310">
          <cell r="B310">
            <v>306</v>
          </cell>
          <cell r="C310">
            <v>611.02</v>
          </cell>
          <cell r="D310">
            <v>855.43</v>
          </cell>
          <cell r="F310">
            <v>398.8100000000012</v>
          </cell>
          <cell r="G310">
            <v>558.33000000000004</v>
          </cell>
        </row>
        <row r="311">
          <cell r="B311">
            <v>307</v>
          </cell>
          <cell r="C311">
            <v>613.02</v>
          </cell>
          <cell r="D311">
            <v>858.23</v>
          </cell>
          <cell r="F311">
            <v>400.11000000000121</v>
          </cell>
          <cell r="G311">
            <v>560.15</v>
          </cell>
        </row>
        <row r="312">
          <cell r="B312">
            <v>308</v>
          </cell>
          <cell r="C312">
            <v>615.02</v>
          </cell>
          <cell r="D312">
            <v>861.03</v>
          </cell>
          <cell r="F312">
            <v>401.41000000000122</v>
          </cell>
          <cell r="G312">
            <v>561.97</v>
          </cell>
        </row>
        <row r="313">
          <cell r="B313">
            <v>309</v>
          </cell>
          <cell r="C313">
            <v>617.02</v>
          </cell>
          <cell r="D313">
            <v>863.83</v>
          </cell>
          <cell r="F313">
            <v>402.71000000000123</v>
          </cell>
          <cell r="G313">
            <v>563.79</v>
          </cell>
        </row>
        <row r="314">
          <cell r="B314">
            <v>310</v>
          </cell>
          <cell r="C314">
            <v>619.02</v>
          </cell>
          <cell r="D314">
            <v>866.63</v>
          </cell>
          <cell r="F314">
            <v>404.01000000000124</v>
          </cell>
          <cell r="G314">
            <v>565.61</v>
          </cell>
        </row>
        <row r="315">
          <cell r="B315">
            <v>311</v>
          </cell>
          <cell r="C315">
            <v>621.02</v>
          </cell>
          <cell r="D315">
            <v>869.43</v>
          </cell>
          <cell r="F315">
            <v>405.31000000000125</v>
          </cell>
          <cell r="G315">
            <v>567.42999999999995</v>
          </cell>
        </row>
        <row r="316">
          <cell r="B316">
            <v>312</v>
          </cell>
          <cell r="C316">
            <v>623.02</v>
          </cell>
          <cell r="D316">
            <v>872.23</v>
          </cell>
          <cell r="F316">
            <v>406.61000000000126</v>
          </cell>
          <cell r="G316">
            <v>569.25</v>
          </cell>
        </row>
        <row r="317">
          <cell r="B317">
            <v>313</v>
          </cell>
          <cell r="C317">
            <v>625.02</v>
          </cell>
          <cell r="D317">
            <v>875.03</v>
          </cell>
          <cell r="F317">
            <v>407.91000000000128</v>
          </cell>
          <cell r="G317">
            <v>571.07000000000005</v>
          </cell>
        </row>
        <row r="318">
          <cell r="B318">
            <v>314</v>
          </cell>
          <cell r="C318">
            <v>627.02</v>
          </cell>
          <cell r="D318">
            <v>877.83</v>
          </cell>
          <cell r="F318">
            <v>409.21000000000129</v>
          </cell>
          <cell r="G318">
            <v>572.89</v>
          </cell>
        </row>
        <row r="319">
          <cell r="B319">
            <v>315</v>
          </cell>
          <cell r="C319">
            <v>629.02</v>
          </cell>
          <cell r="D319">
            <v>880.63</v>
          </cell>
          <cell r="F319">
            <v>410.5100000000013</v>
          </cell>
          <cell r="G319">
            <v>574.71</v>
          </cell>
        </row>
        <row r="320">
          <cell r="B320">
            <v>316</v>
          </cell>
          <cell r="C320">
            <v>631.02</v>
          </cell>
          <cell r="D320">
            <v>883.43</v>
          </cell>
          <cell r="F320">
            <v>411.81000000000131</v>
          </cell>
          <cell r="G320">
            <v>576.53</v>
          </cell>
        </row>
        <row r="321">
          <cell r="B321">
            <v>317</v>
          </cell>
          <cell r="C321">
            <v>633.02</v>
          </cell>
          <cell r="D321">
            <v>886.23</v>
          </cell>
          <cell r="F321">
            <v>413.11000000000132</v>
          </cell>
          <cell r="G321">
            <v>578.35</v>
          </cell>
        </row>
        <row r="322">
          <cell r="B322">
            <v>318</v>
          </cell>
          <cell r="C322">
            <v>635.02</v>
          </cell>
          <cell r="D322">
            <v>889.03</v>
          </cell>
          <cell r="F322">
            <v>414.41000000000133</v>
          </cell>
          <cell r="G322">
            <v>580.16999999999996</v>
          </cell>
        </row>
        <row r="323">
          <cell r="B323">
            <v>319</v>
          </cell>
          <cell r="C323">
            <v>637.02</v>
          </cell>
          <cell r="D323">
            <v>891.83</v>
          </cell>
          <cell r="F323">
            <v>415.71000000000134</v>
          </cell>
          <cell r="G323">
            <v>581.99</v>
          </cell>
        </row>
        <row r="324">
          <cell r="B324">
            <v>320</v>
          </cell>
          <cell r="C324">
            <v>639.02</v>
          </cell>
          <cell r="D324">
            <v>894.63</v>
          </cell>
          <cell r="F324">
            <v>417.01000000000136</v>
          </cell>
          <cell r="G324">
            <v>583.80999999999995</v>
          </cell>
        </row>
        <row r="325">
          <cell r="B325">
            <v>321</v>
          </cell>
          <cell r="C325">
            <v>641.02</v>
          </cell>
          <cell r="D325">
            <v>897.43</v>
          </cell>
          <cell r="F325">
            <v>418.31000000000137</v>
          </cell>
          <cell r="G325">
            <v>585.63</v>
          </cell>
        </row>
        <row r="326">
          <cell r="B326">
            <v>322</v>
          </cell>
          <cell r="C326">
            <v>643.02</v>
          </cell>
          <cell r="D326">
            <v>900.23</v>
          </cell>
          <cell r="F326">
            <v>419.61000000000138</v>
          </cell>
          <cell r="G326">
            <v>587.45000000000005</v>
          </cell>
        </row>
        <row r="327">
          <cell r="B327">
            <v>323</v>
          </cell>
          <cell r="C327">
            <v>645.02</v>
          </cell>
          <cell r="D327">
            <v>903.03</v>
          </cell>
          <cell r="F327">
            <v>420.91000000000139</v>
          </cell>
          <cell r="G327">
            <v>589.27</v>
          </cell>
        </row>
        <row r="328">
          <cell r="B328">
            <v>324</v>
          </cell>
          <cell r="C328">
            <v>647.02</v>
          </cell>
          <cell r="D328">
            <v>905.83</v>
          </cell>
          <cell r="F328">
            <v>422.2100000000014</v>
          </cell>
          <cell r="G328">
            <v>591.09</v>
          </cell>
        </row>
        <row r="329">
          <cell r="B329">
            <v>325</v>
          </cell>
          <cell r="C329">
            <v>649.02</v>
          </cell>
          <cell r="D329">
            <v>908.63</v>
          </cell>
          <cell r="F329">
            <v>423.51000000000141</v>
          </cell>
          <cell r="G329">
            <v>592.91</v>
          </cell>
        </row>
        <row r="330">
          <cell r="B330">
            <v>326</v>
          </cell>
          <cell r="C330">
            <v>651.02</v>
          </cell>
          <cell r="D330">
            <v>911.43</v>
          </cell>
          <cell r="F330">
            <v>424.81000000000142</v>
          </cell>
          <cell r="G330">
            <v>594.73</v>
          </cell>
        </row>
        <row r="331">
          <cell r="B331">
            <v>327</v>
          </cell>
          <cell r="C331">
            <v>653.02</v>
          </cell>
          <cell r="D331">
            <v>914.23</v>
          </cell>
          <cell r="F331">
            <v>426.11000000000143</v>
          </cell>
          <cell r="G331">
            <v>596.54999999999995</v>
          </cell>
        </row>
        <row r="332">
          <cell r="B332">
            <v>328</v>
          </cell>
          <cell r="C332">
            <v>655.02</v>
          </cell>
          <cell r="D332">
            <v>917.03</v>
          </cell>
          <cell r="F332">
            <v>427.41000000000145</v>
          </cell>
          <cell r="G332">
            <v>598.37</v>
          </cell>
        </row>
        <row r="333">
          <cell r="B333">
            <v>329</v>
          </cell>
          <cell r="C333">
            <v>657.02</v>
          </cell>
          <cell r="D333">
            <v>919.83</v>
          </cell>
          <cell r="F333">
            <v>428.71000000000146</v>
          </cell>
          <cell r="G333">
            <v>600.19000000000005</v>
          </cell>
        </row>
        <row r="334">
          <cell r="B334">
            <v>330</v>
          </cell>
          <cell r="C334">
            <v>659.02</v>
          </cell>
          <cell r="D334">
            <v>922.63</v>
          </cell>
          <cell r="F334">
            <v>430.01000000000147</v>
          </cell>
          <cell r="G334">
            <v>602.01</v>
          </cell>
        </row>
        <row r="335">
          <cell r="B335">
            <v>331</v>
          </cell>
          <cell r="C335">
            <v>661.02</v>
          </cell>
          <cell r="D335">
            <v>925.43</v>
          </cell>
          <cell r="F335">
            <v>431.31000000000148</v>
          </cell>
          <cell r="G335">
            <v>603.83000000000004</v>
          </cell>
        </row>
        <row r="336">
          <cell r="B336">
            <v>332</v>
          </cell>
          <cell r="C336">
            <v>663.02</v>
          </cell>
          <cell r="D336">
            <v>928.23</v>
          </cell>
          <cell r="F336">
            <v>432.61000000000149</v>
          </cell>
          <cell r="G336">
            <v>605.65</v>
          </cell>
        </row>
        <row r="337">
          <cell r="B337">
            <v>333</v>
          </cell>
          <cell r="C337">
            <v>665.02</v>
          </cell>
          <cell r="D337">
            <v>931.03</v>
          </cell>
          <cell r="F337">
            <v>433.9100000000015</v>
          </cell>
          <cell r="G337">
            <v>607.47</v>
          </cell>
        </row>
        <row r="338">
          <cell r="B338">
            <v>334</v>
          </cell>
          <cell r="C338">
            <v>667.02</v>
          </cell>
          <cell r="D338">
            <v>933.83</v>
          </cell>
          <cell r="F338">
            <v>435.21000000000151</v>
          </cell>
          <cell r="G338">
            <v>609.29</v>
          </cell>
        </row>
        <row r="339">
          <cell r="B339">
            <v>335</v>
          </cell>
          <cell r="C339">
            <v>669.02</v>
          </cell>
          <cell r="D339">
            <v>936.63</v>
          </cell>
          <cell r="F339">
            <v>436.51000000000153</v>
          </cell>
          <cell r="G339">
            <v>611.11</v>
          </cell>
        </row>
        <row r="340">
          <cell r="B340">
            <v>336</v>
          </cell>
          <cell r="C340">
            <v>671.02</v>
          </cell>
          <cell r="D340">
            <v>939.43</v>
          </cell>
          <cell r="F340">
            <v>437.81000000000154</v>
          </cell>
          <cell r="G340">
            <v>612.92999999999995</v>
          </cell>
        </row>
        <row r="341">
          <cell r="B341">
            <v>337</v>
          </cell>
          <cell r="C341">
            <v>673.02</v>
          </cell>
          <cell r="D341">
            <v>942.23</v>
          </cell>
          <cell r="F341">
            <v>439.11000000000155</v>
          </cell>
          <cell r="G341">
            <v>614.75</v>
          </cell>
        </row>
        <row r="342">
          <cell r="B342">
            <v>338</v>
          </cell>
          <cell r="C342">
            <v>675.02</v>
          </cell>
          <cell r="D342">
            <v>945.03</v>
          </cell>
          <cell r="F342">
            <v>440.41000000000156</v>
          </cell>
          <cell r="G342">
            <v>616.57000000000005</v>
          </cell>
        </row>
        <row r="343">
          <cell r="B343">
            <v>339</v>
          </cell>
          <cell r="C343">
            <v>677.02</v>
          </cell>
          <cell r="D343">
            <v>947.83</v>
          </cell>
          <cell r="F343">
            <v>441.71000000000157</v>
          </cell>
          <cell r="G343">
            <v>618.39</v>
          </cell>
        </row>
        <row r="344">
          <cell r="B344">
            <v>340</v>
          </cell>
          <cell r="C344">
            <v>679.02</v>
          </cell>
          <cell r="D344">
            <v>950.63</v>
          </cell>
          <cell r="F344">
            <v>443.01000000000158</v>
          </cell>
          <cell r="G344">
            <v>620.21</v>
          </cell>
        </row>
        <row r="345">
          <cell r="B345">
            <v>341</v>
          </cell>
          <cell r="C345">
            <v>681.02</v>
          </cell>
          <cell r="D345">
            <v>953.43</v>
          </cell>
          <cell r="F345">
            <v>444.31000000000159</v>
          </cell>
          <cell r="G345">
            <v>622.03</v>
          </cell>
        </row>
        <row r="346">
          <cell r="B346">
            <v>342</v>
          </cell>
          <cell r="C346">
            <v>683.02</v>
          </cell>
          <cell r="D346">
            <v>956.23</v>
          </cell>
          <cell r="F346">
            <v>445.61000000000161</v>
          </cell>
          <cell r="G346">
            <v>623.85</v>
          </cell>
        </row>
        <row r="347">
          <cell r="B347">
            <v>343</v>
          </cell>
          <cell r="C347">
            <v>685.02</v>
          </cell>
          <cell r="D347">
            <v>959.03</v>
          </cell>
          <cell r="F347">
            <v>446.91000000000162</v>
          </cell>
          <cell r="G347">
            <v>625.66999999999996</v>
          </cell>
        </row>
        <row r="348">
          <cell r="B348">
            <v>344</v>
          </cell>
          <cell r="C348">
            <v>687.02</v>
          </cell>
          <cell r="D348">
            <v>961.83</v>
          </cell>
          <cell r="F348">
            <v>448.21000000000163</v>
          </cell>
          <cell r="G348">
            <v>627.49</v>
          </cell>
        </row>
        <row r="349">
          <cell r="B349">
            <v>345</v>
          </cell>
          <cell r="C349">
            <v>689.02</v>
          </cell>
          <cell r="D349">
            <v>964.63</v>
          </cell>
          <cell r="F349">
            <v>449.51000000000164</v>
          </cell>
          <cell r="G349">
            <v>629.30999999999995</v>
          </cell>
        </row>
        <row r="350">
          <cell r="B350">
            <v>346</v>
          </cell>
          <cell r="C350">
            <v>691.02</v>
          </cell>
          <cell r="D350">
            <v>967.43</v>
          </cell>
          <cell r="F350">
            <v>450.81000000000165</v>
          </cell>
          <cell r="G350">
            <v>631.13</v>
          </cell>
        </row>
        <row r="351">
          <cell r="B351">
            <v>347</v>
          </cell>
          <cell r="C351">
            <v>693.02</v>
          </cell>
          <cell r="D351">
            <v>970.23</v>
          </cell>
          <cell r="F351">
            <v>452.11000000000166</v>
          </cell>
          <cell r="G351">
            <v>632.95000000000005</v>
          </cell>
        </row>
        <row r="352">
          <cell r="B352">
            <v>348</v>
          </cell>
          <cell r="C352">
            <v>695.02</v>
          </cell>
          <cell r="D352">
            <v>973.03</v>
          </cell>
          <cell r="F352">
            <v>453.41000000000167</v>
          </cell>
          <cell r="G352">
            <v>634.77</v>
          </cell>
        </row>
        <row r="353">
          <cell r="B353">
            <v>349</v>
          </cell>
          <cell r="C353">
            <v>697.02</v>
          </cell>
          <cell r="D353">
            <v>975.83</v>
          </cell>
          <cell r="F353">
            <v>454.71000000000168</v>
          </cell>
          <cell r="G353">
            <v>636.59</v>
          </cell>
        </row>
        <row r="354">
          <cell r="B354">
            <v>350</v>
          </cell>
          <cell r="C354">
            <v>699.02</v>
          </cell>
          <cell r="D354">
            <v>978.63</v>
          </cell>
          <cell r="F354">
            <v>456.0100000000017</v>
          </cell>
          <cell r="G354">
            <v>638.41</v>
          </cell>
        </row>
        <row r="355">
          <cell r="B355">
            <v>351</v>
          </cell>
          <cell r="C355">
            <v>701.02</v>
          </cell>
          <cell r="D355">
            <v>981.43</v>
          </cell>
          <cell r="F355">
            <v>457.31000000000171</v>
          </cell>
          <cell r="G355">
            <v>640.23</v>
          </cell>
        </row>
        <row r="356">
          <cell r="B356">
            <v>352</v>
          </cell>
          <cell r="C356">
            <v>703.02</v>
          </cell>
          <cell r="D356">
            <v>984.23</v>
          </cell>
          <cell r="F356">
            <v>458.61000000000172</v>
          </cell>
          <cell r="G356">
            <v>642.04999999999995</v>
          </cell>
        </row>
        <row r="357">
          <cell r="B357">
            <v>353</v>
          </cell>
          <cell r="C357">
            <v>705.02</v>
          </cell>
          <cell r="D357">
            <v>987.03</v>
          </cell>
          <cell r="F357">
            <v>459.91000000000173</v>
          </cell>
          <cell r="G357">
            <v>643.87</v>
          </cell>
        </row>
        <row r="358">
          <cell r="B358">
            <v>354</v>
          </cell>
          <cell r="C358">
            <v>707.02</v>
          </cell>
          <cell r="D358">
            <v>989.83</v>
          </cell>
          <cell r="F358">
            <v>461.21000000000174</v>
          </cell>
          <cell r="G358">
            <v>645.69000000000005</v>
          </cell>
        </row>
        <row r="359">
          <cell r="B359">
            <v>355</v>
          </cell>
          <cell r="C359">
            <v>709.02</v>
          </cell>
          <cell r="D359">
            <v>992.63</v>
          </cell>
          <cell r="F359">
            <v>462.51000000000175</v>
          </cell>
          <cell r="G359">
            <v>647.51</v>
          </cell>
        </row>
        <row r="360">
          <cell r="B360">
            <v>356</v>
          </cell>
          <cell r="C360">
            <v>711.02</v>
          </cell>
          <cell r="D360">
            <v>995.43</v>
          </cell>
          <cell r="F360">
            <v>463.81000000000176</v>
          </cell>
          <cell r="G360">
            <v>649.33000000000004</v>
          </cell>
        </row>
        <row r="361">
          <cell r="B361">
            <v>357</v>
          </cell>
          <cell r="C361">
            <v>713.02</v>
          </cell>
          <cell r="D361">
            <v>998.23</v>
          </cell>
          <cell r="F361">
            <v>465.11000000000178</v>
          </cell>
          <cell r="G361">
            <v>651.15</v>
          </cell>
        </row>
        <row r="362">
          <cell r="B362">
            <v>358</v>
          </cell>
          <cell r="C362">
            <v>715.02</v>
          </cell>
          <cell r="D362">
            <v>1001.03</v>
          </cell>
          <cell r="F362">
            <v>466.41000000000179</v>
          </cell>
          <cell r="G362">
            <v>652.97</v>
          </cell>
        </row>
        <row r="363">
          <cell r="B363">
            <v>359</v>
          </cell>
          <cell r="C363">
            <v>717.02</v>
          </cell>
          <cell r="D363">
            <v>1003.83</v>
          </cell>
          <cell r="F363">
            <v>467.7100000000018</v>
          </cell>
          <cell r="G363">
            <v>654.79</v>
          </cell>
        </row>
        <row r="364">
          <cell r="B364">
            <v>360</v>
          </cell>
          <cell r="C364">
            <v>719.02</v>
          </cell>
          <cell r="D364">
            <v>1006.63</v>
          </cell>
          <cell r="F364">
            <v>469.01000000000181</v>
          </cell>
          <cell r="G364">
            <v>656.61</v>
          </cell>
        </row>
        <row r="365">
          <cell r="B365">
            <v>361</v>
          </cell>
          <cell r="C365">
            <v>721.02</v>
          </cell>
          <cell r="D365">
            <v>1009.43</v>
          </cell>
          <cell r="F365">
            <v>470.31000000000182</v>
          </cell>
          <cell r="G365">
            <v>658.43</v>
          </cell>
        </row>
        <row r="366">
          <cell r="B366">
            <v>362</v>
          </cell>
          <cell r="C366">
            <v>723.02</v>
          </cell>
          <cell r="D366">
            <v>1012.23</v>
          </cell>
          <cell r="F366">
            <v>471.61000000000183</v>
          </cell>
          <cell r="G366">
            <v>660.25</v>
          </cell>
        </row>
        <row r="367">
          <cell r="B367">
            <v>363</v>
          </cell>
          <cell r="C367">
            <v>725.02</v>
          </cell>
          <cell r="D367">
            <v>1015.03</v>
          </cell>
          <cell r="F367">
            <v>472.91000000000184</v>
          </cell>
          <cell r="G367">
            <v>662.07</v>
          </cell>
        </row>
        <row r="368">
          <cell r="B368">
            <v>364</v>
          </cell>
          <cell r="C368">
            <v>727.02</v>
          </cell>
          <cell r="D368">
            <v>1017.83</v>
          </cell>
          <cell r="F368">
            <v>474.21000000000186</v>
          </cell>
          <cell r="G368">
            <v>663.89</v>
          </cell>
        </row>
        <row r="369">
          <cell r="B369">
            <v>365</v>
          </cell>
          <cell r="C369">
            <v>729.02</v>
          </cell>
          <cell r="D369">
            <v>1020.63</v>
          </cell>
          <cell r="F369">
            <v>475.51000000000187</v>
          </cell>
          <cell r="G369">
            <v>665.71</v>
          </cell>
        </row>
        <row r="370">
          <cell r="B370">
            <v>366</v>
          </cell>
          <cell r="C370">
            <v>731.02</v>
          </cell>
          <cell r="D370">
            <v>1023.43</v>
          </cell>
          <cell r="F370">
            <v>476.81000000000188</v>
          </cell>
          <cell r="G370">
            <v>667.53</v>
          </cell>
        </row>
        <row r="371">
          <cell r="B371">
            <v>367</v>
          </cell>
          <cell r="C371">
            <v>733.02</v>
          </cell>
          <cell r="D371">
            <v>1026.23</v>
          </cell>
          <cell r="F371">
            <v>478.11000000000189</v>
          </cell>
          <cell r="G371">
            <v>669.35</v>
          </cell>
        </row>
        <row r="372">
          <cell r="B372">
            <v>368</v>
          </cell>
          <cell r="C372">
            <v>735.02</v>
          </cell>
          <cell r="D372">
            <v>1029.03</v>
          </cell>
          <cell r="F372">
            <v>479.4100000000019</v>
          </cell>
          <cell r="G372">
            <v>671.17</v>
          </cell>
        </row>
        <row r="373">
          <cell r="B373">
            <v>369</v>
          </cell>
          <cell r="C373">
            <v>737.02</v>
          </cell>
          <cell r="D373">
            <v>1031.83</v>
          </cell>
          <cell r="F373">
            <v>480.71000000000191</v>
          </cell>
          <cell r="G373">
            <v>672.99</v>
          </cell>
        </row>
        <row r="374">
          <cell r="B374">
            <v>370</v>
          </cell>
          <cell r="C374">
            <v>739.02</v>
          </cell>
          <cell r="D374">
            <v>1034.6300000000001</v>
          </cell>
          <cell r="F374">
            <v>482.01000000000192</v>
          </cell>
          <cell r="G374">
            <v>674.81</v>
          </cell>
        </row>
        <row r="375">
          <cell r="B375">
            <v>371</v>
          </cell>
          <cell r="C375">
            <v>741.02</v>
          </cell>
          <cell r="D375">
            <v>1037.43</v>
          </cell>
          <cell r="F375">
            <v>483.31000000000193</v>
          </cell>
          <cell r="G375">
            <v>676.63</v>
          </cell>
        </row>
        <row r="376">
          <cell r="B376">
            <v>372</v>
          </cell>
          <cell r="C376">
            <v>743.02</v>
          </cell>
          <cell r="D376">
            <v>1040.23</v>
          </cell>
          <cell r="F376">
            <v>484.61000000000195</v>
          </cell>
          <cell r="G376">
            <v>678.45</v>
          </cell>
        </row>
        <row r="377">
          <cell r="B377">
            <v>373</v>
          </cell>
          <cell r="C377">
            <v>745.02</v>
          </cell>
          <cell r="D377">
            <v>1043.03</v>
          </cell>
          <cell r="F377">
            <v>485.91000000000196</v>
          </cell>
          <cell r="G377">
            <v>680.27</v>
          </cell>
        </row>
        <row r="378">
          <cell r="B378">
            <v>374</v>
          </cell>
          <cell r="C378">
            <v>747.02</v>
          </cell>
          <cell r="D378">
            <v>1045.83</v>
          </cell>
          <cell r="F378">
            <v>487.21000000000197</v>
          </cell>
          <cell r="G378">
            <v>682.09</v>
          </cell>
        </row>
        <row r="379">
          <cell r="B379">
            <v>375</v>
          </cell>
          <cell r="C379">
            <v>749.02</v>
          </cell>
          <cell r="D379">
            <v>1048.6300000000001</v>
          </cell>
          <cell r="F379">
            <v>488.51000000000198</v>
          </cell>
          <cell r="G379">
            <v>683.91</v>
          </cell>
        </row>
        <row r="380">
          <cell r="B380">
            <v>376</v>
          </cell>
          <cell r="C380">
            <v>751.02</v>
          </cell>
          <cell r="D380">
            <v>1051.43</v>
          </cell>
          <cell r="F380">
            <v>489.81000000000199</v>
          </cell>
          <cell r="G380">
            <v>685.73</v>
          </cell>
        </row>
        <row r="381">
          <cell r="B381">
            <v>377</v>
          </cell>
          <cell r="C381">
            <v>753.02</v>
          </cell>
          <cell r="D381">
            <v>1054.23</v>
          </cell>
          <cell r="F381">
            <v>491.110000000002</v>
          </cell>
          <cell r="G381">
            <v>687.55</v>
          </cell>
        </row>
        <row r="382">
          <cell r="B382">
            <v>378</v>
          </cell>
          <cell r="C382">
            <v>755.02</v>
          </cell>
          <cell r="D382">
            <v>1057.03</v>
          </cell>
          <cell r="F382">
            <v>492.41000000000201</v>
          </cell>
          <cell r="G382">
            <v>689.37</v>
          </cell>
        </row>
        <row r="383">
          <cell r="B383">
            <v>379</v>
          </cell>
          <cell r="C383">
            <v>757.02</v>
          </cell>
          <cell r="D383">
            <v>1059.83</v>
          </cell>
          <cell r="F383">
            <v>493.71000000000203</v>
          </cell>
          <cell r="G383">
            <v>691.19</v>
          </cell>
        </row>
        <row r="384">
          <cell r="B384">
            <v>380</v>
          </cell>
          <cell r="C384">
            <v>759.02</v>
          </cell>
          <cell r="D384">
            <v>1062.6300000000001</v>
          </cell>
          <cell r="F384">
            <v>495.01000000000204</v>
          </cell>
          <cell r="G384">
            <v>693.01</v>
          </cell>
        </row>
        <row r="385">
          <cell r="B385">
            <v>381</v>
          </cell>
          <cell r="C385">
            <v>761.02</v>
          </cell>
          <cell r="D385">
            <v>1065.43</v>
          </cell>
          <cell r="F385">
            <v>496.31000000000205</v>
          </cell>
          <cell r="G385">
            <v>694.83</v>
          </cell>
        </row>
        <row r="386">
          <cell r="B386">
            <v>382</v>
          </cell>
          <cell r="C386">
            <v>763.02</v>
          </cell>
          <cell r="D386">
            <v>1068.23</v>
          </cell>
          <cell r="F386">
            <v>497.61000000000206</v>
          </cell>
          <cell r="G386">
            <v>696.65</v>
          </cell>
        </row>
        <row r="387">
          <cell r="B387">
            <v>383</v>
          </cell>
          <cell r="C387">
            <v>765.02</v>
          </cell>
          <cell r="D387">
            <v>1071.03</v>
          </cell>
          <cell r="F387">
            <v>498.91000000000207</v>
          </cell>
          <cell r="G387">
            <v>698.47</v>
          </cell>
        </row>
        <row r="388">
          <cell r="B388">
            <v>384</v>
          </cell>
          <cell r="C388">
            <v>767.02</v>
          </cell>
          <cell r="D388">
            <v>1073.83</v>
          </cell>
          <cell r="F388">
            <v>500.21000000000208</v>
          </cell>
          <cell r="G388">
            <v>700.29</v>
          </cell>
        </row>
        <row r="389">
          <cell r="B389">
            <v>385</v>
          </cell>
          <cell r="C389">
            <v>769.02</v>
          </cell>
          <cell r="D389">
            <v>1076.6300000000001</v>
          </cell>
          <cell r="F389">
            <v>501.51000000000209</v>
          </cell>
          <cell r="G389">
            <v>702.11</v>
          </cell>
        </row>
        <row r="390">
          <cell r="B390">
            <v>386</v>
          </cell>
          <cell r="C390">
            <v>771.02</v>
          </cell>
          <cell r="D390">
            <v>1079.43</v>
          </cell>
          <cell r="F390">
            <v>502.81000000000211</v>
          </cell>
          <cell r="G390">
            <v>703.93</v>
          </cell>
        </row>
        <row r="391">
          <cell r="B391">
            <v>387</v>
          </cell>
          <cell r="C391">
            <v>773.02</v>
          </cell>
          <cell r="D391">
            <v>1082.23</v>
          </cell>
          <cell r="F391">
            <v>504.11000000000212</v>
          </cell>
          <cell r="G391">
            <v>705.75</v>
          </cell>
        </row>
        <row r="392">
          <cell r="B392">
            <v>388</v>
          </cell>
          <cell r="C392">
            <v>775.02</v>
          </cell>
          <cell r="D392">
            <v>1085.03</v>
          </cell>
          <cell r="F392">
            <v>505.41000000000213</v>
          </cell>
          <cell r="G392">
            <v>707.57</v>
          </cell>
        </row>
        <row r="393">
          <cell r="B393">
            <v>389</v>
          </cell>
          <cell r="C393">
            <v>777.02</v>
          </cell>
          <cell r="D393">
            <v>1087.83</v>
          </cell>
          <cell r="F393">
            <v>506.71000000000214</v>
          </cell>
          <cell r="G393">
            <v>709.39</v>
          </cell>
        </row>
        <row r="394">
          <cell r="B394">
            <v>390</v>
          </cell>
          <cell r="C394">
            <v>779.02</v>
          </cell>
          <cell r="D394">
            <v>1090.6300000000001</v>
          </cell>
          <cell r="F394">
            <v>508.01000000000215</v>
          </cell>
          <cell r="G394">
            <v>711.21</v>
          </cell>
        </row>
        <row r="395">
          <cell r="B395">
            <v>391</v>
          </cell>
          <cell r="C395">
            <v>781.02</v>
          </cell>
          <cell r="D395">
            <v>1093.43</v>
          </cell>
          <cell r="F395">
            <v>509.31000000000216</v>
          </cell>
          <cell r="G395">
            <v>713.03</v>
          </cell>
        </row>
        <row r="396">
          <cell r="B396">
            <v>392</v>
          </cell>
          <cell r="C396">
            <v>783.02</v>
          </cell>
          <cell r="D396">
            <v>1096.23</v>
          </cell>
          <cell r="F396">
            <v>510.61000000000217</v>
          </cell>
          <cell r="G396">
            <v>714.85</v>
          </cell>
        </row>
        <row r="397">
          <cell r="B397">
            <v>393</v>
          </cell>
          <cell r="C397">
            <v>785.02</v>
          </cell>
          <cell r="D397">
            <v>1099.03</v>
          </cell>
          <cell r="F397">
            <v>511.91000000000219</v>
          </cell>
          <cell r="G397">
            <v>716.67</v>
          </cell>
        </row>
        <row r="398">
          <cell r="B398">
            <v>394</v>
          </cell>
          <cell r="C398">
            <v>787.02</v>
          </cell>
          <cell r="D398">
            <v>1101.83</v>
          </cell>
          <cell r="F398">
            <v>513.2100000000022</v>
          </cell>
          <cell r="G398">
            <v>718.49</v>
          </cell>
        </row>
        <row r="399">
          <cell r="B399">
            <v>395</v>
          </cell>
          <cell r="C399">
            <v>789.02</v>
          </cell>
          <cell r="D399">
            <v>1104.6300000000001</v>
          </cell>
          <cell r="F399">
            <v>514.51000000000215</v>
          </cell>
          <cell r="G399">
            <v>720.31</v>
          </cell>
        </row>
        <row r="400">
          <cell r="B400">
            <v>396</v>
          </cell>
          <cell r="C400">
            <v>791.02</v>
          </cell>
          <cell r="D400">
            <v>1107.43</v>
          </cell>
          <cell r="F400">
            <v>515.81000000000211</v>
          </cell>
          <cell r="G400">
            <v>722.13</v>
          </cell>
        </row>
        <row r="401">
          <cell r="B401">
            <v>397</v>
          </cell>
          <cell r="C401">
            <v>793.02</v>
          </cell>
          <cell r="D401">
            <v>1110.23</v>
          </cell>
          <cell r="F401">
            <v>517.11000000000206</v>
          </cell>
          <cell r="G401">
            <v>723.95</v>
          </cell>
        </row>
        <row r="402">
          <cell r="B402">
            <v>398</v>
          </cell>
          <cell r="C402">
            <v>795.02</v>
          </cell>
          <cell r="D402">
            <v>1113.03</v>
          </cell>
          <cell r="F402">
            <v>518.41000000000201</v>
          </cell>
          <cell r="G402">
            <v>725.77</v>
          </cell>
        </row>
        <row r="403">
          <cell r="B403">
            <v>399</v>
          </cell>
          <cell r="C403">
            <v>797.02</v>
          </cell>
          <cell r="D403">
            <v>1115.83</v>
          </cell>
          <cell r="F403">
            <v>519.71000000000197</v>
          </cell>
          <cell r="G403">
            <v>727.59</v>
          </cell>
        </row>
        <row r="404">
          <cell r="B404">
            <v>400</v>
          </cell>
          <cell r="C404">
            <v>799.02</v>
          </cell>
          <cell r="D404">
            <v>1118.6300000000001</v>
          </cell>
          <cell r="F404">
            <v>521.01000000000192</v>
          </cell>
          <cell r="G404">
            <v>729.41</v>
          </cell>
        </row>
        <row r="405">
          <cell r="B405">
            <v>401</v>
          </cell>
          <cell r="C405">
            <v>801.02</v>
          </cell>
          <cell r="D405">
            <v>1121.43</v>
          </cell>
          <cell r="F405">
            <v>522.31000000000188</v>
          </cell>
          <cell r="G405">
            <v>731.23</v>
          </cell>
        </row>
        <row r="406">
          <cell r="B406">
            <v>402</v>
          </cell>
          <cell r="C406">
            <v>803.02</v>
          </cell>
          <cell r="D406">
            <v>1124.23</v>
          </cell>
          <cell r="F406">
            <v>523.61000000000183</v>
          </cell>
          <cell r="G406">
            <v>733.05</v>
          </cell>
        </row>
        <row r="407">
          <cell r="B407">
            <v>403</v>
          </cell>
          <cell r="C407">
            <v>805.02</v>
          </cell>
          <cell r="D407">
            <v>1127.03</v>
          </cell>
          <cell r="F407">
            <v>524.91000000000179</v>
          </cell>
          <cell r="G407">
            <v>734.87</v>
          </cell>
        </row>
        <row r="408">
          <cell r="B408">
            <v>404</v>
          </cell>
          <cell r="C408">
            <v>807.02</v>
          </cell>
          <cell r="D408">
            <v>1129.83</v>
          </cell>
          <cell r="F408">
            <v>526.21000000000174</v>
          </cell>
          <cell r="G408">
            <v>736.69</v>
          </cell>
        </row>
        <row r="409">
          <cell r="B409">
            <v>405</v>
          </cell>
          <cell r="C409">
            <v>809.02</v>
          </cell>
          <cell r="D409">
            <v>1132.6300000000001</v>
          </cell>
          <cell r="F409">
            <v>527.5100000000017</v>
          </cell>
          <cell r="G409">
            <v>738.51</v>
          </cell>
        </row>
        <row r="410">
          <cell r="B410">
            <v>406</v>
          </cell>
          <cell r="C410">
            <v>811.02</v>
          </cell>
          <cell r="D410">
            <v>1135.43</v>
          </cell>
          <cell r="F410">
            <v>528.81000000000165</v>
          </cell>
          <cell r="G410">
            <v>740.33</v>
          </cell>
        </row>
        <row r="411">
          <cell r="B411">
            <v>407</v>
          </cell>
          <cell r="C411">
            <v>813.02</v>
          </cell>
          <cell r="D411">
            <v>1138.23</v>
          </cell>
          <cell r="F411">
            <v>530.11000000000161</v>
          </cell>
          <cell r="G411">
            <v>742.15</v>
          </cell>
        </row>
        <row r="412">
          <cell r="B412">
            <v>408</v>
          </cell>
          <cell r="C412">
            <v>815.02</v>
          </cell>
          <cell r="D412">
            <v>1141.03</v>
          </cell>
          <cell r="F412">
            <v>531.41000000000156</v>
          </cell>
          <cell r="G412">
            <v>743.97</v>
          </cell>
        </row>
        <row r="413">
          <cell r="B413">
            <v>409</v>
          </cell>
          <cell r="C413">
            <v>817.02</v>
          </cell>
          <cell r="D413">
            <v>1143.83</v>
          </cell>
          <cell r="F413">
            <v>532.71000000000151</v>
          </cell>
          <cell r="G413">
            <v>745.79</v>
          </cell>
        </row>
        <row r="414">
          <cell r="B414">
            <v>410</v>
          </cell>
          <cell r="C414">
            <v>819.02</v>
          </cell>
          <cell r="D414">
            <v>1146.6300000000001</v>
          </cell>
          <cell r="F414">
            <v>534.01000000000147</v>
          </cell>
          <cell r="G414">
            <v>747.61</v>
          </cell>
        </row>
        <row r="415">
          <cell r="B415">
            <v>411</v>
          </cell>
          <cell r="C415">
            <v>821.02</v>
          </cell>
          <cell r="D415">
            <v>1149.43</v>
          </cell>
          <cell r="F415">
            <v>535.31000000000142</v>
          </cell>
          <cell r="G415">
            <v>749.43</v>
          </cell>
        </row>
        <row r="416">
          <cell r="B416">
            <v>412</v>
          </cell>
          <cell r="C416">
            <v>823.02</v>
          </cell>
          <cell r="D416">
            <v>1152.23</v>
          </cell>
          <cell r="F416">
            <v>536.61000000000138</v>
          </cell>
          <cell r="G416">
            <v>751.25</v>
          </cell>
        </row>
        <row r="417">
          <cell r="B417">
            <v>413</v>
          </cell>
          <cell r="C417">
            <v>825.02</v>
          </cell>
          <cell r="D417">
            <v>1155.03</v>
          </cell>
          <cell r="F417">
            <v>537.91000000000133</v>
          </cell>
          <cell r="G417">
            <v>753.07</v>
          </cell>
        </row>
        <row r="418">
          <cell r="B418">
            <v>414</v>
          </cell>
          <cell r="C418">
            <v>827.02</v>
          </cell>
          <cell r="D418">
            <v>1157.83</v>
          </cell>
          <cell r="F418">
            <v>539.21000000000129</v>
          </cell>
          <cell r="G418">
            <v>754.89</v>
          </cell>
        </row>
        <row r="419">
          <cell r="B419">
            <v>415</v>
          </cell>
          <cell r="C419">
            <v>829.02</v>
          </cell>
          <cell r="D419">
            <v>1160.6300000000001</v>
          </cell>
          <cell r="F419">
            <v>540.51000000000124</v>
          </cell>
          <cell r="G419">
            <v>756.71</v>
          </cell>
        </row>
        <row r="420">
          <cell r="B420">
            <v>416</v>
          </cell>
          <cell r="C420">
            <v>831.02</v>
          </cell>
          <cell r="D420">
            <v>1163.43</v>
          </cell>
          <cell r="F420">
            <v>541.8100000000012</v>
          </cell>
          <cell r="G420">
            <v>758.53</v>
          </cell>
        </row>
        <row r="421">
          <cell r="B421">
            <v>417</v>
          </cell>
          <cell r="C421">
            <v>833.02</v>
          </cell>
          <cell r="D421">
            <v>1166.23</v>
          </cell>
          <cell r="F421">
            <v>543.11000000000115</v>
          </cell>
          <cell r="G421">
            <v>760.35</v>
          </cell>
        </row>
        <row r="422">
          <cell r="B422">
            <v>418</v>
          </cell>
          <cell r="C422">
            <v>835.02</v>
          </cell>
          <cell r="D422">
            <v>1169.03</v>
          </cell>
          <cell r="F422">
            <v>544.41000000000111</v>
          </cell>
          <cell r="G422">
            <v>762.17</v>
          </cell>
        </row>
        <row r="423">
          <cell r="B423">
            <v>419</v>
          </cell>
          <cell r="C423">
            <v>837.02</v>
          </cell>
          <cell r="D423">
            <v>1171.83</v>
          </cell>
          <cell r="F423">
            <v>545.71000000000106</v>
          </cell>
          <cell r="G423">
            <v>763.99</v>
          </cell>
        </row>
        <row r="424">
          <cell r="B424">
            <v>420</v>
          </cell>
          <cell r="C424">
            <v>839.02</v>
          </cell>
          <cell r="D424">
            <v>1174.6300000000001</v>
          </cell>
          <cell r="F424">
            <v>547.01000000000101</v>
          </cell>
          <cell r="G424">
            <v>765.81</v>
          </cell>
        </row>
        <row r="425">
          <cell r="B425">
            <v>421</v>
          </cell>
          <cell r="C425">
            <v>841.02</v>
          </cell>
          <cell r="D425">
            <v>1177.43</v>
          </cell>
          <cell r="F425">
            <v>548.31000000000097</v>
          </cell>
          <cell r="G425">
            <v>767.63</v>
          </cell>
        </row>
        <row r="426">
          <cell r="B426">
            <v>422</v>
          </cell>
          <cell r="C426">
            <v>843.02</v>
          </cell>
          <cell r="D426">
            <v>1180.23</v>
          </cell>
          <cell r="F426">
            <v>549.61000000000092</v>
          </cell>
          <cell r="G426">
            <v>769.45</v>
          </cell>
        </row>
        <row r="427">
          <cell r="B427">
            <v>423</v>
          </cell>
          <cell r="C427">
            <v>845.02</v>
          </cell>
          <cell r="D427">
            <v>1183.03</v>
          </cell>
          <cell r="F427">
            <v>550.91000000000088</v>
          </cell>
          <cell r="G427">
            <v>771.27</v>
          </cell>
        </row>
        <row r="428">
          <cell r="B428">
            <v>424</v>
          </cell>
          <cell r="C428">
            <v>847.02</v>
          </cell>
          <cell r="D428">
            <v>1185.83</v>
          </cell>
          <cell r="F428">
            <v>552.21000000000083</v>
          </cell>
          <cell r="G428">
            <v>773.09</v>
          </cell>
        </row>
        <row r="429">
          <cell r="B429">
            <v>425</v>
          </cell>
          <cell r="C429">
            <v>849.02</v>
          </cell>
          <cell r="D429">
            <v>1188.6300000000001</v>
          </cell>
          <cell r="F429">
            <v>553.51000000000079</v>
          </cell>
          <cell r="G429">
            <v>774.91</v>
          </cell>
        </row>
        <row r="430">
          <cell r="B430">
            <v>426</v>
          </cell>
          <cell r="C430">
            <v>851.02</v>
          </cell>
          <cell r="D430">
            <v>1191.43</v>
          </cell>
          <cell r="F430">
            <v>554.81000000000074</v>
          </cell>
          <cell r="G430">
            <v>776.73</v>
          </cell>
        </row>
        <row r="431">
          <cell r="B431">
            <v>427</v>
          </cell>
          <cell r="C431">
            <v>853.02</v>
          </cell>
          <cell r="D431">
            <v>1194.23</v>
          </cell>
          <cell r="F431">
            <v>556.1100000000007</v>
          </cell>
          <cell r="G431">
            <v>778.55</v>
          </cell>
        </row>
        <row r="432">
          <cell r="B432">
            <v>428</v>
          </cell>
          <cell r="C432">
            <v>855.02</v>
          </cell>
          <cell r="D432">
            <v>1197.03</v>
          </cell>
          <cell r="F432">
            <v>557.41000000000065</v>
          </cell>
          <cell r="G432">
            <v>780.37</v>
          </cell>
        </row>
        <row r="433">
          <cell r="B433">
            <v>429</v>
          </cell>
          <cell r="C433">
            <v>857.02</v>
          </cell>
          <cell r="D433">
            <v>1199.83</v>
          </cell>
          <cell r="F433">
            <v>558.7100000000006</v>
          </cell>
          <cell r="G433">
            <v>782.19</v>
          </cell>
        </row>
        <row r="434">
          <cell r="B434">
            <v>430</v>
          </cell>
          <cell r="C434">
            <v>859.02</v>
          </cell>
          <cell r="D434">
            <v>1202.6300000000001</v>
          </cell>
          <cell r="F434">
            <v>560.01000000000056</v>
          </cell>
          <cell r="G434">
            <v>784.01</v>
          </cell>
        </row>
        <row r="435">
          <cell r="B435">
            <v>431</v>
          </cell>
          <cell r="C435">
            <v>861.02</v>
          </cell>
          <cell r="D435">
            <v>1205.43</v>
          </cell>
          <cell r="F435">
            <v>561.31000000000051</v>
          </cell>
          <cell r="G435">
            <v>785.83</v>
          </cell>
        </row>
        <row r="436">
          <cell r="B436">
            <v>432</v>
          </cell>
          <cell r="C436">
            <v>863.02</v>
          </cell>
          <cell r="D436">
            <v>1208.23</v>
          </cell>
          <cell r="F436">
            <v>562.61000000000047</v>
          </cell>
          <cell r="G436">
            <v>787.65</v>
          </cell>
        </row>
        <row r="437">
          <cell r="B437">
            <v>433</v>
          </cell>
          <cell r="C437">
            <v>865.02</v>
          </cell>
          <cell r="D437">
            <v>1211.03</v>
          </cell>
          <cell r="F437">
            <v>563.91000000000042</v>
          </cell>
          <cell r="G437">
            <v>789.47</v>
          </cell>
        </row>
        <row r="438">
          <cell r="B438">
            <v>434</v>
          </cell>
          <cell r="C438">
            <v>867.02</v>
          </cell>
          <cell r="D438">
            <v>1213.83</v>
          </cell>
          <cell r="F438">
            <v>565.21000000000038</v>
          </cell>
          <cell r="G438">
            <v>791.29</v>
          </cell>
        </row>
        <row r="439">
          <cell r="B439">
            <v>435</v>
          </cell>
          <cell r="C439">
            <v>869.02</v>
          </cell>
          <cell r="D439">
            <v>1216.6300000000001</v>
          </cell>
          <cell r="F439">
            <v>566.51000000000033</v>
          </cell>
          <cell r="G439">
            <v>793.11</v>
          </cell>
        </row>
        <row r="440">
          <cell r="B440">
            <v>436</v>
          </cell>
          <cell r="C440">
            <v>871.02</v>
          </cell>
          <cell r="D440">
            <v>1219.43</v>
          </cell>
          <cell r="F440">
            <v>567.81000000000029</v>
          </cell>
          <cell r="G440">
            <v>794.93</v>
          </cell>
        </row>
        <row r="441">
          <cell r="B441">
            <v>437</v>
          </cell>
          <cell r="C441">
            <v>873.02</v>
          </cell>
          <cell r="D441">
            <v>1222.23</v>
          </cell>
          <cell r="F441">
            <v>569.11000000000024</v>
          </cell>
          <cell r="G441">
            <v>796.75</v>
          </cell>
        </row>
        <row r="442">
          <cell r="B442">
            <v>438</v>
          </cell>
          <cell r="C442">
            <v>875.02</v>
          </cell>
          <cell r="D442">
            <v>1225.03</v>
          </cell>
          <cell r="F442">
            <v>570.4100000000002</v>
          </cell>
          <cell r="G442">
            <v>798.57</v>
          </cell>
        </row>
        <row r="443">
          <cell r="B443">
            <v>439</v>
          </cell>
          <cell r="C443">
            <v>877.02</v>
          </cell>
          <cell r="D443">
            <v>1227.83</v>
          </cell>
          <cell r="F443">
            <v>571.71000000000015</v>
          </cell>
          <cell r="G443">
            <v>800.39</v>
          </cell>
        </row>
        <row r="444">
          <cell r="B444">
            <v>440</v>
          </cell>
          <cell r="C444">
            <v>879.02</v>
          </cell>
          <cell r="D444">
            <v>1230.6300000000001</v>
          </cell>
          <cell r="F444">
            <v>573.0100000000001</v>
          </cell>
          <cell r="G444">
            <v>802.21</v>
          </cell>
        </row>
        <row r="445">
          <cell r="B445">
            <v>441</v>
          </cell>
          <cell r="C445">
            <v>881.02</v>
          </cell>
          <cell r="D445">
            <v>1233.43</v>
          </cell>
          <cell r="F445">
            <v>574.31000000000006</v>
          </cell>
          <cell r="G445">
            <v>804.03</v>
          </cell>
        </row>
        <row r="446">
          <cell r="B446">
            <v>442</v>
          </cell>
          <cell r="C446">
            <v>883.02</v>
          </cell>
          <cell r="D446">
            <v>1236.23</v>
          </cell>
          <cell r="F446">
            <v>575.61</v>
          </cell>
          <cell r="G446">
            <v>805.85</v>
          </cell>
        </row>
        <row r="447">
          <cell r="B447">
            <v>443</v>
          </cell>
          <cell r="C447">
            <v>885.02</v>
          </cell>
          <cell r="D447">
            <v>1239.03</v>
          </cell>
          <cell r="F447">
            <v>576.91</v>
          </cell>
          <cell r="G447">
            <v>807.67</v>
          </cell>
        </row>
        <row r="448">
          <cell r="B448">
            <v>444</v>
          </cell>
          <cell r="C448">
            <v>887.02</v>
          </cell>
          <cell r="D448">
            <v>1241.83</v>
          </cell>
          <cell r="F448">
            <v>578.20999999999992</v>
          </cell>
          <cell r="G448">
            <v>809.49</v>
          </cell>
        </row>
        <row r="449">
          <cell r="B449">
            <v>445</v>
          </cell>
          <cell r="C449">
            <v>889.02</v>
          </cell>
          <cell r="D449">
            <v>1244.6300000000001</v>
          </cell>
          <cell r="F449">
            <v>579.50999999999988</v>
          </cell>
          <cell r="G449">
            <v>811.31</v>
          </cell>
        </row>
        <row r="450">
          <cell r="B450">
            <v>446</v>
          </cell>
          <cell r="C450">
            <v>891.02</v>
          </cell>
          <cell r="D450">
            <v>1247.43</v>
          </cell>
          <cell r="F450">
            <v>580.80999999999983</v>
          </cell>
          <cell r="G450">
            <v>813.13</v>
          </cell>
        </row>
        <row r="451">
          <cell r="B451">
            <v>447</v>
          </cell>
          <cell r="C451">
            <v>893.02</v>
          </cell>
          <cell r="D451">
            <v>1250.23</v>
          </cell>
          <cell r="F451">
            <v>582.10999999999979</v>
          </cell>
          <cell r="G451">
            <v>814.95</v>
          </cell>
        </row>
        <row r="452">
          <cell r="B452">
            <v>448</v>
          </cell>
          <cell r="C452">
            <v>895.02</v>
          </cell>
          <cell r="D452">
            <v>1253.03</v>
          </cell>
          <cell r="F452">
            <v>583.40999999999974</v>
          </cell>
          <cell r="G452">
            <v>816.77</v>
          </cell>
        </row>
        <row r="453">
          <cell r="B453">
            <v>449</v>
          </cell>
          <cell r="C453">
            <v>897.02</v>
          </cell>
          <cell r="D453">
            <v>1255.83</v>
          </cell>
          <cell r="F453">
            <v>584.7099999999997</v>
          </cell>
          <cell r="G453">
            <v>818.59</v>
          </cell>
        </row>
        <row r="454">
          <cell r="B454">
            <v>450</v>
          </cell>
          <cell r="C454">
            <v>899.02</v>
          </cell>
          <cell r="D454">
            <v>1258.6300000000001</v>
          </cell>
          <cell r="F454">
            <v>586.00999999999965</v>
          </cell>
          <cell r="G454">
            <v>820.41</v>
          </cell>
        </row>
        <row r="455">
          <cell r="B455">
            <v>451</v>
          </cell>
          <cell r="C455">
            <v>901.02</v>
          </cell>
          <cell r="D455">
            <v>1261.43</v>
          </cell>
          <cell r="F455">
            <v>587.3099999999996</v>
          </cell>
          <cell r="G455">
            <v>822.23</v>
          </cell>
        </row>
        <row r="456">
          <cell r="B456">
            <v>452</v>
          </cell>
          <cell r="C456">
            <v>903.02</v>
          </cell>
          <cell r="D456">
            <v>1264.23</v>
          </cell>
          <cell r="F456">
            <v>588.60999999999956</v>
          </cell>
          <cell r="G456">
            <v>824.05</v>
          </cell>
        </row>
        <row r="457">
          <cell r="B457">
            <v>453</v>
          </cell>
          <cell r="C457">
            <v>905.02</v>
          </cell>
          <cell r="D457">
            <v>1267.03</v>
          </cell>
          <cell r="F457">
            <v>589.90999999999951</v>
          </cell>
          <cell r="G457">
            <v>825.87</v>
          </cell>
        </row>
        <row r="458">
          <cell r="B458">
            <v>454</v>
          </cell>
          <cell r="C458">
            <v>907.02</v>
          </cell>
          <cell r="D458">
            <v>1269.83</v>
          </cell>
          <cell r="F458">
            <v>591.20999999999947</v>
          </cell>
          <cell r="G458">
            <v>827.69</v>
          </cell>
        </row>
        <row r="459">
          <cell r="B459">
            <v>455</v>
          </cell>
          <cell r="C459">
            <v>909.02</v>
          </cell>
          <cell r="D459">
            <v>1272.6300000000001</v>
          </cell>
          <cell r="F459">
            <v>592.50999999999942</v>
          </cell>
          <cell r="G459">
            <v>829.51</v>
          </cell>
        </row>
        <row r="460">
          <cell r="B460">
            <v>456</v>
          </cell>
          <cell r="C460">
            <v>911.02</v>
          </cell>
          <cell r="D460">
            <v>1275.43</v>
          </cell>
          <cell r="F460">
            <v>593.80999999999938</v>
          </cell>
          <cell r="G460">
            <v>831.33</v>
          </cell>
        </row>
        <row r="461">
          <cell r="B461">
            <v>457</v>
          </cell>
          <cell r="C461">
            <v>913.02</v>
          </cell>
          <cell r="D461">
            <v>1278.23</v>
          </cell>
          <cell r="F461">
            <v>595.10999999999933</v>
          </cell>
          <cell r="G461">
            <v>833.15</v>
          </cell>
        </row>
        <row r="462">
          <cell r="B462">
            <v>458</v>
          </cell>
          <cell r="C462">
            <v>915.02</v>
          </cell>
          <cell r="D462">
            <v>1281.03</v>
          </cell>
          <cell r="F462">
            <v>596.40999999999929</v>
          </cell>
          <cell r="G462">
            <v>834.97</v>
          </cell>
        </row>
        <row r="463">
          <cell r="B463">
            <v>459</v>
          </cell>
          <cell r="C463">
            <v>917.02</v>
          </cell>
          <cell r="D463">
            <v>1283.83</v>
          </cell>
          <cell r="F463">
            <v>597.70999999999924</v>
          </cell>
          <cell r="G463">
            <v>836.79</v>
          </cell>
        </row>
        <row r="464">
          <cell r="B464">
            <v>460</v>
          </cell>
          <cell r="C464">
            <v>919.02</v>
          </cell>
          <cell r="D464">
            <v>1286.6300000000001</v>
          </cell>
          <cell r="F464">
            <v>599.0099999999992</v>
          </cell>
          <cell r="G464">
            <v>838.61</v>
          </cell>
        </row>
        <row r="465">
          <cell r="B465">
            <v>461</v>
          </cell>
          <cell r="C465">
            <v>921.02</v>
          </cell>
          <cell r="D465">
            <v>1289.43</v>
          </cell>
          <cell r="F465">
            <v>600.30999999999915</v>
          </cell>
          <cell r="G465">
            <v>840.43</v>
          </cell>
        </row>
        <row r="466">
          <cell r="B466">
            <v>462</v>
          </cell>
          <cell r="C466">
            <v>923.02</v>
          </cell>
          <cell r="D466">
            <v>1292.23</v>
          </cell>
          <cell r="F466">
            <v>601.6099999999991</v>
          </cell>
          <cell r="G466">
            <v>842.25</v>
          </cell>
        </row>
        <row r="467">
          <cell r="B467">
            <v>463</v>
          </cell>
          <cell r="C467">
            <v>925.02</v>
          </cell>
          <cell r="D467">
            <v>1295.03</v>
          </cell>
          <cell r="F467">
            <v>602.90999999999906</v>
          </cell>
          <cell r="G467">
            <v>844.07</v>
          </cell>
        </row>
        <row r="468">
          <cell r="B468">
            <v>464</v>
          </cell>
          <cell r="C468">
            <v>927.02</v>
          </cell>
          <cell r="D468">
            <v>1297.83</v>
          </cell>
          <cell r="F468">
            <v>604.20999999999901</v>
          </cell>
          <cell r="G468">
            <v>845.89</v>
          </cell>
        </row>
        <row r="469">
          <cell r="B469">
            <v>465</v>
          </cell>
          <cell r="C469">
            <v>929.02</v>
          </cell>
          <cell r="D469">
            <v>1300.6300000000001</v>
          </cell>
          <cell r="F469">
            <v>605.50999999999897</v>
          </cell>
          <cell r="G469">
            <v>847.71</v>
          </cell>
        </row>
        <row r="470">
          <cell r="B470">
            <v>466</v>
          </cell>
          <cell r="C470">
            <v>931.02</v>
          </cell>
          <cell r="D470">
            <v>1303.43</v>
          </cell>
          <cell r="F470">
            <v>606.80999999999892</v>
          </cell>
          <cell r="G470">
            <v>849.53</v>
          </cell>
        </row>
        <row r="471">
          <cell r="B471">
            <v>467</v>
          </cell>
          <cell r="C471">
            <v>933.02</v>
          </cell>
          <cell r="D471">
            <v>1306.23</v>
          </cell>
          <cell r="F471">
            <v>608.10999999999888</v>
          </cell>
          <cell r="G471">
            <v>851.35</v>
          </cell>
        </row>
        <row r="472">
          <cell r="B472">
            <v>468</v>
          </cell>
          <cell r="C472">
            <v>935.02</v>
          </cell>
          <cell r="D472">
            <v>1309.03</v>
          </cell>
          <cell r="F472">
            <v>609.40999999999883</v>
          </cell>
          <cell r="G472">
            <v>853.17</v>
          </cell>
        </row>
        <row r="473">
          <cell r="B473">
            <v>469</v>
          </cell>
          <cell r="C473">
            <v>937.02</v>
          </cell>
          <cell r="D473">
            <v>1311.83</v>
          </cell>
          <cell r="F473">
            <v>610.70999999999879</v>
          </cell>
          <cell r="G473">
            <v>854.99</v>
          </cell>
        </row>
        <row r="474">
          <cell r="B474">
            <v>470</v>
          </cell>
          <cell r="C474">
            <v>939.02</v>
          </cell>
          <cell r="D474">
            <v>1314.63</v>
          </cell>
          <cell r="F474">
            <v>612.00999999999874</v>
          </cell>
          <cell r="G474">
            <v>856.81</v>
          </cell>
        </row>
        <row r="475">
          <cell r="B475">
            <v>471</v>
          </cell>
          <cell r="C475">
            <v>941.02</v>
          </cell>
          <cell r="D475">
            <v>1317.43</v>
          </cell>
          <cell r="F475">
            <v>613.30999999999869</v>
          </cell>
          <cell r="G475">
            <v>858.63</v>
          </cell>
        </row>
        <row r="476">
          <cell r="B476">
            <v>472</v>
          </cell>
          <cell r="C476">
            <v>943.02</v>
          </cell>
          <cell r="D476">
            <v>1320.23</v>
          </cell>
          <cell r="F476">
            <v>614.60999999999865</v>
          </cell>
          <cell r="G476">
            <v>860.45</v>
          </cell>
        </row>
        <row r="477">
          <cell r="B477">
            <v>473</v>
          </cell>
          <cell r="C477">
            <v>945.02</v>
          </cell>
          <cell r="D477">
            <v>1323.03</v>
          </cell>
          <cell r="F477">
            <v>615.9099999999986</v>
          </cell>
          <cell r="G477">
            <v>862.27</v>
          </cell>
        </row>
        <row r="478">
          <cell r="B478">
            <v>474</v>
          </cell>
          <cell r="C478">
            <v>947.02</v>
          </cell>
          <cell r="D478">
            <v>1325.83</v>
          </cell>
          <cell r="F478">
            <v>617.20999999999856</v>
          </cell>
          <cell r="G478">
            <v>864.09</v>
          </cell>
        </row>
        <row r="479">
          <cell r="B479">
            <v>475</v>
          </cell>
          <cell r="C479">
            <v>949.02</v>
          </cell>
          <cell r="D479">
            <v>1328.63</v>
          </cell>
          <cell r="F479">
            <v>618.50999999999851</v>
          </cell>
          <cell r="G479">
            <v>865.91</v>
          </cell>
        </row>
        <row r="480">
          <cell r="B480">
            <v>476</v>
          </cell>
          <cell r="C480">
            <v>951.02</v>
          </cell>
          <cell r="D480">
            <v>1331.43</v>
          </cell>
          <cell r="F480">
            <v>619.80999999999847</v>
          </cell>
          <cell r="G480">
            <v>867.73</v>
          </cell>
        </row>
        <row r="481">
          <cell r="B481">
            <v>477</v>
          </cell>
          <cell r="C481">
            <v>953.02</v>
          </cell>
          <cell r="D481">
            <v>1334.23</v>
          </cell>
          <cell r="F481">
            <v>621.10999999999842</v>
          </cell>
          <cell r="G481">
            <v>869.55</v>
          </cell>
        </row>
        <row r="482">
          <cell r="B482">
            <v>478</v>
          </cell>
          <cell r="C482">
            <v>955.02</v>
          </cell>
          <cell r="D482">
            <v>1337.03</v>
          </cell>
          <cell r="F482">
            <v>622.40999999999838</v>
          </cell>
          <cell r="G482">
            <v>871.37</v>
          </cell>
        </row>
        <row r="483">
          <cell r="B483">
            <v>479</v>
          </cell>
          <cell r="C483">
            <v>957.02</v>
          </cell>
          <cell r="D483">
            <v>1339.83</v>
          </cell>
          <cell r="F483">
            <v>623.70999999999833</v>
          </cell>
          <cell r="G483">
            <v>873.19</v>
          </cell>
        </row>
        <row r="484">
          <cell r="B484">
            <v>480</v>
          </cell>
          <cell r="C484">
            <v>959.02</v>
          </cell>
          <cell r="D484">
            <v>1342.63</v>
          </cell>
          <cell r="F484">
            <v>625.00999999999829</v>
          </cell>
          <cell r="G484">
            <v>875.01</v>
          </cell>
        </row>
        <row r="485">
          <cell r="B485">
            <v>481</v>
          </cell>
          <cell r="C485">
            <v>961.02</v>
          </cell>
          <cell r="D485">
            <v>1345.43</v>
          </cell>
          <cell r="F485">
            <v>626.30999999999824</v>
          </cell>
          <cell r="G485">
            <v>876.83</v>
          </cell>
        </row>
        <row r="486">
          <cell r="B486">
            <v>482</v>
          </cell>
          <cell r="C486">
            <v>963.02</v>
          </cell>
          <cell r="D486">
            <v>1348.23</v>
          </cell>
          <cell r="F486">
            <v>627.60999999999819</v>
          </cell>
          <cell r="G486">
            <v>878.65</v>
          </cell>
        </row>
        <row r="487">
          <cell r="B487">
            <v>483</v>
          </cell>
          <cell r="C487">
            <v>965.02</v>
          </cell>
          <cell r="D487">
            <v>1351.03</v>
          </cell>
          <cell r="F487">
            <v>628.90999999999815</v>
          </cell>
          <cell r="G487">
            <v>880.47</v>
          </cell>
        </row>
        <row r="488">
          <cell r="B488">
            <v>484</v>
          </cell>
          <cell r="C488">
            <v>967.02</v>
          </cell>
          <cell r="D488">
            <v>1353.83</v>
          </cell>
          <cell r="F488">
            <v>630.2099999999981</v>
          </cell>
          <cell r="G488">
            <v>882.29</v>
          </cell>
        </row>
        <row r="489">
          <cell r="B489">
            <v>485</v>
          </cell>
          <cell r="C489">
            <v>969.02</v>
          </cell>
          <cell r="D489">
            <v>1356.63</v>
          </cell>
          <cell r="F489">
            <v>631.50999999999806</v>
          </cell>
          <cell r="G489">
            <v>884.11</v>
          </cell>
        </row>
        <row r="490">
          <cell r="B490">
            <v>486</v>
          </cell>
          <cell r="C490">
            <v>971.02</v>
          </cell>
          <cell r="D490">
            <v>1359.43</v>
          </cell>
          <cell r="F490">
            <v>632.80999999999801</v>
          </cell>
          <cell r="G490">
            <v>885.93</v>
          </cell>
        </row>
        <row r="491">
          <cell r="B491">
            <v>487</v>
          </cell>
          <cell r="C491">
            <v>973.02</v>
          </cell>
          <cell r="D491">
            <v>1362.23</v>
          </cell>
          <cell r="F491">
            <v>634.10999999999797</v>
          </cell>
          <cell r="G491">
            <v>887.75</v>
          </cell>
        </row>
        <row r="492">
          <cell r="B492">
            <v>488</v>
          </cell>
          <cell r="C492">
            <v>975.02</v>
          </cell>
          <cell r="D492">
            <v>1365.03</v>
          </cell>
          <cell r="F492">
            <v>635.40999999999792</v>
          </cell>
          <cell r="G492">
            <v>889.57</v>
          </cell>
        </row>
        <row r="493">
          <cell r="B493">
            <v>489</v>
          </cell>
          <cell r="C493">
            <v>977.02</v>
          </cell>
          <cell r="D493">
            <v>1367.83</v>
          </cell>
          <cell r="F493">
            <v>636.70999999999788</v>
          </cell>
          <cell r="G493">
            <v>891.39</v>
          </cell>
        </row>
        <row r="494">
          <cell r="B494">
            <v>490</v>
          </cell>
          <cell r="C494">
            <v>979.02</v>
          </cell>
          <cell r="D494">
            <v>1370.63</v>
          </cell>
          <cell r="F494">
            <v>638.00999999999783</v>
          </cell>
          <cell r="G494">
            <v>893.21</v>
          </cell>
        </row>
        <row r="495">
          <cell r="B495">
            <v>491</v>
          </cell>
          <cell r="C495">
            <v>981.02</v>
          </cell>
          <cell r="D495">
            <v>1373.43</v>
          </cell>
          <cell r="F495">
            <v>639.30999999999779</v>
          </cell>
          <cell r="G495">
            <v>895.03</v>
          </cell>
        </row>
        <row r="496">
          <cell r="B496">
            <v>492</v>
          </cell>
          <cell r="C496">
            <v>983.02</v>
          </cell>
          <cell r="D496">
            <v>1376.23</v>
          </cell>
          <cell r="F496">
            <v>640.60999999999774</v>
          </cell>
          <cell r="G496">
            <v>896.85</v>
          </cell>
        </row>
        <row r="497">
          <cell r="B497">
            <v>493</v>
          </cell>
          <cell r="C497">
            <v>985.02</v>
          </cell>
          <cell r="D497">
            <v>1379.03</v>
          </cell>
          <cell r="F497">
            <v>641.90999999999769</v>
          </cell>
          <cell r="G497">
            <v>898.67</v>
          </cell>
        </row>
        <row r="498">
          <cell r="B498">
            <v>494</v>
          </cell>
          <cell r="C498">
            <v>987.02</v>
          </cell>
          <cell r="D498">
            <v>1381.83</v>
          </cell>
          <cell r="F498">
            <v>643.20999999999765</v>
          </cell>
          <cell r="G498">
            <v>900.49</v>
          </cell>
        </row>
        <row r="499">
          <cell r="B499">
            <v>495</v>
          </cell>
          <cell r="C499">
            <v>989.02</v>
          </cell>
          <cell r="D499">
            <v>1384.63</v>
          </cell>
          <cell r="F499">
            <v>644.5099999999976</v>
          </cell>
          <cell r="G499">
            <v>902.31</v>
          </cell>
        </row>
        <row r="500">
          <cell r="B500">
            <v>496</v>
          </cell>
          <cell r="C500">
            <v>991.02</v>
          </cell>
          <cell r="D500">
            <v>1387.43</v>
          </cell>
          <cell r="F500">
            <v>645.80999999999756</v>
          </cell>
          <cell r="G500">
            <v>904.13</v>
          </cell>
        </row>
        <row r="501">
          <cell r="B501">
            <v>497</v>
          </cell>
          <cell r="C501">
            <v>993.02</v>
          </cell>
          <cell r="D501">
            <v>1390.23</v>
          </cell>
          <cell r="F501">
            <v>647.10999999999751</v>
          </cell>
          <cell r="G501">
            <v>905.95</v>
          </cell>
        </row>
        <row r="502">
          <cell r="B502">
            <v>498</v>
          </cell>
          <cell r="C502">
            <v>995.02</v>
          </cell>
          <cell r="D502">
            <v>1393.03</v>
          </cell>
          <cell r="F502">
            <v>648.40999999999747</v>
          </cell>
          <cell r="G502">
            <v>907.77</v>
          </cell>
        </row>
        <row r="503">
          <cell r="B503">
            <v>499</v>
          </cell>
          <cell r="C503">
            <v>997.02</v>
          </cell>
          <cell r="D503">
            <v>1395.83</v>
          </cell>
          <cell r="F503">
            <v>649.70999999999742</v>
          </cell>
          <cell r="G503">
            <v>909.59</v>
          </cell>
        </row>
        <row r="504">
          <cell r="B504">
            <v>500</v>
          </cell>
          <cell r="C504">
            <v>999.02</v>
          </cell>
          <cell r="D504">
            <v>1398.63</v>
          </cell>
          <cell r="F504">
            <v>651.00999999999738</v>
          </cell>
          <cell r="G504">
            <v>911.41</v>
          </cell>
        </row>
        <row r="505">
          <cell r="B505">
            <v>501</v>
          </cell>
          <cell r="C505">
            <v>1001.02</v>
          </cell>
          <cell r="D505">
            <v>1401.43</v>
          </cell>
          <cell r="F505">
            <v>652.30999999999733</v>
          </cell>
          <cell r="G505">
            <v>913.23</v>
          </cell>
        </row>
        <row r="506">
          <cell r="B506">
            <v>502</v>
          </cell>
          <cell r="C506">
            <v>1003.02</v>
          </cell>
          <cell r="D506">
            <v>1404.23</v>
          </cell>
          <cell r="F506">
            <v>653.60999999999729</v>
          </cell>
          <cell r="G506">
            <v>915.05</v>
          </cell>
        </row>
        <row r="507">
          <cell r="B507">
            <v>503</v>
          </cell>
          <cell r="C507">
            <v>1005.02</v>
          </cell>
          <cell r="D507">
            <v>1407.03</v>
          </cell>
          <cell r="F507">
            <v>654.90999999999724</v>
          </cell>
          <cell r="G507">
            <v>916.87</v>
          </cell>
        </row>
        <row r="508">
          <cell r="B508">
            <v>504</v>
          </cell>
          <cell r="C508">
            <v>1007.02</v>
          </cell>
          <cell r="D508">
            <v>1409.83</v>
          </cell>
          <cell r="F508">
            <v>656.20999999999719</v>
          </cell>
          <cell r="G508">
            <v>918.69</v>
          </cell>
        </row>
        <row r="509">
          <cell r="B509">
            <v>505</v>
          </cell>
          <cell r="C509">
            <v>1009.02</v>
          </cell>
          <cell r="D509">
            <v>1412.63</v>
          </cell>
          <cell r="F509">
            <v>657.50999999999715</v>
          </cell>
          <cell r="G509">
            <v>920.51</v>
          </cell>
        </row>
        <row r="510">
          <cell r="B510">
            <v>506</v>
          </cell>
          <cell r="C510">
            <v>1011.02</v>
          </cell>
          <cell r="D510">
            <v>1415.43</v>
          </cell>
          <cell r="F510">
            <v>658.8099999999971</v>
          </cell>
          <cell r="G510">
            <v>922.33</v>
          </cell>
        </row>
        <row r="511">
          <cell r="B511">
            <v>507</v>
          </cell>
          <cell r="C511">
            <v>1013.02</v>
          </cell>
          <cell r="D511">
            <v>1418.23</v>
          </cell>
          <cell r="F511">
            <v>660.10999999999706</v>
          </cell>
          <cell r="G511">
            <v>924.15</v>
          </cell>
        </row>
        <row r="512">
          <cell r="B512">
            <v>508</v>
          </cell>
          <cell r="C512">
            <v>1015.02</v>
          </cell>
          <cell r="D512">
            <v>1421.03</v>
          </cell>
          <cell r="F512">
            <v>661.40999999999701</v>
          </cell>
          <cell r="G512">
            <v>925.97</v>
          </cell>
        </row>
        <row r="513">
          <cell r="B513">
            <v>509</v>
          </cell>
          <cell r="C513">
            <v>1017.02</v>
          </cell>
          <cell r="D513">
            <v>1423.83</v>
          </cell>
          <cell r="F513">
            <v>662.70999999999697</v>
          </cell>
          <cell r="G513">
            <v>927.79</v>
          </cell>
        </row>
        <row r="514">
          <cell r="B514">
            <v>510</v>
          </cell>
          <cell r="C514">
            <v>1019.02</v>
          </cell>
          <cell r="D514">
            <v>1426.63</v>
          </cell>
          <cell r="F514">
            <v>664.00999999999692</v>
          </cell>
          <cell r="G514">
            <v>929.61</v>
          </cell>
        </row>
        <row r="515">
          <cell r="B515">
            <v>511</v>
          </cell>
          <cell r="C515">
            <v>1021.02</v>
          </cell>
          <cell r="D515">
            <v>1429.43</v>
          </cell>
          <cell r="F515">
            <v>665.30999999999688</v>
          </cell>
          <cell r="G515">
            <v>931.43</v>
          </cell>
        </row>
        <row r="516">
          <cell r="B516">
            <v>512</v>
          </cell>
          <cell r="C516">
            <v>1023.02</v>
          </cell>
          <cell r="D516">
            <v>1432.23</v>
          </cell>
          <cell r="F516">
            <v>666.60999999999683</v>
          </cell>
          <cell r="G516">
            <v>933.25</v>
          </cell>
        </row>
        <row r="517">
          <cell r="B517">
            <v>513</v>
          </cell>
          <cell r="C517">
            <v>1025.02</v>
          </cell>
          <cell r="D517">
            <v>1435.03</v>
          </cell>
          <cell r="F517">
            <v>667.90999999999678</v>
          </cell>
          <cell r="G517">
            <v>935.07</v>
          </cell>
        </row>
        <row r="518">
          <cell r="B518">
            <v>514</v>
          </cell>
          <cell r="C518">
            <v>1027.02</v>
          </cell>
          <cell r="D518">
            <v>1437.83</v>
          </cell>
          <cell r="F518">
            <v>669.20999999999674</v>
          </cell>
          <cell r="G518">
            <v>936.89</v>
          </cell>
        </row>
        <row r="519">
          <cell r="B519">
            <v>515</v>
          </cell>
          <cell r="C519">
            <v>1029.02</v>
          </cell>
          <cell r="D519">
            <v>1440.63</v>
          </cell>
          <cell r="F519">
            <v>670.50999999999669</v>
          </cell>
          <cell r="G519">
            <v>938.71</v>
          </cell>
        </row>
        <row r="520">
          <cell r="B520">
            <v>516</v>
          </cell>
          <cell r="C520">
            <v>1031.02</v>
          </cell>
          <cell r="D520">
            <v>1443.43</v>
          </cell>
          <cell r="F520">
            <v>671.80999999999665</v>
          </cell>
          <cell r="G520">
            <v>940.53</v>
          </cell>
        </row>
        <row r="521">
          <cell r="B521">
            <v>517</v>
          </cell>
          <cell r="C521">
            <v>1033.02</v>
          </cell>
          <cell r="D521">
            <v>1446.23</v>
          </cell>
          <cell r="F521">
            <v>673.1099999999966</v>
          </cell>
          <cell r="G521">
            <v>942.35</v>
          </cell>
        </row>
        <row r="522">
          <cell r="B522">
            <v>518</v>
          </cell>
          <cell r="C522">
            <v>1035.02</v>
          </cell>
          <cell r="D522">
            <v>1449.03</v>
          </cell>
          <cell r="F522">
            <v>674.40999999999656</v>
          </cell>
          <cell r="G522">
            <v>944.17</v>
          </cell>
        </row>
        <row r="523">
          <cell r="B523">
            <v>519</v>
          </cell>
          <cell r="C523">
            <v>1037.02</v>
          </cell>
          <cell r="D523">
            <v>1451.83</v>
          </cell>
          <cell r="F523">
            <v>675.70999999999651</v>
          </cell>
          <cell r="G523">
            <v>945.99</v>
          </cell>
        </row>
        <row r="524">
          <cell r="B524">
            <v>520</v>
          </cell>
          <cell r="C524">
            <v>1039.02</v>
          </cell>
          <cell r="D524">
            <v>1454.63</v>
          </cell>
          <cell r="F524">
            <v>677.00999999999647</v>
          </cell>
          <cell r="G524">
            <v>947.81</v>
          </cell>
        </row>
        <row r="525">
          <cell r="B525">
            <v>521</v>
          </cell>
          <cell r="C525">
            <v>1041.02</v>
          </cell>
          <cell r="D525">
            <v>1457.43</v>
          </cell>
          <cell r="F525">
            <v>678.30999999999642</v>
          </cell>
          <cell r="G525">
            <v>949.63</v>
          </cell>
        </row>
        <row r="526">
          <cell r="B526">
            <v>522</v>
          </cell>
          <cell r="C526">
            <v>1043.02</v>
          </cell>
          <cell r="D526">
            <v>1460.23</v>
          </cell>
          <cell r="F526">
            <v>679.60999999999638</v>
          </cell>
          <cell r="G526">
            <v>951.45</v>
          </cell>
        </row>
        <row r="527">
          <cell r="B527">
            <v>523</v>
          </cell>
          <cell r="C527">
            <v>1045.02</v>
          </cell>
          <cell r="D527">
            <v>1463.03</v>
          </cell>
          <cell r="F527">
            <v>680.90999999999633</v>
          </cell>
          <cell r="G527">
            <v>953.27</v>
          </cell>
        </row>
        <row r="528">
          <cell r="B528">
            <v>524</v>
          </cell>
          <cell r="C528">
            <v>1047.02</v>
          </cell>
          <cell r="D528">
            <v>1465.83</v>
          </cell>
          <cell r="F528">
            <v>682.20999999999628</v>
          </cell>
          <cell r="G528">
            <v>955.09</v>
          </cell>
        </row>
        <row r="529">
          <cell r="B529">
            <v>525</v>
          </cell>
          <cell r="C529">
            <v>1049.02</v>
          </cell>
          <cell r="D529">
            <v>1468.63</v>
          </cell>
          <cell r="F529">
            <v>683.50999999999624</v>
          </cell>
          <cell r="G529">
            <v>956.91</v>
          </cell>
        </row>
        <row r="530">
          <cell r="B530">
            <v>526</v>
          </cell>
          <cell r="C530">
            <v>1051.02</v>
          </cell>
          <cell r="D530">
            <v>1471.43</v>
          </cell>
          <cell r="F530">
            <v>684.80999999999619</v>
          </cell>
          <cell r="G530">
            <v>958.73</v>
          </cell>
        </row>
        <row r="531">
          <cell r="B531">
            <v>527</v>
          </cell>
          <cell r="C531">
            <v>1053.02</v>
          </cell>
          <cell r="D531">
            <v>1474.23</v>
          </cell>
          <cell r="F531">
            <v>686.10999999999615</v>
          </cell>
          <cell r="G531">
            <v>960.55</v>
          </cell>
        </row>
        <row r="532">
          <cell r="B532">
            <v>528</v>
          </cell>
          <cell r="C532">
            <v>1055.02</v>
          </cell>
          <cell r="D532">
            <v>1477.03</v>
          </cell>
          <cell r="F532">
            <v>687.4099999999961</v>
          </cell>
          <cell r="G532">
            <v>962.37</v>
          </cell>
        </row>
        <row r="533">
          <cell r="B533">
            <v>529</v>
          </cell>
          <cell r="C533">
            <v>1057.02</v>
          </cell>
          <cell r="D533">
            <v>1479.83</v>
          </cell>
          <cell r="F533">
            <v>688.70999999999606</v>
          </cell>
          <cell r="G533">
            <v>964.19</v>
          </cell>
        </row>
        <row r="534">
          <cell r="B534">
            <v>530</v>
          </cell>
          <cell r="C534">
            <v>1059.02</v>
          </cell>
          <cell r="D534">
            <v>1482.63</v>
          </cell>
          <cell r="F534">
            <v>690.00999999999601</v>
          </cell>
          <cell r="G534">
            <v>966.01</v>
          </cell>
        </row>
        <row r="535">
          <cell r="B535">
            <v>531</v>
          </cell>
          <cell r="C535">
            <v>1061.02</v>
          </cell>
          <cell r="D535">
            <v>1485.43</v>
          </cell>
          <cell r="F535">
            <v>691.30999999999597</v>
          </cell>
          <cell r="G535">
            <v>967.83</v>
          </cell>
        </row>
        <row r="536">
          <cell r="B536">
            <v>532</v>
          </cell>
          <cell r="C536">
            <v>1063.02</v>
          </cell>
          <cell r="D536">
            <v>1488.23</v>
          </cell>
          <cell r="F536">
            <v>692.60999999999592</v>
          </cell>
          <cell r="G536">
            <v>969.65</v>
          </cell>
        </row>
        <row r="537">
          <cell r="B537">
            <v>533</v>
          </cell>
          <cell r="C537">
            <v>1065.02</v>
          </cell>
          <cell r="D537">
            <v>1491.03</v>
          </cell>
          <cell r="F537">
            <v>693.90999999999588</v>
          </cell>
          <cell r="G537">
            <v>971.47</v>
          </cell>
        </row>
        <row r="538">
          <cell r="B538">
            <v>534</v>
          </cell>
          <cell r="C538">
            <v>1067.02</v>
          </cell>
          <cell r="D538">
            <v>1493.83</v>
          </cell>
          <cell r="F538">
            <v>695.20999999999583</v>
          </cell>
          <cell r="G538">
            <v>973.29</v>
          </cell>
        </row>
        <row r="539">
          <cell r="B539">
            <v>535</v>
          </cell>
          <cell r="C539">
            <v>1069.02</v>
          </cell>
          <cell r="D539">
            <v>1496.63</v>
          </cell>
          <cell r="F539">
            <v>696.50999999999578</v>
          </cell>
          <cell r="G539">
            <v>975.11</v>
          </cell>
        </row>
        <row r="540">
          <cell r="B540">
            <v>536</v>
          </cell>
          <cell r="C540">
            <v>1071.02</v>
          </cell>
          <cell r="D540">
            <v>1499.43</v>
          </cell>
          <cell r="F540">
            <v>697.80999999999574</v>
          </cell>
          <cell r="G540">
            <v>976.93</v>
          </cell>
        </row>
        <row r="541">
          <cell r="B541">
            <v>537</v>
          </cell>
          <cell r="C541">
            <v>1073.02</v>
          </cell>
          <cell r="D541">
            <v>1502.23</v>
          </cell>
          <cell r="F541">
            <v>699.10999999999569</v>
          </cell>
          <cell r="G541">
            <v>978.75</v>
          </cell>
        </row>
        <row r="542">
          <cell r="B542">
            <v>538</v>
          </cell>
          <cell r="C542">
            <v>1075.02</v>
          </cell>
          <cell r="D542">
            <v>1505.03</v>
          </cell>
          <cell r="F542">
            <v>700.40999999999565</v>
          </cell>
          <cell r="G542">
            <v>980.57</v>
          </cell>
        </row>
        <row r="543">
          <cell r="B543">
            <v>539</v>
          </cell>
          <cell r="C543">
            <v>1077.02</v>
          </cell>
          <cell r="D543">
            <v>1507.83</v>
          </cell>
          <cell r="F543">
            <v>701.7099999999956</v>
          </cell>
          <cell r="G543">
            <v>982.39</v>
          </cell>
        </row>
        <row r="544">
          <cell r="B544">
            <v>540</v>
          </cell>
          <cell r="C544">
            <v>1079.02</v>
          </cell>
          <cell r="D544">
            <v>1510.63</v>
          </cell>
          <cell r="F544">
            <v>703.00999999999556</v>
          </cell>
          <cell r="G544">
            <v>984.21</v>
          </cell>
        </row>
        <row r="545">
          <cell r="B545">
            <v>541</v>
          </cell>
          <cell r="C545">
            <v>1081.02</v>
          </cell>
          <cell r="D545">
            <v>1513.43</v>
          </cell>
          <cell r="F545">
            <v>704.30999999999551</v>
          </cell>
          <cell r="G545">
            <v>986.03</v>
          </cell>
        </row>
        <row r="546">
          <cell r="B546">
            <v>542</v>
          </cell>
          <cell r="C546">
            <v>1083.02</v>
          </cell>
          <cell r="D546">
            <v>1516.23</v>
          </cell>
          <cell r="F546">
            <v>705.60999999999547</v>
          </cell>
          <cell r="G546">
            <v>987.85</v>
          </cell>
        </row>
        <row r="547">
          <cell r="B547">
            <v>543</v>
          </cell>
          <cell r="C547">
            <v>1085.02</v>
          </cell>
          <cell r="D547">
            <v>1519.03</v>
          </cell>
          <cell r="F547">
            <v>706.90999999999542</v>
          </cell>
          <cell r="G547">
            <v>989.67</v>
          </cell>
        </row>
        <row r="548">
          <cell r="B548">
            <v>544</v>
          </cell>
          <cell r="C548">
            <v>1087.02</v>
          </cell>
          <cell r="D548">
            <v>1521.83</v>
          </cell>
          <cell r="F548">
            <v>708.20999999999538</v>
          </cell>
          <cell r="G548">
            <v>991.49</v>
          </cell>
        </row>
        <row r="549">
          <cell r="B549">
            <v>545</v>
          </cell>
          <cell r="C549">
            <v>1089.02</v>
          </cell>
          <cell r="D549">
            <v>1524.63</v>
          </cell>
          <cell r="F549">
            <v>709.50999999999533</v>
          </cell>
          <cell r="G549">
            <v>993.31</v>
          </cell>
        </row>
        <row r="550">
          <cell r="B550">
            <v>546</v>
          </cell>
          <cell r="C550">
            <v>1091.02</v>
          </cell>
          <cell r="D550">
            <v>1527.43</v>
          </cell>
          <cell r="F550">
            <v>710.80999999999528</v>
          </cell>
          <cell r="G550">
            <v>995.13</v>
          </cell>
        </row>
        <row r="551">
          <cell r="B551">
            <v>547</v>
          </cell>
          <cell r="C551">
            <v>1093.02</v>
          </cell>
          <cell r="D551">
            <v>1530.23</v>
          </cell>
          <cell r="F551">
            <v>712.10999999999524</v>
          </cell>
          <cell r="G551">
            <v>996.95</v>
          </cell>
        </row>
        <row r="552">
          <cell r="B552">
            <v>548</v>
          </cell>
          <cell r="C552">
            <v>1095.02</v>
          </cell>
          <cell r="D552">
            <v>1533.03</v>
          </cell>
          <cell r="F552">
            <v>713.40999999999519</v>
          </cell>
          <cell r="G552">
            <v>998.77</v>
          </cell>
        </row>
        <row r="553">
          <cell r="B553">
            <v>549</v>
          </cell>
          <cell r="C553">
            <v>1097.02</v>
          </cell>
          <cell r="D553">
            <v>1535.83</v>
          </cell>
          <cell r="F553">
            <v>714.70999999999515</v>
          </cell>
          <cell r="G553">
            <v>1000.59</v>
          </cell>
        </row>
        <row r="554">
          <cell r="B554">
            <v>550</v>
          </cell>
          <cell r="C554">
            <v>1099.02</v>
          </cell>
          <cell r="D554">
            <v>1538.63</v>
          </cell>
          <cell r="F554">
            <v>716.0099999999951</v>
          </cell>
          <cell r="G554">
            <v>1002.41</v>
          </cell>
        </row>
        <row r="555">
          <cell r="B555">
            <v>551</v>
          </cell>
          <cell r="C555">
            <v>1101.02</v>
          </cell>
          <cell r="D555">
            <v>1541.43</v>
          </cell>
          <cell r="F555">
            <v>717.30999999999506</v>
          </cell>
          <cell r="G555">
            <v>1004.23</v>
          </cell>
        </row>
        <row r="556">
          <cell r="B556">
            <v>552</v>
          </cell>
          <cell r="C556">
            <v>1103.02</v>
          </cell>
          <cell r="D556">
            <v>1544.23</v>
          </cell>
          <cell r="F556">
            <v>718.60999999999501</v>
          </cell>
          <cell r="G556">
            <v>1006.05</v>
          </cell>
        </row>
        <row r="557">
          <cell r="B557">
            <v>553</v>
          </cell>
          <cell r="C557">
            <v>1105.02</v>
          </cell>
          <cell r="D557">
            <v>1547.03</v>
          </cell>
          <cell r="F557">
            <v>719.90999999999497</v>
          </cell>
          <cell r="G557">
            <v>1007.87</v>
          </cell>
        </row>
        <row r="558">
          <cell r="B558">
            <v>554</v>
          </cell>
          <cell r="C558">
            <v>1107.02</v>
          </cell>
          <cell r="D558">
            <v>1549.83</v>
          </cell>
          <cell r="F558">
            <v>721.20999999999492</v>
          </cell>
          <cell r="G558">
            <v>1009.69</v>
          </cell>
        </row>
        <row r="559">
          <cell r="B559">
            <v>555</v>
          </cell>
          <cell r="C559">
            <v>1109.02</v>
          </cell>
          <cell r="D559">
            <v>1552.63</v>
          </cell>
          <cell r="F559">
            <v>722.50999999999487</v>
          </cell>
          <cell r="G559">
            <v>1011.51</v>
          </cell>
        </row>
        <row r="560">
          <cell r="B560">
            <v>556</v>
          </cell>
          <cell r="C560">
            <v>1111.02</v>
          </cell>
          <cell r="D560">
            <v>1555.43</v>
          </cell>
          <cell r="F560">
            <v>723.80999999999483</v>
          </cell>
          <cell r="G560">
            <v>1013.33</v>
          </cell>
        </row>
        <row r="561">
          <cell r="B561">
            <v>557</v>
          </cell>
          <cell r="C561">
            <v>1113.02</v>
          </cell>
          <cell r="D561">
            <v>1558.23</v>
          </cell>
          <cell r="F561">
            <v>725.10999999999478</v>
          </cell>
          <cell r="G561">
            <v>1015.15</v>
          </cell>
        </row>
        <row r="562">
          <cell r="B562">
            <v>558</v>
          </cell>
          <cell r="C562">
            <v>1115.02</v>
          </cell>
          <cell r="D562">
            <v>1561.03</v>
          </cell>
          <cell r="F562">
            <v>726.40999999999474</v>
          </cell>
          <cell r="G562">
            <v>1016.97</v>
          </cell>
        </row>
        <row r="563">
          <cell r="B563">
            <v>559</v>
          </cell>
          <cell r="C563">
            <v>1117.02</v>
          </cell>
          <cell r="D563">
            <v>1563.83</v>
          </cell>
          <cell r="F563">
            <v>727.70999999999469</v>
          </cell>
          <cell r="G563">
            <v>1018.79</v>
          </cell>
        </row>
        <row r="564">
          <cell r="B564">
            <v>560</v>
          </cell>
          <cell r="C564">
            <v>1119.02</v>
          </cell>
          <cell r="D564">
            <v>1566.63</v>
          </cell>
          <cell r="F564">
            <v>729.00999999999465</v>
          </cell>
          <cell r="G564">
            <v>1020.61</v>
          </cell>
        </row>
        <row r="565">
          <cell r="B565">
            <v>561</v>
          </cell>
          <cell r="C565">
            <v>1121.02</v>
          </cell>
          <cell r="D565">
            <v>1569.43</v>
          </cell>
          <cell r="F565">
            <v>730.3099999999946</v>
          </cell>
          <cell r="G565">
            <v>1022.43</v>
          </cell>
        </row>
        <row r="566">
          <cell r="B566">
            <v>562</v>
          </cell>
          <cell r="C566">
            <v>1123.02</v>
          </cell>
          <cell r="D566">
            <v>1572.23</v>
          </cell>
          <cell r="F566">
            <v>731.60999999999456</v>
          </cell>
          <cell r="G566">
            <v>1024.25</v>
          </cell>
        </row>
        <row r="567">
          <cell r="B567">
            <v>563</v>
          </cell>
          <cell r="C567">
            <v>1125.02</v>
          </cell>
          <cell r="D567">
            <v>1575.03</v>
          </cell>
          <cell r="F567">
            <v>732.90999999999451</v>
          </cell>
          <cell r="G567">
            <v>1026.07</v>
          </cell>
        </row>
        <row r="568">
          <cell r="B568">
            <v>564</v>
          </cell>
          <cell r="C568">
            <v>1127.02</v>
          </cell>
          <cell r="D568">
            <v>1577.83</v>
          </cell>
          <cell r="F568">
            <v>734.20999999999447</v>
          </cell>
          <cell r="G568">
            <v>1027.8900000000001</v>
          </cell>
        </row>
        <row r="569">
          <cell r="B569">
            <v>565</v>
          </cell>
          <cell r="C569">
            <v>1129.02</v>
          </cell>
          <cell r="D569">
            <v>1580.63</v>
          </cell>
          <cell r="F569">
            <v>735.50999999999442</v>
          </cell>
          <cell r="G569">
            <v>1029.71</v>
          </cell>
        </row>
        <row r="570">
          <cell r="B570">
            <v>566</v>
          </cell>
          <cell r="C570">
            <v>1131.02</v>
          </cell>
          <cell r="D570">
            <v>1583.43</v>
          </cell>
          <cell r="F570">
            <v>736.80999999999437</v>
          </cell>
          <cell r="G570">
            <v>1031.53</v>
          </cell>
        </row>
        <row r="571">
          <cell r="B571">
            <v>567</v>
          </cell>
          <cell r="C571">
            <v>1133.02</v>
          </cell>
          <cell r="D571">
            <v>1586.23</v>
          </cell>
          <cell r="F571">
            <v>738.10999999999433</v>
          </cell>
          <cell r="G571">
            <v>1033.3499999999999</v>
          </cell>
        </row>
        <row r="572">
          <cell r="B572">
            <v>568</v>
          </cell>
          <cell r="C572">
            <v>1135.02</v>
          </cell>
          <cell r="D572">
            <v>1589.03</v>
          </cell>
          <cell r="F572">
            <v>739.40999999999428</v>
          </cell>
          <cell r="G572">
            <v>1035.17</v>
          </cell>
        </row>
        <row r="573">
          <cell r="B573">
            <v>569</v>
          </cell>
          <cell r="C573">
            <v>1137.02</v>
          </cell>
          <cell r="D573">
            <v>1591.83</v>
          </cell>
          <cell r="F573">
            <v>740.70999999999424</v>
          </cell>
          <cell r="G573">
            <v>1036.99</v>
          </cell>
        </row>
        <row r="574">
          <cell r="B574">
            <v>570</v>
          </cell>
          <cell r="C574">
            <v>1139.02</v>
          </cell>
          <cell r="D574">
            <v>1594.63</v>
          </cell>
          <cell r="F574">
            <v>742.00999999999419</v>
          </cell>
          <cell r="G574">
            <v>1038.81</v>
          </cell>
        </row>
        <row r="575">
          <cell r="B575">
            <v>571</v>
          </cell>
          <cell r="C575">
            <v>1141.02</v>
          </cell>
          <cell r="D575">
            <v>1597.43</v>
          </cell>
          <cell r="F575">
            <v>743.30999999999415</v>
          </cell>
          <cell r="G575">
            <v>1040.6300000000001</v>
          </cell>
        </row>
        <row r="576">
          <cell r="B576">
            <v>572</v>
          </cell>
          <cell r="C576">
            <v>1143.02</v>
          </cell>
          <cell r="D576">
            <v>1600.23</v>
          </cell>
          <cell r="F576">
            <v>744.6099999999941</v>
          </cell>
          <cell r="G576">
            <v>1042.45</v>
          </cell>
        </row>
        <row r="577">
          <cell r="B577">
            <v>573</v>
          </cell>
          <cell r="C577">
            <v>1145.02</v>
          </cell>
          <cell r="D577">
            <v>1603.03</v>
          </cell>
          <cell r="F577">
            <v>745.90999999999406</v>
          </cell>
          <cell r="G577">
            <v>1044.27</v>
          </cell>
        </row>
        <row r="578">
          <cell r="B578">
            <v>574</v>
          </cell>
          <cell r="C578">
            <v>1147.02</v>
          </cell>
          <cell r="D578">
            <v>1605.83</v>
          </cell>
          <cell r="F578">
            <v>747.20999999999401</v>
          </cell>
          <cell r="G578">
            <v>1046.0899999999999</v>
          </cell>
        </row>
        <row r="579">
          <cell r="B579">
            <v>575</v>
          </cell>
          <cell r="C579">
            <v>1149.02</v>
          </cell>
          <cell r="D579">
            <v>1608.63</v>
          </cell>
          <cell r="F579">
            <v>748.50999999999397</v>
          </cell>
          <cell r="G579">
            <v>1047.9100000000001</v>
          </cell>
        </row>
        <row r="580">
          <cell r="B580">
            <v>576</v>
          </cell>
          <cell r="C580">
            <v>1151.02</v>
          </cell>
          <cell r="D580">
            <v>1611.43</v>
          </cell>
          <cell r="F580">
            <v>749.80999999999392</v>
          </cell>
          <cell r="G580">
            <v>1049.73</v>
          </cell>
        </row>
        <row r="581">
          <cell r="B581">
            <v>577</v>
          </cell>
          <cell r="C581">
            <v>1153.02</v>
          </cell>
          <cell r="D581">
            <v>1614.23</v>
          </cell>
          <cell r="F581">
            <v>751.10999999999387</v>
          </cell>
          <cell r="G581">
            <v>1051.55</v>
          </cell>
        </row>
        <row r="582">
          <cell r="B582">
            <v>578</v>
          </cell>
          <cell r="C582">
            <v>1155.02</v>
          </cell>
          <cell r="D582">
            <v>1617.03</v>
          </cell>
          <cell r="F582">
            <v>752.40999999999383</v>
          </cell>
          <cell r="G582">
            <v>1053.3699999999999</v>
          </cell>
        </row>
        <row r="583">
          <cell r="B583">
            <v>579</v>
          </cell>
          <cell r="C583">
            <v>1157.02</v>
          </cell>
          <cell r="D583">
            <v>1619.83</v>
          </cell>
          <cell r="F583">
            <v>753.70999999999378</v>
          </cell>
          <cell r="G583">
            <v>1055.19</v>
          </cell>
        </row>
        <row r="584">
          <cell r="B584">
            <v>580</v>
          </cell>
          <cell r="C584">
            <v>1159.02</v>
          </cell>
          <cell r="D584">
            <v>1622.63</v>
          </cell>
          <cell r="F584">
            <v>755.00999999999374</v>
          </cell>
          <cell r="G584">
            <v>1057.01</v>
          </cell>
        </row>
        <row r="585">
          <cell r="B585">
            <v>581</v>
          </cell>
          <cell r="C585">
            <v>1161.02</v>
          </cell>
          <cell r="D585">
            <v>1625.43</v>
          </cell>
          <cell r="F585">
            <v>756.30999999999369</v>
          </cell>
          <cell r="G585">
            <v>1058.83</v>
          </cell>
        </row>
        <row r="586">
          <cell r="B586">
            <v>582</v>
          </cell>
          <cell r="C586">
            <v>1163.02</v>
          </cell>
          <cell r="D586">
            <v>1628.23</v>
          </cell>
          <cell r="F586">
            <v>757.60999999999365</v>
          </cell>
          <cell r="G586">
            <v>1060.6500000000001</v>
          </cell>
        </row>
        <row r="587">
          <cell r="B587">
            <v>583</v>
          </cell>
          <cell r="C587">
            <v>1165.02</v>
          </cell>
          <cell r="D587">
            <v>1631.03</v>
          </cell>
          <cell r="F587">
            <v>758.9099999999936</v>
          </cell>
          <cell r="G587">
            <v>1062.47</v>
          </cell>
        </row>
        <row r="588">
          <cell r="B588">
            <v>584</v>
          </cell>
          <cell r="C588">
            <v>1167.02</v>
          </cell>
          <cell r="D588">
            <v>1633.83</v>
          </cell>
          <cell r="F588">
            <v>760.20999999999356</v>
          </cell>
          <cell r="G588">
            <v>1064.29</v>
          </cell>
        </row>
        <row r="589">
          <cell r="B589">
            <v>585</v>
          </cell>
          <cell r="C589">
            <v>1169.02</v>
          </cell>
          <cell r="D589">
            <v>1636.63</v>
          </cell>
          <cell r="F589">
            <v>761.50999999999351</v>
          </cell>
          <cell r="G589">
            <v>1066.1099999999999</v>
          </cell>
        </row>
        <row r="590">
          <cell r="B590">
            <v>586</v>
          </cell>
          <cell r="C590">
            <v>1171.02</v>
          </cell>
          <cell r="D590">
            <v>1639.43</v>
          </cell>
          <cell r="F590">
            <v>762.80999999999347</v>
          </cell>
          <cell r="G590">
            <v>1067.93</v>
          </cell>
        </row>
        <row r="591">
          <cell r="B591">
            <v>587</v>
          </cell>
          <cell r="C591">
            <v>1173.02</v>
          </cell>
          <cell r="D591">
            <v>1642.23</v>
          </cell>
          <cell r="F591">
            <v>764.10999999999342</v>
          </cell>
          <cell r="G591">
            <v>1069.75</v>
          </cell>
        </row>
        <row r="592">
          <cell r="B592">
            <v>588</v>
          </cell>
          <cell r="C592">
            <v>1175.02</v>
          </cell>
          <cell r="D592">
            <v>1645.03</v>
          </cell>
          <cell r="F592">
            <v>765.40999999999337</v>
          </cell>
          <cell r="G592">
            <v>1071.57</v>
          </cell>
        </row>
        <row r="593">
          <cell r="B593">
            <v>589</v>
          </cell>
          <cell r="C593">
            <v>1177.02</v>
          </cell>
          <cell r="D593">
            <v>1647.83</v>
          </cell>
          <cell r="F593">
            <v>766.70999999999333</v>
          </cell>
          <cell r="G593">
            <v>1073.3900000000001</v>
          </cell>
        </row>
        <row r="594">
          <cell r="B594">
            <v>590</v>
          </cell>
          <cell r="C594">
            <v>1179.02</v>
          </cell>
          <cell r="D594">
            <v>1650.63</v>
          </cell>
          <cell r="F594">
            <v>768.00999999999328</v>
          </cell>
          <cell r="G594">
            <v>1075.21</v>
          </cell>
        </row>
        <row r="595">
          <cell r="B595">
            <v>591</v>
          </cell>
          <cell r="C595">
            <v>1181.02</v>
          </cell>
          <cell r="D595">
            <v>1653.43</v>
          </cell>
          <cell r="F595">
            <v>769.30999999999324</v>
          </cell>
          <cell r="G595">
            <v>1077.03</v>
          </cell>
        </row>
        <row r="596">
          <cell r="B596">
            <v>592</v>
          </cell>
          <cell r="C596">
            <v>1183.02</v>
          </cell>
          <cell r="D596">
            <v>1656.23</v>
          </cell>
          <cell r="F596">
            <v>770.60999999999319</v>
          </cell>
          <cell r="G596">
            <v>1078.8499999999999</v>
          </cell>
        </row>
        <row r="597">
          <cell r="B597">
            <v>593</v>
          </cell>
          <cell r="C597">
            <v>1185.02</v>
          </cell>
          <cell r="D597">
            <v>1659.03</v>
          </cell>
          <cell r="F597">
            <v>771.90999999999315</v>
          </cell>
          <cell r="G597">
            <v>1080.67</v>
          </cell>
        </row>
        <row r="598">
          <cell r="B598">
            <v>594</v>
          </cell>
          <cell r="C598">
            <v>1187.02</v>
          </cell>
          <cell r="D598">
            <v>1661.83</v>
          </cell>
          <cell r="F598">
            <v>773.2099999999931</v>
          </cell>
          <cell r="G598">
            <v>1082.49</v>
          </cell>
        </row>
        <row r="599">
          <cell r="B599">
            <v>595</v>
          </cell>
          <cell r="C599">
            <v>1189.02</v>
          </cell>
          <cell r="D599">
            <v>1664.63</v>
          </cell>
          <cell r="F599">
            <v>774.50999999999306</v>
          </cell>
          <cell r="G599">
            <v>1084.31</v>
          </cell>
        </row>
        <row r="600">
          <cell r="B600">
            <v>596</v>
          </cell>
          <cell r="C600">
            <v>1191.02</v>
          </cell>
          <cell r="D600">
            <v>1667.43</v>
          </cell>
          <cell r="F600">
            <v>775.80999999999301</v>
          </cell>
          <cell r="G600">
            <v>1086.1300000000001</v>
          </cell>
        </row>
        <row r="601">
          <cell r="B601">
            <v>597</v>
          </cell>
          <cell r="C601">
            <v>1193.02</v>
          </cell>
          <cell r="D601">
            <v>1670.23</v>
          </cell>
          <cell r="F601">
            <v>777.10999999999297</v>
          </cell>
          <cell r="G601">
            <v>1087.95</v>
          </cell>
        </row>
        <row r="602">
          <cell r="B602">
            <v>598</v>
          </cell>
          <cell r="C602">
            <v>1195.02</v>
          </cell>
          <cell r="D602">
            <v>1673.03</v>
          </cell>
          <cell r="F602">
            <v>778.40999999999292</v>
          </cell>
          <cell r="G602">
            <v>1089.77</v>
          </cell>
        </row>
        <row r="603">
          <cell r="B603">
            <v>599</v>
          </cell>
          <cell r="C603">
            <v>1197.02</v>
          </cell>
          <cell r="D603">
            <v>1675.83</v>
          </cell>
          <cell r="F603">
            <v>779.70999999999287</v>
          </cell>
          <cell r="G603">
            <v>1091.5899999999999</v>
          </cell>
        </row>
        <row r="604">
          <cell r="B604">
            <v>600</v>
          </cell>
          <cell r="C604">
            <v>1199.02</v>
          </cell>
          <cell r="D604">
            <v>1678.63</v>
          </cell>
          <cell r="F604">
            <v>781.00999999999283</v>
          </cell>
          <cell r="G604">
            <v>1093.4100000000001</v>
          </cell>
        </row>
        <row r="605">
          <cell r="B605">
            <v>601</v>
          </cell>
          <cell r="C605">
            <v>1201.02</v>
          </cell>
          <cell r="D605">
            <v>1681.43</v>
          </cell>
          <cell r="F605">
            <v>782.30999999999278</v>
          </cell>
          <cell r="G605">
            <v>1095.23</v>
          </cell>
        </row>
        <row r="606">
          <cell r="B606">
            <v>602</v>
          </cell>
          <cell r="C606">
            <v>1203.02</v>
          </cell>
          <cell r="D606">
            <v>1684.23</v>
          </cell>
          <cell r="F606">
            <v>783.60999999999274</v>
          </cell>
          <cell r="G606">
            <v>1097.05</v>
          </cell>
        </row>
        <row r="607">
          <cell r="B607">
            <v>603</v>
          </cell>
          <cell r="C607">
            <v>1205.02</v>
          </cell>
          <cell r="D607">
            <v>1687.03</v>
          </cell>
          <cell r="F607">
            <v>784.90999999999269</v>
          </cell>
          <cell r="G607">
            <v>1098.8699999999999</v>
          </cell>
        </row>
        <row r="608">
          <cell r="B608">
            <v>604</v>
          </cell>
          <cell r="C608">
            <v>1207.02</v>
          </cell>
          <cell r="D608">
            <v>1689.83</v>
          </cell>
          <cell r="F608">
            <v>786.20999999999265</v>
          </cell>
          <cell r="G608">
            <v>1100.69</v>
          </cell>
        </row>
        <row r="609">
          <cell r="B609">
            <v>605</v>
          </cell>
          <cell r="C609">
            <v>1209.02</v>
          </cell>
          <cell r="D609">
            <v>1692.63</v>
          </cell>
          <cell r="F609">
            <v>787.5099999999926</v>
          </cell>
          <cell r="G609">
            <v>1102.51</v>
          </cell>
        </row>
        <row r="610">
          <cell r="B610">
            <v>606</v>
          </cell>
          <cell r="C610">
            <v>1211.02</v>
          </cell>
          <cell r="D610">
            <v>1695.43</v>
          </cell>
          <cell r="F610">
            <v>788.80999999999256</v>
          </cell>
          <cell r="G610">
            <v>1104.33</v>
          </cell>
        </row>
        <row r="611">
          <cell r="B611">
            <v>607</v>
          </cell>
          <cell r="C611">
            <v>1213.02</v>
          </cell>
          <cell r="D611">
            <v>1698.23</v>
          </cell>
          <cell r="F611">
            <v>790.10999999999251</v>
          </cell>
          <cell r="G611">
            <v>1106.1500000000001</v>
          </cell>
        </row>
        <row r="612">
          <cell r="B612">
            <v>608</v>
          </cell>
          <cell r="C612">
            <v>1215.02</v>
          </cell>
          <cell r="D612">
            <v>1701.03</v>
          </cell>
          <cell r="F612">
            <v>791.40999999999246</v>
          </cell>
          <cell r="G612">
            <v>1107.97</v>
          </cell>
        </row>
        <row r="613">
          <cell r="B613">
            <v>609</v>
          </cell>
          <cell r="C613">
            <v>1217.02</v>
          </cell>
          <cell r="D613">
            <v>1703.83</v>
          </cell>
          <cell r="F613">
            <v>792.70999999999242</v>
          </cell>
          <cell r="G613">
            <v>1109.79</v>
          </cell>
        </row>
        <row r="614">
          <cell r="B614">
            <v>610</v>
          </cell>
          <cell r="C614">
            <v>1219.02</v>
          </cell>
          <cell r="D614">
            <v>1706.63</v>
          </cell>
          <cell r="F614">
            <v>794.00999999999237</v>
          </cell>
          <cell r="G614">
            <v>1111.6099999999999</v>
          </cell>
        </row>
        <row r="615">
          <cell r="B615">
            <v>611</v>
          </cell>
          <cell r="C615">
            <v>1221.02</v>
          </cell>
          <cell r="D615">
            <v>1709.43</v>
          </cell>
          <cell r="F615">
            <v>795.30999999999233</v>
          </cell>
          <cell r="G615">
            <v>1113.43</v>
          </cell>
        </row>
        <row r="616">
          <cell r="B616">
            <v>612</v>
          </cell>
          <cell r="C616">
            <v>1223.02</v>
          </cell>
          <cell r="D616">
            <v>1712.23</v>
          </cell>
          <cell r="F616">
            <v>796.60999999999228</v>
          </cell>
          <cell r="G616">
            <v>1115.25</v>
          </cell>
        </row>
        <row r="617">
          <cell r="B617">
            <v>613</v>
          </cell>
          <cell r="C617">
            <v>1225.02</v>
          </cell>
          <cell r="D617">
            <v>1715.03</v>
          </cell>
          <cell r="F617">
            <v>797.90999999999224</v>
          </cell>
          <cell r="G617">
            <v>1117.07</v>
          </cell>
        </row>
        <row r="618">
          <cell r="B618">
            <v>614</v>
          </cell>
          <cell r="C618">
            <v>1227.02</v>
          </cell>
          <cell r="D618">
            <v>1717.83</v>
          </cell>
          <cell r="F618">
            <v>799.20999999999219</v>
          </cell>
          <cell r="G618">
            <v>1118.8900000000001</v>
          </cell>
        </row>
        <row r="619">
          <cell r="B619">
            <v>615</v>
          </cell>
          <cell r="C619">
            <v>1229.02</v>
          </cell>
          <cell r="D619">
            <v>1720.63</v>
          </cell>
          <cell r="F619">
            <v>800.50999999999215</v>
          </cell>
          <cell r="G619">
            <v>1120.71</v>
          </cell>
        </row>
        <row r="620">
          <cell r="B620">
            <v>616</v>
          </cell>
          <cell r="C620">
            <v>1231.02</v>
          </cell>
          <cell r="D620">
            <v>1723.43</v>
          </cell>
          <cell r="F620">
            <v>801.8099999999921</v>
          </cell>
          <cell r="G620">
            <v>1122.53</v>
          </cell>
        </row>
        <row r="621">
          <cell r="B621">
            <v>617</v>
          </cell>
          <cell r="C621">
            <v>1233.02</v>
          </cell>
          <cell r="D621">
            <v>1726.23</v>
          </cell>
          <cell r="F621">
            <v>803.10999999999206</v>
          </cell>
          <cell r="G621">
            <v>1124.3499999999999</v>
          </cell>
        </row>
        <row r="622">
          <cell r="B622">
            <v>618</v>
          </cell>
          <cell r="C622">
            <v>1235.02</v>
          </cell>
          <cell r="D622">
            <v>1729.03</v>
          </cell>
          <cell r="F622">
            <v>804.40999999999201</v>
          </cell>
          <cell r="G622">
            <v>1126.17</v>
          </cell>
        </row>
        <row r="623">
          <cell r="B623">
            <v>619</v>
          </cell>
          <cell r="C623">
            <v>1237.02</v>
          </cell>
          <cell r="D623">
            <v>1731.83</v>
          </cell>
          <cell r="F623">
            <v>805.70999999999196</v>
          </cell>
          <cell r="G623">
            <v>1127.99</v>
          </cell>
        </row>
        <row r="624">
          <cell r="B624">
            <v>620</v>
          </cell>
          <cell r="C624">
            <v>1239.02</v>
          </cell>
          <cell r="D624">
            <v>1734.63</v>
          </cell>
          <cell r="F624">
            <v>807.00999999999192</v>
          </cell>
          <cell r="G624">
            <v>1129.81</v>
          </cell>
        </row>
        <row r="625">
          <cell r="B625">
            <v>621</v>
          </cell>
          <cell r="C625">
            <v>1241.02</v>
          </cell>
          <cell r="D625">
            <v>1737.43</v>
          </cell>
          <cell r="F625">
            <v>808.30999999999187</v>
          </cell>
          <cell r="G625">
            <v>1131.6300000000001</v>
          </cell>
        </row>
        <row r="626">
          <cell r="B626">
            <v>622</v>
          </cell>
          <cell r="C626">
            <v>1243.02</v>
          </cell>
          <cell r="D626">
            <v>1740.23</v>
          </cell>
          <cell r="F626">
            <v>809.60999999999183</v>
          </cell>
          <cell r="G626">
            <v>1133.45</v>
          </cell>
        </row>
        <row r="627">
          <cell r="B627">
            <v>623</v>
          </cell>
          <cell r="C627">
            <v>1245.02</v>
          </cell>
          <cell r="D627">
            <v>1743.03</v>
          </cell>
          <cell r="F627">
            <v>810.90999999999178</v>
          </cell>
          <cell r="G627">
            <v>1135.27</v>
          </cell>
        </row>
        <row r="628">
          <cell r="B628">
            <v>624</v>
          </cell>
          <cell r="C628">
            <v>1247.02</v>
          </cell>
          <cell r="D628">
            <v>1745.83</v>
          </cell>
          <cell r="F628">
            <v>812.20999999999174</v>
          </cell>
          <cell r="G628">
            <v>1137.0899999999999</v>
          </cell>
        </row>
        <row r="629">
          <cell r="B629">
            <v>625</v>
          </cell>
          <cell r="C629">
            <v>1249.02</v>
          </cell>
          <cell r="D629">
            <v>1748.63</v>
          </cell>
          <cell r="F629">
            <v>813.50999999999169</v>
          </cell>
          <cell r="G629">
            <v>1138.9100000000001</v>
          </cell>
        </row>
        <row r="630">
          <cell r="B630">
            <v>626</v>
          </cell>
          <cell r="C630">
            <v>1251.02</v>
          </cell>
          <cell r="D630">
            <v>1751.43</v>
          </cell>
          <cell r="F630">
            <v>814.80999999999165</v>
          </cell>
          <cell r="G630">
            <v>1140.73</v>
          </cell>
        </row>
        <row r="631">
          <cell r="B631">
            <v>627</v>
          </cell>
          <cell r="C631">
            <v>1253.02</v>
          </cell>
          <cell r="D631">
            <v>1754.23</v>
          </cell>
          <cell r="F631">
            <v>816.1099999999916</v>
          </cell>
          <cell r="G631">
            <v>1142.55</v>
          </cell>
        </row>
        <row r="632">
          <cell r="B632">
            <v>628</v>
          </cell>
          <cell r="C632">
            <v>1255.02</v>
          </cell>
          <cell r="D632">
            <v>1757.03</v>
          </cell>
          <cell r="F632">
            <v>817.40999999999156</v>
          </cell>
          <cell r="G632">
            <v>1144.3699999999999</v>
          </cell>
        </row>
        <row r="633">
          <cell r="B633">
            <v>629</v>
          </cell>
          <cell r="C633">
            <v>1257.02</v>
          </cell>
          <cell r="D633">
            <v>1759.83</v>
          </cell>
          <cell r="F633">
            <v>818.70999999999151</v>
          </cell>
          <cell r="G633">
            <v>1146.19</v>
          </cell>
        </row>
        <row r="634">
          <cell r="B634">
            <v>630</v>
          </cell>
          <cell r="C634">
            <v>1259.02</v>
          </cell>
          <cell r="D634">
            <v>1762.63</v>
          </cell>
          <cell r="F634">
            <v>820.00999999999146</v>
          </cell>
          <cell r="G634">
            <v>1148.01</v>
          </cell>
        </row>
        <row r="635">
          <cell r="B635">
            <v>631</v>
          </cell>
          <cell r="C635">
            <v>1261.02</v>
          </cell>
          <cell r="D635">
            <v>1765.43</v>
          </cell>
          <cell r="F635">
            <v>821.30999999999142</v>
          </cell>
          <cell r="G635">
            <v>1149.83</v>
          </cell>
        </row>
        <row r="636">
          <cell r="B636">
            <v>632</v>
          </cell>
          <cell r="C636">
            <v>1263.02</v>
          </cell>
          <cell r="D636">
            <v>1768.23</v>
          </cell>
          <cell r="F636">
            <v>822.60999999999137</v>
          </cell>
          <cell r="G636">
            <v>1151.6500000000001</v>
          </cell>
        </row>
        <row r="637">
          <cell r="B637">
            <v>633</v>
          </cell>
          <cell r="C637">
            <v>1265.02</v>
          </cell>
          <cell r="D637">
            <v>1771.03</v>
          </cell>
          <cell r="F637">
            <v>823.90999999999133</v>
          </cell>
          <cell r="G637">
            <v>1153.47</v>
          </cell>
        </row>
        <row r="638">
          <cell r="B638">
            <v>634</v>
          </cell>
          <cell r="C638">
            <v>1267.02</v>
          </cell>
          <cell r="D638">
            <v>1773.83</v>
          </cell>
          <cell r="F638">
            <v>825.20999999999128</v>
          </cell>
          <cell r="G638">
            <v>1155.29</v>
          </cell>
        </row>
        <row r="639">
          <cell r="B639">
            <v>635</v>
          </cell>
          <cell r="C639">
            <v>1269.02</v>
          </cell>
          <cell r="D639">
            <v>1776.63</v>
          </cell>
          <cell r="F639">
            <v>826.50999999999124</v>
          </cell>
          <cell r="G639">
            <v>1157.1099999999999</v>
          </cell>
        </row>
        <row r="640">
          <cell r="B640">
            <v>636</v>
          </cell>
          <cell r="C640">
            <v>1271.02</v>
          </cell>
          <cell r="D640">
            <v>1779.43</v>
          </cell>
          <cell r="F640">
            <v>827.80999999999119</v>
          </cell>
          <cell r="G640">
            <v>1158.93</v>
          </cell>
        </row>
        <row r="641">
          <cell r="B641">
            <v>637</v>
          </cell>
          <cell r="C641">
            <v>1273.02</v>
          </cell>
          <cell r="D641">
            <v>1782.23</v>
          </cell>
          <cell r="F641">
            <v>829.10999999999115</v>
          </cell>
          <cell r="G641">
            <v>1160.75</v>
          </cell>
        </row>
        <row r="642">
          <cell r="B642">
            <v>638</v>
          </cell>
          <cell r="C642">
            <v>1275.02</v>
          </cell>
          <cell r="D642">
            <v>1785.03</v>
          </cell>
          <cell r="F642">
            <v>830.4099999999911</v>
          </cell>
          <cell r="G642">
            <v>1162.57</v>
          </cell>
        </row>
        <row r="643">
          <cell r="B643">
            <v>639</v>
          </cell>
          <cell r="C643">
            <v>1277.02</v>
          </cell>
          <cell r="D643">
            <v>1787.83</v>
          </cell>
          <cell r="F643">
            <v>831.70999999999106</v>
          </cell>
          <cell r="G643">
            <v>1164.3900000000001</v>
          </cell>
        </row>
        <row r="644">
          <cell r="B644">
            <v>640</v>
          </cell>
          <cell r="C644">
            <v>1279.02</v>
          </cell>
          <cell r="D644">
            <v>1790.63</v>
          </cell>
          <cell r="F644">
            <v>833.00999999999101</v>
          </cell>
          <cell r="G644">
            <v>1166.21</v>
          </cell>
        </row>
        <row r="645">
          <cell r="B645">
            <v>641</v>
          </cell>
          <cell r="C645">
            <v>1281.02</v>
          </cell>
          <cell r="D645">
            <v>1793.43</v>
          </cell>
          <cell r="F645">
            <v>834.30999999999096</v>
          </cell>
          <cell r="G645">
            <v>1168.03</v>
          </cell>
        </row>
        <row r="646">
          <cell r="B646">
            <v>642</v>
          </cell>
          <cell r="C646">
            <v>1283.02</v>
          </cell>
          <cell r="D646">
            <v>1796.23</v>
          </cell>
          <cell r="F646">
            <v>835.60999999999092</v>
          </cell>
          <cell r="G646">
            <v>1169.8499999999999</v>
          </cell>
        </row>
        <row r="647">
          <cell r="B647">
            <v>643</v>
          </cell>
          <cell r="C647">
            <v>1285.02</v>
          </cell>
          <cell r="D647">
            <v>1799.03</v>
          </cell>
          <cell r="F647">
            <v>836.90999999999087</v>
          </cell>
          <cell r="G647">
            <v>1171.67</v>
          </cell>
        </row>
        <row r="648">
          <cell r="B648">
            <v>644</v>
          </cell>
          <cell r="C648">
            <v>1287.02</v>
          </cell>
          <cell r="D648">
            <v>1801.83</v>
          </cell>
          <cell r="F648">
            <v>838.20999999999083</v>
          </cell>
          <cell r="G648">
            <v>1173.49</v>
          </cell>
        </row>
        <row r="649">
          <cell r="B649">
            <v>645</v>
          </cell>
          <cell r="C649">
            <v>1289.02</v>
          </cell>
          <cell r="D649">
            <v>1804.63</v>
          </cell>
          <cell r="F649">
            <v>839.50999999999078</v>
          </cell>
          <cell r="G649">
            <v>1175.31</v>
          </cell>
        </row>
        <row r="650">
          <cell r="B650">
            <v>646</v>
          </cell>
          <cell r="C650">
            <v>1291.02</v>
          </cell>
          <cell r="D650">
            <v>1807.43</v>
          </cell>
          <cell r="F650">
            <v>840.80999999999074</v>
          </cell>
          <cell r="G650">
            <v>1177.1300000000001</v>
          </cell>
        </row>
        <row r="651">
          <cell r="B651">
            <v>647</v>
          </cell>
          <cell r="C651">
            <v>1293.02</v>
          </cell>
          <cell r="D651">
            <v>1810.23</v>
          </cell>
          <cell r="F651">
            <v>842.10999999999069</v>
          </cell>
          <cell r="G651">
            <v>1178.95</v>
          </cell>
        </row>
        <row r="652">
          <cell r="B652">
            <v>648</v>
          </cell>
          <cell r="C652">
            <v>1295.02</v>
          </cell>
          <cell r="D652">
            <v>1813.03</v>
          </cell>
          <cell r="F652">
            <v>843.40999999999065</v>
          </cell>
          <cell r="G652">
            <v>1180.77</v>
          </cell>
        </row>
        <row r="653">
          <cell r="B653">
            <v>649</v>
          </cell>
          <cell r="C653">
            <v>1297.02</v>
          </cell>
          <cell r="D653">
            <v>1815.83</v>
          </cell>
          <cell r="F653">
            <v>844.7099999999906</v>
          </cell>
          <cell r="G653">
            <v>1182.5899999999999</v>
          </cell>
        </row>
        <row r="654">
          <cell r="B654">
            <v>650</v>
          </cell>
          <cell r="C654">
            <v>1299.02</v>
          </cell>
          <cell r="D654">
            <v>1818.63</v>
          </cell>
          <cell r="F654">
            <v>846.00999999999055</v>
          </cell>
          <cell r="G654">
            <v>1184.4100000000001</v>
          </cell>
        </row>
        <row r="655">
          <cell r="B655">
            <v>651</v>
          </cell>
          <cell r="C655">
            <v>1301.02</v>
          </cell>
          <cell r="D655">
            <v>1821.43</v>
          </cell>
          <cell r="F655">
            <v>847.30999999999051</v>
          </cell>
          <cell r="G655">
            <v>1186.23</v>
          </cell>
        </row>
        <row r="656">
          <cell r="B656">
            <v>652</v>
          </cell>
          <cell r="C656">
            <v>1303.02</v>
          </cell>
          <cell r="D656">
            <v>1824.23</v>
          </cell>
          <cell r="F656">
            <v>848.60999999999046</v>
          </cell>
          <cell r="G656">
            <v>1188.05</v>
          </cell>
        </row>
        <row r="657">
          <cell r="B657">
            <v>653</v>
          </cell>
          <cell r="C657">
            <v>1305.02</v>
          </cell>
          <cell r="D657">
            <v>1827.03</v>
          </cell>
          <cell r="F657">
            <v>849.90999999999042</v>
          </cell>
          <cell r="G657">
            <v>1189.8699999999999</v>
          </cell>
        </row>
        <row r="658">
          <cell r="B658">
            <v>654</v>
          </cell>
          <cell r="C658">
            <v>1307.02</v>
          </cell>
          <cell r="D658">
            <v>1829.83</v>
          </cell>
          <cell r="F658">
            <v>851.20999999999037</v>
          </cell>
          <cell r="G658">
            <v>1191.69</v>
          </cell>
        </row>
        <row r="659">
          <cell r="B659">
            <v>655</v>
          </cell>
          <cell r="C659">
            <v>1309.02</v>
          </cell>
          <cell r="D659">
            <v>1832.63</v>
          </cell>
          <cell r="F659">
            <v>852.50999999999033</v>
          </cell>
          <cell r="G659">
            <v>1193.51</v>
          </cell>
        </row>
        <row r="660">
          <cell r="B660">
            <v>656</v>
          </cell>
          <cell r="C660">
            <v>1311.02</v>
          </cell>
          <cell r="D660">
            <v>1835.43</v>
          </cell>
          <cell r="F660">
            <v>853.80999999999028</v>
          </cell>
          <cell r="G660">
            <v>1195.33</v>
          </cell>
        </row>
        <row r="661">
          <cell r="B661">
            <v>657</v>
          </cell>
          <cell r="C661">
            <v>1313.02</v>
          </cell>
          <cell r="D661">
            <v>1838.23</v>
          </cell>
          <cell r="F661">
            <v>855.10999999999024</v>
          </cell>
          <cell r="G661">
            <v>1197.1500000000001</v>
          </cell>
        </row>
        <row r="662">
          <cell r="B662">
            <v>658</v>
          </cell>
          <cell r="C662">
            <v>1315.02</v>
          </cell>
          <cell r="D662">
            <v>1841.03</v>
          </cell>
          <cell r="F662">
            <v>856.40999999999019</v>
          </cell>
          <cell r="G662">
            <v>1198.97</v>
          </cell>
        </row>
        <row r="663">
          <cell r="B663">
            <v>659</v>
          </cell>
          <cell r="C663">
            <v>1317.02</v>
          </cell>
          <cell r="D663">
            <v>1843.83</v>
          </cell>
          <cell r="F663">
            <v>857.70999999999015</v>
          </cell>
          <cell r="G663">
            <v>1200.79</v>
          </cell>
        </row>
        <row r="664">
          <cell r="B664">
            <v>660</v>
          </cell>
          <cell r="C664">
            <v>1319.02</v>
          </cell>
          <cell r="D664">
            <v>1846.63</v>
          </cell>
          <cell r="F664">
            <v>859.0099999999901</v>
          </cell>
          <cell r="G664">
            <v>1202.6099999999999</v>
          </cell>
        </row>
        <row r="665">
          <cell r="B665">
            <v>661</v>
          </cell>
          <cell r="C665">
            <v>1321.02</v>
          </cell>
          <cell r="D665">
            <v>1849.43</v>
          </cell>
          <cell r="F665">
            <v>860.30999999999005</v>
          </cell>
          <cell r="G665">
            <v>1204.43</v>
          </cell>
        </row>
        <row r="666">
          <cell r="B666">
            <v>662</v>
          </cell>
          <cell r="C666">
            <v>1323.02</v>
          </cell>
          <cell r="D666">
            <v>1852.23</v>
          </cell>
          <cell r="F666">
            <v>861.60999999999001</v>
          </cell>
          <cell r="G666">
            <v>1206.25</v>
          </cell>
        </row>
        <row r="667">
          <cell r="B667">
            <v>663</v>
          </cell>
          <cell r="C667">
            <v>1325.02</v>
          </cell>
          <cell r="D667">
            <v>1855.03</v>
          </cell>
          <cell r="F667">
            <v>862.90999999998996</v>
          </cell>
          <cell r="G667">
            <v>1208.07</v>
          </cell>
        </row>
        <row r="668">
          <cell r="B668">
            <v>664</v>
          </cell>
          <cell r="C668">
            <v>1327.02</v>
          </cell>
          <cell r="D668">
            <v>1857.83</v>
          </cell>
          <cell r="F668">
            <v>864.20999999998992</v>
          </cell>
          <cell r="G668">
            <v>1209.8900000000001</v>
          </cell>
        </row>
        <row r="669">
          <cell r="B669">
            <v>665</v>
          </cell>
          <cell r="C669">
            <v>1329.02</v>
          </cell>
          <cell r="D669">
            <v>1860.63</v>
          </cell>
          <cell r="F669">
            <v>865.50999999998987</v>
          </cell>
          <cell r="G669">
            <v>1211.71</v>
          </cell>
        </row>
        <row r="670">
          <cell r="B670">
            <v>666</v>
          </cell>
          <cell r="C670">
            <v>1331.02</v>
          </cell>
          <cell r="D670">
            <v>1863.43</v>
          </cell>
          <cell r="F670">
            <v>866.80999999998983</v>
          </cell>
          <cell r="G670">
            <v>1213.53</v>
          </cell>
        </row>
        <row r="671">
          <cell r="B671">
            <v>667</v>
          </cell>
          <cell r="C671">
            <v>1333.02</v>
          </cell>
          <cell r="D671">
            <v>1866.23</v>
          </cell>
          <cell r="F671">
            <v>868.10999999998978</v>
          </cell>
          <cell r="G671">
            <v>1215.3499999999999</v>
          </cell>
        </row>
        <row r="672">
          <cell r="B672">
            <v>668</v>
          </cell>
          <cell r="C672">
            <v>1335.02</v>
          </cell>
          <cell r="D672">
            <v>1869.03</v>
          </cell>
          <cell r="F672">
            <v>869.40999999998974</v>
          </cell>
          <cell r="G672">
            <v>1217.17</v>
          </cell>
        </row>
        <row r="673">
          <cell r="B673">
            <v>669</v>
          </cell>
          <cell r="C673">
            <v>1337.02</v>
          </cell>
          <cell r="D673">
            <v>1871.83</v>
          </cell>
          <cell r="F673">
            <v>870.70999999998969</v>
          </cell>
          <cell r="G673">
            <v>1218.99</v>
          </cell>
        </row>
        <row r="674">
          <cell r="B674">
            <v>670</v>
          </cell>
          <cell r="C674">
            <v>1339.02</v>
          </cell>
          <cell r="D674">
            <v>1874.63</v>
          </cell>
          <cell r="F674">
            <v>872.00999999998965</v>
          </cell>
          <cell r="G674">
            <v>1220.81</v>
          </cell>
        </row>
        <row r="675">
          <cell r="B675">
            <v>671</v>
          </cell>
          <cell r="C675">
            <v>1341.02</v>
          </cell>
          <cell r="D675">
            <v>1877.43</v>
          </cell>
          <cell r="F675">
            <v>873.3099999999896</v>
          </cell>
          <cell r="G675">
            <v>1222.6300000000001</v>
          </cell>
        </row>
        <row r="676">
          <cell r="B676">
            <v>672</v>
          </cell>
          <cell r="C676">
            <v>1343.02</v>
          </cell>
          <cell r="D676">
            <v>1880.23</v>
          </cell>
          <cell r="F676">
            <v>874.60999999998955</v>
          </cell>
          <cell r="G676">
            <v>1224.45</v>
          </cell>
        </row>
        <row r="677">
          <cell r="B677">
            <v>673</v>
          </cell>
          <cell r="C677">
            <v>1345.02</v>
          </cell>
          <cell r="D677">
            <v>1883.03</v>
          </cell>
          <cell r="F677">
            <v>875.90999999998951</v>
          </cell>
          <cell r="G677">
            <v>1226.27</v>
          </cell>
        </row>
        <row r="678">
          <cell r="B678">
            <v>674</v>
          </cell>
          <cell r="C678">
            <v>1347.02</v>
          </cell>
          <cell r="D678">
            <v>1885.83</v>
          </cell>
          <cell r="F678">
            <v>877.20999999998946</v>
          </cell>
          <cell r="G678">
            <v>1228.0899999999999</v>
          </cell>
        </row>
        <row r="679">
          <cell r="B679">
            <v>675</v>
          </cell>
          <cell r="C679">
            <v>1349.02</v>
          </cell>
          <cell r="D679">
            <v>1888.63</v>
          </cell>
          <cell r="F679">
            <v>878.50999999998942</v>
          </cell>
          <cell r="G679">
            <v>1229.9100000000001</v>
          </cell>
        </row>
        <row r="680">
          <cell r="B680">
            <v>676</v>
          </cell>
          <cell r="C680">
            <v>1351.02</v>
          </cell>
          <cell r="D680">
            <v>1891.43</v>
          </cell>
          <cell r="F680">
            <v>879.80999999998937</v>
          </cell>
          <cell r="G680">
            <v>1231.73</v>
          </cell>
        </row>
        <row r="681">
          <cell r="B681">
            <v>677</v>
          </cell>
          <cell r="C681">
            <v>1353.02</v>
          </cell>
          <cell r="D681">
            <v>1894.23</v>
          </cell>
          <cell r="F681">
            <v>881.10999999998933</v>
          </cell>
          <cell r="G681">
            <v>1233.55</v>
          </cell>
        </row>
        <row r="682">
          <cell r="B682">
            <v>678</v>
          </cell>
          <cell r="C682">
            <v>1355.02</v>
          </cell>
          <cell r="D682">
            <v>1897.03</v>
          </cell>
          <cell r="F682">
            <v>882.40999999998928</v>
          </cell>
          <cell r="G682">
            <v>1235.3699999999999</v>
          </cell>
        </row>
        <row r="683">
          <cell r="B683">
            <v>679</v>
          </cell>
          <cell r="C683">
            <v>1357.02</v>
          </cell>
          <cell r="D683">
            <v>1899.83</v>
          </cell>
          <cell r="F683">
            <v>883.70999999998924</v>
          </cell>
          <cell r="G683">
            <v>1237.19</v>
          </cell>
        </row>
        <row r="684">
          <cell r="B684">
            <v>680</v>
          </cell>
          <cell r="C684">
            <v>1359.02</v>
          </cell>
          <cell r="D684">
            <v>1902.63</v>
          </cell>
          <cell r="F684">
            <v>885.00999999998919</v>
          </cell>
          <cell r="G684">
            <v>1239.01</v>
          </cell>
        </row>
        <row r="685">
          <cell r="B685">
            <v>681</v>
          </cell>
          <cell r="C685">
            <v>1361.02</v>
          </cell>
          <cell r="D685">
            <v>1905.43</v>
          </cell>
          <cell r="F685">
            <v>886.30999999998915</v>
          </cell>
          <cell r="G685">
            <v>1240.83</v>
          </cell>
        </row>
        <row r="686">
          <cell r="B686">
            <v>682</v>
          </cell>
          <cell r="C686">
            <v>1363.02</v>
          </cell>
          <cell r="D686">
            <v>1908.23</v>
          </cell>
          <cell r="F686">
            <v>887.6099999999891</v>
          </cell>
          <cell r="G686">
            <v>1242.6500000000001</v>
          </cell>
        </row>
        <row r="687">
          <cell r="B687">
            <v>683</v>
          </cell>
          <cell r="C687">
            <v>1365.02</v>
          </cell>
          <cell r="D687">
            <v>1911.03</v>
          </cell>
          <cell r="F687">
            <v>888.90999999998905</v>
          </cell>
          <cell r="G687">
            <v>1244.47</v>
          </cell>
        </row>
        <row r="688">
          <cell r="B688">
            <v>684</v>
          </cell>
          <cell r="C688">
            <v>1367.02</v>
          </cell>
          <cell r="D688">
            <v>1913.83</v>
          </cell>
          <cell r="F688">
            <v>890.20999999998901</v>
          </cell>
          <cell r="G688">
            <v>1246.29</v>
          </cell>
        </row>
        <row r="689">
          <cell r="B689">
            <v>685</v>
          </cell>
          <cell r="C689">
            <v>1369.02</v>
          </cell>
          <cell r="D689">
            <v>1916.63</v>
          </cell>
          <cell r="F689">
            <v>891.50999999998896</v>
          </cell>
          <cell r="G689">
            <v>1248.1099999999999</v>
          </cell>
        </row>
        <row r="690">
          <cell r="B690">
            <v>686</v>
          </cell>
          <cell r="C690">
            <v>1371.02</v>
          </cell>
          <cell r="D690">
            <v>1919.43</v>
          </cell>
          <cell r="F690">
            <v>892.80999999998892</v>
          </cell>
          <cell r="G690">
            <v>1249.93</v>
          </cell>
        </row>
        <row r="691">
          <cell r="B691">
            <v>687</v>
          </cell>
          <cell r="C691">
            <v>1373.02</v>
          </cell>
          <cell r="D691">
            <v>1922.23</v>
          </cell>
          <cell r="F691">
            <v>894.10999999998887</v>
          </cell>
          <cell r="G691">
            <v>1251.75</v>
          </cell>
        </row>
        <row r="692">
          <cell r="B692">
            <v>688</v>
          </cell>
          <cell r="C692">
            <v>1375.02</v>
          </cell>
          <cell r="D692">
            <v>1925.03</v>
          </cell>
          <cell r="F692">
            <v>895.40999999998883</v>
          </cell>
          <cell r="G692">
            <v>1253.57</v>
          </cell>
        </row>
        <row r="693">
          <cell r="B693">
            <v>689</v>
          </cell>
          <cell r="C693">
            <v>1377.02</v>
          </cell>
          <cell r="D693">
            <v>1927.83</v>
          </cell>
          <cell r="F693">
            <v>896.70999999998878</v>
          </cell>
          <cell r="G693">
            <v>1255.3900000000001</v>
          </cell>
        </row>
        <row r="694">
          <cell r="B694">
            <v>690</v>
          </cell>
          <cell r="C694">
            <v>1379.02</v>
          </cell>
          <cell r="D694">
            <v>1930.63</v>
          </cell>
          <cell r="F694">
            <v>898.00999999998874</v>
          </cell>
          <cell r="G694">
            <v>1257.21</v>
          </cell>
        </row>
        <row r="695">
          <cell r="B695">
            <v>691</v>
          </cell>
          <cell r="C695">
            <v>1381.02</v>
          </cell>
          <cell r="D695">
            <v>1933.43</v>
          </cell>
          <cell r="F695">
            <v>899.30999999998869</v>
          </cell>
          <cell r="G695">
            <v>1259.03</v>
          </cell>
        </row>
        <row r="696">
          <cell r="B696">
            <v>692</v>
          </cell>
          <cell r="C696">
            <v>1383.02</v>
          </cell>
          <cell r="D696">
            <v>1936.23</v>
          </cell>
          <cell r="F696">
            <v>900.60999999998864</v>
          </cell>
          <cell r="G696">
            <v>1260.8499999999999</v>
          </cell>
        </row>
        <row r="697">
          <cell r="B697">
            <v>693</v>
          </cell>
          <cell r="C697">
            <v>1385.02</v>
          </cell>
          <cell r="D697">
            <v>1939.03</v>
          </cell>
          <cell r="F697">
            <v>901.9099999999886</v>
          </cell>
          <cell r="G697">
            <v>1262.67</v>
          </cell>
        </row>
        <row r="698">
          <cell r="B698">
            <v>694</v>
          </cell>
          <cell r="C698">
            <v>1387.02</v>
          </cell>
          <cell r="D698">
            <v>1941.83</v>
          </cell>
          <cell r="F698">
            <v>903.20999999998855</v>
          </cell>
          <cell r="G698">
            <v>1264.49</v>
          </cell>
        </row>
        <row r="699">
          <cell r="B699">
            <v>695</v>
          </cell>
          <cell r="C699">
            <v>1389.02</v>
          </cell>
          <cell r="D699">
            <v>1944.63</v>
          </cell>
          <cell r="F699">
            <v>904.50999999998851</v>
          </cell>
          <cell r="G699">
            <v>1266.31</v>
          </cell>
        </row>
        <row r="700">
          <cell r="B700">
            <v>696</v>
          </cell>
          <cell r="C700">
            <v>1391.02</v>
          </cell>
          <cell r="D700">
            <v>1947.43</v>
          </cell>
          <cell r="F700">
            <v>905.80999999998846</v>
          </cell>
          <cell r="G700">
            <v>1268.1300000000001</v>
          </cell>
        </row>
        <row r="701">
          <cell r="B701">
            <v>697</v>
          </cell>
          <cell r="C701">
            <v>1393.02</v>
          </cell>
          <cell r="D701">
            <v>1950.23</v>
          </cell>
          <cell r="F701">
            <v>907.10999999998842</v>
          </cell>
          <cell r="G701">
            <v>1269.95</v>
          </cell>
        </row>
        <row r="702">
          <cell r="B702">
            <v>698</v>
          </cell>
          <cell r="C702">
            <v>1395.02</v>
          </cell>
          <cell r="D702">
            <v>1953.03</v>
          </cell>
          <cell r="F702">
            <v>908.40999999998837</v>
          </cell>
          <cell r="G702">
            <v>1271.77</v>
          </cell>
        </row>
        <row r="703">
          <cell r="B703">
            <v>699</v>
          </cell>
          <cell r="C703">
            <v>1397.02</v>
          </cell>
          <cell r="D703">
            <v>1955.83</v>
          </cell>
          <cell r="F703">
            <v>909.70999999998833</v>
          </cell>
          <cell r="G703">
            <v>1273.5899999999999</v>
          </cell>
        </row>
        <row r="704">
          <cell r="B704">
            <v>700</v>
          </cell>
          <cell r="C704">
            <v>1399.02</v>
          </cell>
          <cell r="D704">
            <v>1958.63</v>
          </cell>
          <cell r="F704">
            <v>911.00999999998828</v>
          </cell>
          <cell r="G704">
            <v>1275.4100000000001</v>
          </cell>
        </row>
        <row r="705">
          <cell r="B705">
            <v>701</v>
          </cell>
          <cell r="C705">
            <v>1401.02</v>
          </cell>
          <cell r="D705">
            <v>1961.43</v>
          </cell>
          <cell r="F705">
            <v>912.30999999998824</v>
          </cell>
          <cell r="G705">
            <v>1277.23</v>
          </cell>
        </row>
        <row r="706">
          <cell r="B706">
            <v>702</v>
          </cell>
          <cell r="C706">
            <v>1403.02</v>
          </cell>
          <cell r="D706">
            <v>1964.23</v>
          </cell>
          <cell r="F706">
            <v>913.60999999998819</v>
          </cell>
          <cell r="G706">
            <v>1279.05</v>
          </cell>
        </row>
        <row r="707">
          <cell r="B707">
            <v>703</v>
          </cell>
          <cell r="C707">
            <v>1405.02</v>
          </cell>
          <cell r="D707">
            <v>1967.03</v>
          </cell>
          <cell r="F707">
            <v>914.90999999998814</v>
          </cell>
          <cell r="G707">
            <v>1280.8699999999999</v>
          </cell>
        </row>
        <row r="708">
          <cell r="B708">
            <v>704</v>
          </cell>
          <cell r="C708">
            <v>1407.02</v>
          </cell>
          <cell r="D708">
            <v>1969.83</v>
          </cell>
          <cell r="F708">
            <v>916.2099999999881</v>
          </cell>
          <cell r="G708">
            <v>1282.69</v>
          </cell>
        </row>
        <row r="709">
          <cell r="B709">
            <v>705</v>
          </cell>
          <cell r="C709">
            <v>1409.02</v>
          </cell>
          <cell r="D709">
            <v>1972.63</v>
          </cell>
          <cell r="F709">
            <v>917.50999999998805</v>
          </cell>
          <cell r="G709">
            <v>1284.51</v>
          </cell>
        </row>
        <row r="710">
          <cell r="B710">
            <v>706</v>
          </cell>
          <cell r="C710">
            <v>1411.02</v>
          </cell>
          <cell r="D710">
            <v>1975.43</v>
          </cell>
          <cell r="F710">
            <v>918.80999999998801</v>
          </cell>
          <cell r="G710">
            <v>1286.33</v>
          </cell>
        </row>
        <row r="711">
          <cell r="B711">
            <v>707</v>
          </cell>
          <cell r="C711">
            <v>1413.02</v>
          </cell>
          <cell r="D711">
            <v>1978.23</v>
          </cell>
          <cell r="F711">
            <v>920.10999999998796</v>
          </cell>
          <cell r="G711">
            <v>1288.1500000000001</v>
          </cell>
        </row>
        <row r="712">
          <cell r="B712">
            <v>708</v>
          </cell>
          <cell r="C712">
            <v>1415.02</v>
          </cell>
          <cell r="D712">
            <v>1981.03</v>
          </cell>
          <cell r="F712">
            <v>921.40999999998792</v>
          </cell>
          <cell r="G712">
            <v>1289.97</v>
          </cell>
        </row>
        <row r="713">
          <cell r="B713">
            <v>709</v>
          </cell>
          <cell r="C713">
            <v>1417.02</v>
          </cell>
          <cell r="D713">
            <v>1983.83</v>
          </cell>
          <cell r="F713">
            <v>922.70999999998787</v>
          </cell>
          <cell r="G713">
            <v>1291.79</v>
          </cell>
        </row>
        <row r="714">
          <cell r="B714">
            <v>710</v>
          </cell>
          <cell r="C714">
            <v>1419.02</v>
          </cell>
          <cell r="D714">
            <v>1986.63</v>
          </cell>
          <cell r="F714">
            <v>924.00999999998783</v>
          </cell>
          <cell r="G714">
            <v>1293.6099999999999</v>
          </cell>
        </row>
        <row r="715">
          <cell r="B715">
            <v>711</v>
          </cell>
          <cell r="C715">
            <v>1421.02</v>
          </cell>
          <cell r="D715">
            <v>1989.43</v>
          </cell>
          <cell r="F715">
            <v>925.30999999998778</v>
          </cell>
          <cell r="G715">
            <v>1295.43</v>
          </cell>
        </row>
        <row r="716">
          <cell r="B716">
            <v>712</v>
          </cell>
          <cell r="C716">
            <v>1423.02</v>
          </cell>
          <cell r="D716">
            <v>1992.23</v>
          </cell>
          <cell r="F716">
            <v>926.60999999998774</v>
          </cell>
          <cell r="G716">
            <v>1297.25</v>
          </cell>
        </row>
        <row r="717">
          <cell r="B717">
            <v>713</v>
          </cell>
          <cell r="C717">
            <v>1425.02</v>
          </cell>
          <cell r="D717">
            <v>1995.03</v>
          </cell>
          <cell r="F717">
            <v>927.90999999998769</v>
          </cell>
          <cell r="G717">
            <v>1299.07</v>
          </cell>
        </row>
        <row r="718">
          <cell r="B718">
            <v>714</v>
          </cell>
          <cell r="C718">
            <v>1427.02</v>
          </cell>
          <cell r="D718">
            <v>1997.83</v>
          </cell>
          <cell r="F718">
            <v>929.20999999998764</v>
          </cell>
          <cell r="G718">
            <v>1300.8900000000001</v>
          </cell>
        </row>
        <row r="719">
          <cell r="B719">
            <v>715</v>
          </cell>
          <cell r="C719">
            <v>1429.02</v>
          </cell>
          <cell r="D719">
            <v>2000.63</v>
          </cell>
          <cell r="F719">
            <v>930.5099999999876</v>
          </cell>
          <cell r="G719">
            <v>1302.71</v>
          </cell>
        </row>
        <row r="720">
          <cell r="B720">
            <v>716</v>
          </cell>
          <cell r="C720">
            <v>1431.02</v>
          </cell>
          <cell r="D720">
            <v>2003.43</v>
          </cell>
          <cell r="F720">
            <v>931.80999999998755</v>
          </cell>
          <cell r="G720">
            <v>1304.53</v>
          </cell>
        </row>
        <row r="721">
          <cell r="B721">
            <v>717</v>
          </cell>
          <cell r="C721">
            <v>1433.02</v>
          </cell>
          <cell r="D721">
            <v>2006.23</v>
          </cell>
          <cell r="F721">
            <v>933.10999999998751</v>
          </cell>
          <cell r="G721">
            <v>1306.3499999999999</v>
          </cell>
        </row>
        <row r="722">
          <cell r="B722">
            <v>718</v>
          </cell>
          <cell r="C722">
            <v>1435.02</v>
          </cell>
          <cell r="D722">
            <v>2009.03</v>
          </cell>
          <cell r="F722">
            <v>934.40999999998746</v>
          </cell>
          <cell r="G722">
            <v>1308.17</v>
          </cell>
        </row>
        <row r="723">
          <cell r="B723">
            <v>719</v>
          </cell>
          <cell r="C723">
            <v>1437.02</v>
          </cell>
          <cell r="D723">
            <v>2011.83</v>
          </cell>
          <cell r="F723">
            <v>935.70999999998742</v>
          </cell>
          <cell r="G723">
            <v>1309.99</v>
          </cell>
        </row>
        <row r="724">
          <cell r="B724">
            <v>720</v>
          </cell>
          <cell r="C724">
            <v>1439.02</v>
          </cell>
          <cell r="D724">
            <v>2014.63</v>
          </cell>
          <cell r="F724">
            <v>937.00999999998737</v>
          </cell>
          <cell r="G724">
            <v>1311.81</v>
          </cell>
        </row>
        <row r="725">
          <cell r="B725">
            <v>721</v>
          </cell>
          <cell r="C725">
            <v>1441.02</v>
          </cell>
          <cell r="D725">
            <v>2017.43</v>
          </cell>
          <cell r="F725">
            <v>938.30999999998733</v>
          </cell>
          <cell r="G725">
            <v>1313.63</v>
          </cell>
        </row>
        <row r="726">
          <cell r="B726">
            <v>722</v>
          </cell>
          <cell r="C726">
            <v>1443.02</v>
          </cell>
          <cell r="D726">
            <v>2020.23</v>
          </cell>
          <cell r="F726">
            <v>939.60999999998728</v>
          </cell>
          <cell r="G726">
            <v>1315.45</v>
          </cell>
        </row>
        <row r="727">
          <cell r="B727">
            <v>723</v>
          </cell>
          <cell r="C727">
            <v>1445.02</v>
          </cell>
          <cell r="D727">
            <v>2023.03</v>
          </cell>
          <cell r="F727">
            <v>940.90999999998724</v>
          </cell>
          <cell r="G727">
            <v>1317.27</v>
          </cell>
        </row>
        <row r="728">
          <cell r="B728">
            <v>724</v>
          </cell>
          <cell r="C728">
            <v>1447.02</v>
          </cell>
          <cell r="D728">
            <v>2025.83</v>
          </cell>
          <cell r="F728">
            <v>942.20999999998719</v>
          </cell>
          <cell r="G728">
            <v>1319.09</v>
          </cell>
        </row>
        <row r="729">
          <cell r="B729">
            <v>725</v>
          </cell>
          <cell r="C729">
            <v>1449.02</v>
          </cell>
          <cell r="D729">
            <v>2028.63</v>
          </cell>
          <cell r="F729">
            <v>943.50999999998714</v>
          </cell>
          <cell r="G729">
            <v>1320.91</v>
          </cell>
        </row>
        <row r="730">
          <cell r="B730">
            <v>726</v>
          </cell>
          <cell r="C730">
            <v>1451.02</v>
          </cell>
          <cell r="D730">
            <v>2031.43</v>
          </cell>
          <cell r="F730">
            <v>944.8099999999871</v>
          </cell>
          <cell r="G730">
            <v>1322.73</v>
          </cell>
        </row>
        <row r="731">
          <cell r="B731">
            <v>727</v>
          </cell>
          <cell r="C731">
            <v>1453.02</v>
          </cell>
          <cell r="D731">
            <v>2034.23</v>
          </cell>
          <cell r="F731">
            <v>946.10999999998705</v>
          </cell>
          <cell r="G731">
            <v>1324.55</v>
          </cell>
        </row>
        <row r="732">
          <cell r="B732">
            <v>728</v>
          </cell>
          <cell r="C732">
            <v>1455.02</v>
          </cell>
          <cell r="D732">
            <v>2037.03</v>
          </cell>
          <cell r="F732">
            <v>947.40999999998701</v>
          </cell>
          <cell r="G732">
            <v>1326.37</v>
          </cell>
        </row>
        <row r="733">
          <cell r="B733">
            <v>729</v>
          </cell>
          <cell r="C733">
            <v>1457.02</v>
          </cell>
          <cell r="D733">
            <v>2039.83</v>
          </cell>
          <cell r="F733">
            <v>948.70999999998696</v>
          </cell>
          <cell r="G733">
            <v>1328.19</v>
          </cell>
        </row>
        <row r="734">
          <cell r="B734">
            <v>730</v>
          </cell>
          <cell r="C734">
            <v>1459.02</v>
          </cell>
          <cell r="D734">
            <v>2042.63</v>
          </cell>
          <cell r="F734">
            <v>950.00999999998692</v>
          </cell>
          <cell r="G734">
            <v>1330.01</v>
          </cell>
        </row>
        <row r="735">
          <cell r="B735">
            <v>731</v>
          </cell>
          <cell r="C735">
            <v>1461.02</v>
          </cell>
          <cell r="D735">
            <v>2045.43</v>
          </cell>
          <cell r="F735">
            <v>951.30999999998687</v>
          </cell>
          <cell r="G735">
            <v>1331.83</v>
          </cell>
        </row>
        <row r="736">
          <cell r="B736">
            <v>732</v>
          </cell>
          <cell r="C736">
            <v>1463.02</v>
          </cell>
          <cell r="D736">
            <v>2048.23</v>
          </cell>
          <cell r="F736">
            <v>952.60999999998683</v>
          </cell>
          <cell r="G736">
            <v>1333.65</v>
          </cell>
        </row>
        <row r="737">
          <cell r="B737">
            <v>733</v>
          </cell>
          <cell r="C737">
            <v>1465.02</v>
          </cell>
          <cell r="D737">
            <v>2051.0300000000002</v>
          </cell>
          <cell r="F737">
            <v>953.90999999998678</v>
          </cell>
          <cell r="G737">
            <v>1335.47</v>
          </cell>
        </row>
        <row r="738">
          <cell r="B738">
            <v>734</v>
          </cell>
          <cell r="C738">
            <v>1467.02</v>
          </cell>
          <cell r="D738">
            <v>2053.83</v>
          </cell>
          <cell r="F738">
            <v>955.20999999998674</v>
          </cell>
          <cell r="G738">
            <v>1337.29</v>
          </cell>
        </row>
        <row r="739">
          <cell r="B739">
            <v>735</v>
          </cell>
          <cell r="C739">
            <v>1469.02</v>
          </cell>
          <cell r="D739">
            <v>2056.63</v>
          </cell>
          <cell r="F739">
            <v>956.50999999998669</v>
          </cell>
          <cell r="G739">
            <v>1339.11</v>
          </cell>
        </row>
        <row r="740">
          <cell r="B740">
            <v>736</v>
          </cell>
          <cell r="C740">
            <v>1471.02</v>
          </cell>
          <cell r="D740">
            <v>2059.4299999999998</v>
          </cell>
          <cell r="F740">
            <v>957.80999999998664</v>
          </cell>
          <cell r="G740">
            <v>1340.93</v>
          </cell>
        </row>
        <row r="741">
          <cell r="B741">
            <v>737</v>
          </cell>
          <cell r="C741">
            <v>1473.02</v>
          </cell>
          <cell r="D741">
            <v>2062.23</v>
          </cell>
          <cell r="F741">
            <v>959.1099999999866</v>
          </cell>
          <cell r="G741">
            <v>1342.75</v>
          </cell>
        </row>
        <row r="742">
          <cell r="B742">
            <v>738</v>
          </cell>
          <cell r="C742">
            <v>1475.02</v>
          </cell>
          <cell r="D742">
            <v>2065.0300000000002</v>
          </cell>
          <cell r="F742">
            <v>960.40999999998655</v>
          </cell>
          <cell r="G742">
            <v>1344.57</v>
          </cell>
        </row>
        <row r="743">
          <cell r="B743">
            <v>739</v>
          </cell>
          <cell r="C743">
            <v>1477.02</v>
          </cell>
          <cell r="D743">
            <v>2067.83</v>
          </cell>
          <cell r="F743">
            <v>961.70999999998651</v>
          </cell>
          <cell r="G743">
            <v>1346.39</v>
          </cell>
        </row>
        <row r="744">
          <cell r="B744">
            <v>740</v>
          </cell>
          <cell r="C744">
            <v>1479.02</v>
          </cell>
          <cell r="D744">
            <v>2070.63</v>
          </cell>
          <cell r="F744">
            <v>963.00999999998646</v>
          </cell>
          <cell r="G744">
            <v>1348.21</v>
          </cell>
        </row>
        <row r="745">
          <cell r="B745">
            <v>741</v>
          </cell>
          <cell r="C745">
            <v>1481.02</v>
          </cell>
          <cell r="D745">
            <v>2073.4299999999998</v>
          </cell>
          <cell r="F745">
            <v>964.30999999998642</v>
          </cell>
          <cell r="G745">
            <v>1350.03</v>
          </cell>
        </row>
        <row r="746">
          <cell r="B746">
            <v>742</v>
          </cell>
          <cell r="C746">
            <v>1483.02</v>
          </cell>
          <cell r="D746">
            <v>2076.23</v>
          </cell>
          <cell r="F746">
            <v>965.60999999998637</v>
          </cell>
          <cell r="G746">
            <v>1351.85</v>
          </cell>
        </row>
        <row r="747">
          <cell r="B747">
            <v>743</v>
          </cell>
          <cell r="C747">
            <v>1485.02</v>
          </cell>
          <cell r="D747">
            <v>2079.0300000000002</v>
          </cell>
          <cell r="F747">
            <v>966.90999999998633</v>
          </cell>
          <cell r="G747">
            <v>1353.67</v>
          </cell>
        </row>
        <row r="748">
          <cell r="B748">
            <v>744</v>
          </cell>
          <cell r="C748">
            <v>1487.02</v>
          </cell>
          <cell r="D748">
            <v>2081.83</v>
          </cell>
          <cell r="F748">
            <v>968.20999999998628</v>
          </cell>
          <cell r="G748">
            <v>1355.49</v>
          </cell>
        </row>
        <row r="749">
          <cell r="B749">
            <v>745</v>
          </cell>
          <cell r="C749">
            <v>1489.02</v>
          </cell>
          <cell r="D749">
            <v>2084.63</v>
          </cell>
          <cell r="F749">
            <v>969.50999999998623</v>
          </cell>
          <cell r="G749">
            <v>1357.31</v>
          </cell>
        </row>
        <row r="750">
          <cell r="B750">
            <v>746</v>
          </cell>
          <cell r="C750">
            <v>1491.02</v>
          </cell>
          <cell r="D750">
            <v>2087.4299999999998</v>
          </cell>
          <cell r="F750">
            <v>970.80999999998619</v>
          </cell>
          <cell r="G750">
            <v>1359.13</v>
          </cell>
        </row>
        <row r="751">
          <cell r="B751">
            <v>747</v>
          </cell>
          <cell r="C751">
            <v>1493.02</v>
          </cell>
          <cell r="D751">
            <v>2090.23</v>
          </cell>
          <cell r="F751">
            <v>972.10999999998614</v>
          </cell>
          <cell r="G751">
            <v>1360.95</v>
          </cell>
        </row>
        <row r="752">
          <cell r="B752">
            <v>748</v>
          </cell>
          <cell r="C752">
            <v>1495.02</v>
          </cell>
          <cell r="D752">
            <v>2093.0300000000002</v>
          </cell>
          <cell r="F752">
            <v>973.4099999999861</v>
          </cell>
          <cell r="G752">
            <v>1362.77</v>
          </cell>
        </row>
        <row r="753">
          <cell r="B753">
            <v>749</v>
          </cell>
          <cell r="C753">
            <v>1497.02</v>
          </cell>
          <cell r="D753">
            <v>2095.83</v>
          </cell>
          <cell r="F753">
            <v>974.70999999998605</v>
          </cell>
          <cell r="G753">
            <v>1364.59</v>
          </cell>
        </row>
        <row r="754">
          <cell r="B754">
            <v>750</v>
          </cell>
          <cell r="C754">
            <v>1499.02</v>
          </cell>
          <cell r="D754">
            <v>2098.63</v>
          </cell>
          <cell r="F754">
            <v>976.00999999998601</v>
          </cell>
          <cell r="G754">
            <v>1366.41</v>
          </cell>
        </row>
        <row r="755">
          <cell r="B755">
            <v>751</v>
          </cell>
          <cell r="C755">
            <v>1501.02</v>
          </cell>
          <cell r="D755">
            <v>2101.4299999999998</v>
          </cell>
          <cell r="F755">
            <v>977.30999999998596</v>
          </cell>
          <cell r="G755">
            <v>1368.23</v>
          </cell>
        </row>
        <row r="756">
          <cell r="B756">
            <v>752</v>
          </cell>
          <cell r="C756">
            <v>1503.02</v>
          </cell>
          <cell r="D756">
            <v>2104.23</v>
          </cell>
          <cell r="F756">
            <v>978.60999999998592</v>
          </cell>
          <cell r="G756">
            <v>1370.05</v>
          </cell>
        </row>
        <row r="757">
          <cell r="B757">
            <v>753</v>
          </cell>
          <cell r="C757">
            <v>1505.02</v>
          </cell>
          <cell r="D757">
            <v>2107.0300000000002</v>
          </cell>
          <cell r="F757">
            <v>979.90999999998587</v>
          </cell>
          <cell r="G757">
            <v>1371.87</v>
          </cell>
        </row>
        <row r="758">
          <cell r="B758">
            <v>754</v>
          </cell>
          <cell r="C758">
            <v>1507.02</v>
          </cell>
          <cell r="D758">
            <v>2109.83</v>
          </cell>
          <cell r="F758">
            <v>981.20999999998583</v>
          </cell>
          <cell r="G758">
            <v>1373.69</v>
          </cell>
        </row>
        <row r="759">
          <cell r="B759">
            <v>755</v>
          </cell>
          <cell r="C759">
            <v>1509.02</v>
          </cell>
          <cell r="D759">
            <v>2112.63</v>
          </cell>
          <cell r="F759">
            <v>982.50999999998578</v>
          </cell>
          <cell r="G759">
            <v>1375.51</v>
          </cell>
        </row>
        <row r="760">
          <cell r="B760">
            <v>756</v>
          </cell>
          <cell r="C760">
            <v>1511.02</v>
          </cell>
          <cell r="D760">
            <v>2115.4299999999998</v>
          </cell>
          <cell r="F760">
            <v>983.80999999998573</v>
          </cell>
          <cell r="G760">
            <v>1377.33</v>
          </cell>
        </row>
        <row r="761">
          <cell r="B761">
            <v>757</v>
          </cell>
          <cell r="C761">
            <v>1513.02</v>
          </cell>
          <cell r="D761">
            <v>2118.23</v>
          </cell>
          <cell r="F761">
            <v>985.10999999998569</v>
          </cell>
          <cell r="G761">
            <v>1379.15</v>
          </cell>
        </row>
        <row r="762">
          <cell r="B762">
            <v>758</v>
          </cell>
          <cell r="C762">
            <v>1515.02</v>
          </cell>
          <cell r="D762">
            <v>2121.0300000000002</v>
          </cell>
          <cell r="F762">
            <v>986.40999999998564</v>
          </cell>
          <cell r="G762">
            <v>1380.97</v>
          </cell>
        </row>
        <row r="763">
          <cell r="B763">
            <v>759</v>
          </cell>
          <cell r="C763">
            <v>1517.02</v>
          </cell>
          <cell r="D763">
            <v>2123.83</v>
          </cell>
          <cell r="F763">
            <v>987.7099999999856</v>
          </cell>
          <cell r="G763">
            <v>1382.79</v>
          </cell>
        </row>
        <row r="764">
          <cell r="B764">
            <v>760</v>
          </cell>
          <cell r="C764">
            <v>1519.02</v>
          </cell>
          <cell r="D764">
            <v>2126.63</v>
          </cell>
          <cell r="F764">
            <v>989.00999999998555</v>
          </cell>
          <cell r="G764">
            <v>1384.61</v>
          </cell>
        </row>
        <row r="765">
          <cell r="B765">
            <v>761</v>
          </cell>
          <cell r="C765">
            <v>1521.02</v>
          </cell>
          <cell r="D765">
            <v>2129.4299999999998</v>
          </cell>
          <cell r="F765">
            <v>990.30999999998551</v>
          </cell>
          <cell r="G765">
            <v>1386.43</v>
          </cell>
        </row>
        <row r="766">
          <cell r="B766">
            <v>762</v>
          </cell>
          <cell r="C766">
            <v>1523.02</v>
          </cell>
          <cell r="D766">
            <v>2132.23</v>
          </cell>
          <cell r="F766">
            <v>991.60999999998546</v>
          </cell>
          <cell r="G766">
            <v>1388.25</v>
          </cell>
        </row>
        <row r="767">
          <cell r="B767">
            <v>763</v>
          </cell>
          <cell r="C767">
            <v>1525.02</v>
          </cell>
          <cell r="D767">
            <v>2135.0300000000002</v>
          </cell>
          <cell r="F767">
            <v>992.90999999998542</v>
          </cell>
          <cell r="G767">
            <v>1390.07</v>
          </cell>
        </row>
        <row r="768">
          <cell r="B768">
            <v>764</v>
          </cell>
          <cell r="C768">
            <v>1527.02</v>
          </cell>
          <cell r="D768">
            <v>2137.83</v>
          </cell>
          <cell r="F768">
            <v>994.20999999998537</v>
          </cell>
          <cell r="G768">
            <v>1391.89</v>
          </cell>
        </row>
        <row r="769">
          <cell r="B769">
            <v>765</v>
          </cell>
          <cell r="C769">
            <v>1529.02</v>
          </cell>
          <cell r="D769">
            <v>2140.63</v>
          </cell>
          <cell r="F769">
            <v>995.50999999998533</v>
          </cell>
          <cell r="G769">
            <v>1393.71</v>
          </cell>
        </row>
        <row r="770">
          <cell r="B770">
            <v>766</v>
          </cell>
          <cell r="C770">
            <v>1531.02</v>
          </cell>
          <cell r="D770">
            <v>2143.4299999999998</v>
          </cell>
          <cell r="F770">
            <v>996.80999999998528</v>
          </cell>
          <cell r="G770">
            <v>1395.53</v>
          </cell>
        </row>
        <row r="771">
          <cell r="B771">
            <v>767</v>
          </cell>
          <cell r="C771">
            <v>1533.02</v>
          </cell>
          <cell r="D771">
            <v>2146.23</v>
          </cell>
          <cell r="F771">
            <v>998.10999999998523</v>
          </cell>
          <cell r="G771">
            <v>1397.35</v>
          </cell>
        </row>
        <row r="772">
          <cell r="B772">
            <v>768</v>
          </cell>
          <cell r="C772">
            <v>1535.02</v>
          </cell>
          <cell r="D772">
            <v>2149.0300000000002</v>
          </cell>
          <cell r="F772">
            <v>999.40999999998519</v>
          </cell>
          <cell r="G772">
            <v>1399.17</v>
          </cell>
        </row>
        <row r="773">
          <cell r="B773">
            <v>769</v>
          </cell>
          <cell r="C773">
            <v>1537.02</v>
          </cell>
          <cell r="D773">
            <v>2151.83</v>
          </cell>
          <cell r="F773">
            <v>1000.7099999999851</v>
          </cell>
          <cell r="G773">
            <v>1400.99</v>
          </cell>
        </row>
        <row r="774">
          <cell r="B774">
            <v>770</v>
          </cell>
          <cell r="C774">
            <v>1539.02</v>
          </cell>
          <cell r="D774">
            <v>2154.63</v>
          </cell>
          <cell r="F774">
            <v>1002.0099999999851</v>
          </cell>
          <cell r="G774">
            <v>1402.81</v>
          </cell>
        </row>
        <row r="775">
          <cell r="B775">
            <v>771</v>
          </cell>
          <cell r="C775">
            <v>1541.02</v>
          </cell>
          <cell r="D775">
            <v>2157.4299999999998</v>
          </cell>
          <cell r="F775">
            <v>1003.3099999999851</v>
          </cell>
          <cell r="G775">
            <v>1404.63</v>
          </cell>
        </row>
        <row r="776">
          <cell r="B776">
            <v>772</v>
          </cell>
          <cell r="C776">
            <v>1543.02</v>
          </cell>
          <cell r="D776">
            <v>2160.23</v>
          </cell>
          <cell r="F776">
            <v>1004.609999999985</v>
          </cell>
          <cell r="G776">
            <v>1406.45</v>
          </cell>
        </row>
        <row r="777">
          <cell r="B777">
            <v>773</v>
          </cell>
          <cell r="C777">
            <v>1545.02</v>
          </cell>
          <cell r="D777">
            <v>2163.0300000000002</v>
          </cell>
          <cell r="F777">
            <v>1005.909999999985</v>
          </cell>
          <cell r="G777">
            <v>1408.27</v>
          </cell>
        </row>
        <row r="778">
          <cell r="B778">
            <v>774</v>
          </cell>
          <cell r="C778">
            <v>1547.02</v>
          </cell>
          <cell r="D778">
            <v>2165.83</v>
          </cell>
          <cell r="F778">
            <v>1007.2099999999849</v>
          </cell>
          <cell r="G778">
            <v>1410.09</v>
          </cell>
        </row>
        <row r="779">
          <cell r="B779">
            <v>775</v>
          </cell>
          <cell r="C779">
            <v>1549.02</v>
          </cell>
          <cell r="D779">
            <v>2168.63</v>
          </cell>
          <cell r="F779">
            <v>1008.5099999999849</v>
          </cell>
          <cell r="G779">
            <v>1411.91</v>
          </cell>
        </row>
        <row r="780">
          <cell r="B780">
            <v>776</v>
          </cell>
          <cell r="C780">
            <v>1551.02</v>
          </cell>
          <cell r="D780">
            <v>2171.4299999999998</v>
          </cell>
          <cell r="F780">
            <v>1009.8099999999848</v>
          </cell>
          <cell r="G780">
            <v>1413.73</v>
          </cell>
        </row>
        <row r="781">
          <cell r="B781">
            <v>777</v>
          </cell>
          <cell r="C781">
            <v>1553.02</v>
          </cell>
          <cell r="D781">
            <v>2174.23</v>
          </cell>
          <cell r="F781">
            <v>1011.1099999999848</v>
          </cell>
          <cell r="G781">
            <v>1415.55</v>
          </cell>
        </row>
        <row r="782">
          <cell r="B782">
            <v>778</v>
          </cell>
          <cell r="C782">
            <v>1555.02</v>
          </cell>
          <cell r="D782">
            <v>2177.0300000000002</v>
          </cell>
          <cell r="F782">
            <v>1012.4099999999847</v>
          </cell>
          <cell r="G782">
            <v>1417.37</v>
          </cell>
        </row>
        <row r="783">
          <cell r="B783">
            <v>779</v>
          </cell>
          <cell r="C783">
            <v>1557.02</v>
          </cell>
          <cell r="D783">
            <v>2179.83</v>
          </cell>
          <cell r="F783">
            <v>1013.7099999999847</v>
          </cell>
          <cell r="G783">
            <v>1419.19</v>
          </cell>
        </row>
        <row r="784">
          <cell r="B784">
            <v>780</v>
          </cell>
          <cell r="C784">
            <v>1559.02</v>
          </cell>
          <cell r="D784">
            <v>2182.63</v>
          </cell>
          <cell r="F784">
            <v>1015.0099999999846</v>
          </cell>
          <cell r="G784">
            <v>1421.01</v>
          </cell>
        </row>
        <row r="785">
          <cell r="B785">
            <v>781</v>
          </cell>
          <cell r="C785">
            <v>1561.02</v>
          </cell>
          <cell r="D785">
            <v>2185.4299999999998</v>
          </cell>
          <cell r="F785">
            <v>1016.3099999999846</v>
          </cell>
          <cell r="G785">
            <v>1422.83</v>
          </cell>
        </row>
        <row r="786">
          <cell r="B786">
            <v>782</v>
          </cell>
          <cell r="C786">
            <v>1563.02</v>
          </cell>
          <cell r="D786">
            <v>2188.23</v>
          </cell>
          <cell r="F786">
            <v>1017.6099999999846</v>
          </cell>
          <cell r="G786">
            <v>1424.65</v>
          </cell>
        </row>
        <row r="787">
          <cell r="B787">
            <v>783</v>
          </cell>
          <cell r="C787">
            <v>1565.02</v>
          </cell>
          <cell r="D787">
            <v>2191.0300000000002</v>
          </cell>
          <cell r="F787">
            <v>1018.9099999999845</v>
          </cell>
          <cell r="G787">
            <v>1426.47</v>
          </cell>
        </row>
        <row r="788">
          <cell r="B788">
            <v>784</v>
          </cell>
          <cell r="C788">
            <v>1567.02</v>
          </cell>
          <cell r="D788">
            <v>2193.83</v>
          </cell>
          <cell r="F788">
            <v>1020.2099999999845</v>
          </cell>
          <cell r="G788">
            <v>1428.29</v>
          </cell>
        </row>
        <row r="789">
          <cell r="B789">
            <v>785</v>
          </cell>
          <cell r="C789">
            <v>1569.02</v>
          </cell>
          <cell r="D789">
            <v>2196.63</v>
          </cell>
          <cell r="F789">
            <v>1021.5099999999844</v>
          </cell>
          <cell r="G789">
            <v>1430.11</v>
          </cell>
        </row>
        <row r="790">
          <cell r="B790">
            <v>786</v>
          </cell>
          <cell r="C790">
            <v>1571.02</v>
          </cell>
          <cell r="D790">
            <v>2199.4299999999998</v>
          </cell>
          <cell r="F790">
            <v>1022.8099999999844</v>
          </cell>
          <cell r="G790">
            <v>1431.93</v>
          </cell>
        </row>
        <row r="791">
          <cell r="B791">
            <v>787</v>
          </cell>
          <cell r="C791">
            <v>1573.02</v>
          </cell>
          <cell r="D791">
            <v>2202.23</v>
          </cell>
          <cell r="F791">
            <v>1024.1099999999844</v>
          </cell>
          <cell r="G791">
            <v>1433.75</v>
          </cell>
        </row>
        <row r="792">
          <cell r="B792">
            <v>788</v>
          </cell>
          <cell r="C792">
            <v>1575.02</v>
          </cell>
          <cell r="D792">
            <v>2205.0300000000002</v>
          </cell>
          <cell r="F792">
            <v>1025.4099999999844</v>
          </cell>
          <cell r="G792">
            <v>1435.57</v>
          </cell>
        </row>
        <row r="793">
          <cell r="B793">
            <v>789</v>
          </cell>
          <cell r="C793">
            <v>1577.02</v>
          </cell>
          <cell r="D793">
            <v>2207.83</v>
          </cell>
          <cell r="F793">
            <v>1026.7099999999843</v>
          </cell>
          <cell r="G793">
            <v>1437.39</v>
          </cell>
        </row>
        <row r="794">
          <cell r="B794">
            <v>790</v>
          </cell>
          <cell r="C794">
            <v>1579.02</v>
          </cell>
          <cell r="D794">
            <v>2210.63</v>
          </cell>
          <cell r="F794">
            <v>1028.0099999999843</v>
          </cell>
          <cell r="G794">
            <v>1439.21</v>
          </cell>
        </row>
        <row r="795">
          <cell r="B795">
            <v>791</v>
          </cell>
          <cell r="C795">
            <v>1581.02</v>
          </cell>
          <cell r="D795">
            <v>2213.4299999999998</v>
          </cell>
          <cell r="F795">
            <v>1029.3099999999843</v>
          </cell>
          <cell r="G795">
            <v>1441.03</v>
          </cell>
        </row>
        <row r="796">
          <cell r="B796">
            <v>792</v>
          </cell>
          <cell r="C796">
            <v>1583.02</v>
          </cell>
          <cell r="D796">
            <v>2216.23</v>
          </cell>
          <cell r="F796">
            <v>1030.6099999999842</v>
          </cell>
          <cell r="G796">
            <v>1442.85</v>
          </cell>
        </row>
        <row r="797">
          <cell r="B797">
            <v>793</v>
          </cell>
          <cell r="C797">
            <v>1585.02</v>
          </cell>
          <cell r="D797">
            <v>2219.0300000000002</v>
          </cell>
          <cell r="F797">
            <v>1031.9099999999842</v>
          </cell>
          <cell r="G797">
            <v>1444.67</v>
          </cell>
        </row>
        <row r="798">
          <cell r="B798">
            <v>794</v>
          </cell>
          <cell r="C798">
            <v>1587.02</v>
          </cell>
          <cell r="D798">
            <v>2221.83</v>
          </cell>
          <cell r="F798">
            <v>1033.2099999999841</v>
          </cell>
          <cell r="G798">
            <v>1446.49</v>
          </cell>
        </row>
        <row r="799">
          <cell r="B799">
            <v>795</v>
          </cell>
          <cell r="C799">
            <v>1589.02</v>
          </cell>
          <cell r="D799">
            <v>2224.63</v>
          </cell>
          <cell r="F799">
            <v>1034.5099999999841</v>
          </cell>
          <cell r="G799">
            <v>1448.31</v>
          </cell>
        </row>
        <row r="800">
          <cell r="B800">
            <v>796</v>
          </cell>
          <cell r="C800">
            <v>1591.02</v>
          </cell>
          <cell r="D800">
            <v>2227.4299999999998</v>
          </cell>
          <cell r="F800">
            <v>1035.809999999984</v>
          </cell>
          <cell r="G800">
            <v>1450.13</v>
          </cell>
        </row>
        <row r="801">
          <cell r="B801">
            <v>797</v>
          </cell>
          <cell r="C801">
            <v>1593.02</v>
          </cell>
          <cell r="D801">
            <v>2230.23</v>
          </cell>
          <cell r="F801">
            <v>1037.109999999984</v>
          </cell>
          <cell r="G801">
            <v>1451.95</v>
          </cell>
        </row>
        <row r="802">
          <cell r="B802">
            <v>798</v>
          </cell>
          <cell r="C802">
            <v>1595.02</v>
          </cell>
          <cell r="D802">
            <v>2233.0300000000002</v>
          </cell>
          <cell r="F802">
            <v>1038.4099999999839</v>
          </cell>
          <cell r="G802">
            <v>1453.77</v>
          </cell>
        </row>
        <row r="803">
          <cell r="B803">
            <v>799</v>
          </cell>
          <cell r="C803">
            <v>1597.02</v>
          </cell>
          <cell r="D803">
            <v>2235.83</v>
          </cell>
          <cell r="F803">
            <v>1039.7099999999839</v>
          </cell>
          <cell r="G803">
            <v>1455.59</v>
          </cell>
        </row>
        <row r="804">
          <cell r="B804">
            <v>800</v>
          </cell>
          <cell r="C804">
            <v>1599.02</v>
          </cell>
          <cell r="D804">
            <v>2238.63</v>
          </cell>
          <cell r="F804">
            <v>1041.0099999999838</v>
          </cell>
          <cell r="G804">
            <v>1457.41</v>
          </cell>
        </row>
        <row r="805">
          <cell r="B805">
            <v>801</v>
          </cell>
          <cell r="C805">
            <v>1601.02</v>
          </cell>
          <cell r="D805">
            <v>2241.4299999999998</v>
          </cell>
          <cell r="F805">
            <v>1042.3099999999838</v>
          </cell>
          <cell r="G805">
            <v>1459.23</v>
          </cell>
        </row>
        <row r="806">
          <cell r="B806">
            <v>802</v>
          </cell>
          <cell r="C806">
            <v>1603.02</v>
          </cell>
          <cell r="D806">
            <v>2244.23</v>
          </cell>
          <cell r="F806">
            <v>1043.6099999999838</v>
          </cell>
          <cell r="G806">
            <v>1461.05</v>
          </cell>
        </row>
        <row r="807">
          <cell r="B807">
            <v>803</v>
          </cell>
          <cell r="C807">
            <v>1605.02</v>
          </cell>
          <cell r="D807">
            <v>2247.0300000000002</v>
          </cell>
          <cell r="F807">
            <v>1044.9099999999837</v>
          </cell>
          <cell r="G807">
            <v>1462.87</v>
          </cell>
        </row>
        <row r="808">
          <cell r="B808">
            <v>804</v>
          </cell>
          <cell r="C808">
            <v>1607.02</v>
          </cell>
          <cell r="D808">
            <v>2249.83</v>
          </cell>
          <cell r="F808">
            <v>1046.2099999999837</v>
          </cell>
          <cell r="G808">
            <v>1464.69</v>
          </cell>
        </row>
        <row r="809">
          <cell r="B809">
            <v>805</v>
          </cell>
          <cell r="C809">
            <v>1609.02</v>
          </cell>
          <cell r="D809">
            <v>2252.63</v>
          </cell>
          <cell r="F809">
            <v>1047.5099999999836</v>
          </cell>
          <cell r="G809">
            <v>1466.51</v>
          </cell>
        </row>
        <row r="810">
          <cell r="B810">
            <v>806</v>
          </cell>
          <cell r="C810">
            <v>1611.02</v>
          </cell>
          <cell r="D810">
            <v>2255.4299999999998</v>
          </cell>
          <cell r="F810">
            <v>1048.8099999999836</v>
          </cell>
          <cell r="G810">
            <v>1468.33</v>
          </cell>
        </row>
        <row r="811">
          <cell r="B811">
            <v>807</v>
          </cell>
          <cell r="C811">
            <v>1613.02</v>
          </cell>
          <cell r="D811">
            <v>2258.23</v>
          </cell>
          <cell r="F811">
            <v>1050.1099999999835</v>
          </cell>
          <cell r="G811">
            <v>1470.15</v>
          </cell>
        </row>
        <row r="812">
          <cell r="B812">
            <v>808</v>
          </cell>
          <cell r="C812">
            <v>1615.02</v>
          </cell>
          <cell r="D812">
            <v>2261.0300000000002</v>
          </cell>
          <cell r="F812">
            <v>1051.4099999999835</v>
          </cell>
          <cell r="G812">
            <v>1471.97</v>
          </cell>
        </row>
        <row r="813">
          <cell r="B813">
            <v>809</v>
          </cell>
          <cell r="C813">
            <v>1617.02</v>
          </cell>
          <cell r="D813">
            <v>2263.83</v>
          </cell>
          <cell r="F813">
            <v>1052.7099999999834</v>
          </cell>
          <cell r="G813">
            <v>1473.79</v>
          </cell>
        </row>
        <row r="814">
          <cell r="B814">
            <v>810</v>
          </cell>
          <cell r="C814">
            <v>1619.02</v>
          </cell>
          <cell r="D814">
            <v>2266.63</v>
          </cell>
          <cell r="F814">
            <v>1054.0099999999834</v>
          </cell>
          <cell r="G814">
            <v>1475.61</v>
          </cell>
        </row>
        <row r="815">
          <cell r="B815">
            <v>811</v>
          </cell>
          <cell r="C815">
            <v>1621.02</v>
          </cell>
          <cell r="D815">
            <v>2269.4299999999998</v>
          </cell>
          <cell r="F815">
            <v>1055.3099999999833</v>
          </cell>
          <cell r="G815">
            <v>1477.43</v>
          </cell>
        </row>
        <row r="816">
          <cell r="B816">
            <v>812</v>
          </cell>
          <cell r="C816">
            <v>1623.02</v>
          </cell>
          <cell r="D816">
            <v>2272.23</v>
          </cell>
          <cell r="F816">
            <v>1056.6099999999833</v>
          </cell>
          <cell r="G816">
            <v>1479.25</v>
          </cell>
        </row>
        <row r="817">
          <cell r="B817">
            <v>813</v>
          </cell>
          <cell r="C817">
            <v>1625.02</v>
          </cell>
          <cell r="D817">
            <v>2275.0300000000002</v>
          </cell>
          <cell r="F817">
            <v>1057.9099999999833</v>
          </cell>
          <cell r="G817">
            <v>1481.07</v>
          </cell>
        </row>
        <row r="818">
          <cell r="B818">
            <v>814</v>
          </cell>
          <cell r="C818">
            <v>1627.02</v>
          </cell>
          <cell r="D818">
            <v>2277.83</v>
          </cell>
          <cell r="F818">
            <v>1059.2099999999832</v>
          </cell>
          <cell r="G818">
            <v>1482.89</v>
          </cell>
        </row>
        <row r="819">
          <cell r="B819">
            <v>815</v>
          </cell>
          <cell r="C819">
            <v>1629.02</v>
          </cell>
          <cell r="D819">
            <v>2280.63</v>
          </cell>
          <cell r="F819">
            <v>1060.5099999999832</v>
          </cell>
          <cell r="G819">
            <v>1484.71</v>
          </cell>
        </row>
        <row r="820">
          <cell r="B820">
            <v>816</v>
          </cell>
          <cell r="C820">
            <v>1631.02</v>
          </cell>
          <cell r="D820">
            <v>2283.4299999999998</v>
          </cell>
          <cell r="F820">
            <v>1061.8099999999831</v>
          </cell>
          <cell r="G820">
            <v>1486.53</v>
          </cell>
        </row>
        <row r="821">
          <cell r="B821">
            <v>817</v>
          </cell>
          <cell r="C821">
            <v>1633.02</v>
          </cell>
          <cell r="D821">
            <v>2286.23</v>
          </cell>
          <cell r="F821">
            <v>1063.1099999999831</v>
          </cell>
          <cell r="G821">
            <v>1488.35</v>
          </cell>
        </row>
        <row r="822">
          <cell r="B822">
            <v>818</v>
          </cell>
          <cell r="C822">
            <v>1635.02</v>
          </cell>
          <cell r="D822">
            <v>2289.0300000000002</v>
          </cell>
          <cell r="F822">
            <v>1064.409999999983</v>
          </cell>
          <cell r="G822">
            <v>1490.17</v>
          </cell>
        </row>
        <row r="823">
          <cell r="B823">
            <v>819</v>
          </cell>
          <cell r="C823">
            <v>1637.02</v>
          </cell>
          <cell r="D823">
            <v>2291.83</v>
          </cell>
          <cell r="F823">
            <v>1065.709999999983</v>
          </cell>
          <cell r="G823">
            <v>1491.99</v>
          </cell>
        </row>
        <row r="824">
          <cell r="B824">
            <v>820</v>
          </cell>
          <cell r="C824">
            <v>1639.02</v>
          </cell>
          <cell r="D824">
            <v>2294.63</v>
          </cell>
          <cell r="F824">
            <v>1067.0099999999829</v>
          </cell>
          <cell r="G824">
            <v>1493.81</v>
          </cell>
        </row>
        <row r="825">
          <cell r="B825">
            <v>821</v>
          </cell>
          <cell r="C825">
            <v>1641.02</v>
          </cell>
          <cell r="D825">
            <v>2297.4299999999998</v>
          </cell>
          <cell r="F825">
            <v>1068.3099999999829</v>
          </cell>
          <cell r="G825">
            <v>1495.63</v>
          </cell>
        </row>
        <row r="826">
          <cell r="B826">
            <v>822</v>
          </cell>
          <cell r="C826">
            <v>1643.02</v>
          </cell>
          <cell r="D826">
            <v>2300.23</v>
          </cell>
          <cell r="F826">
            <v>1069.6099999999828</v>
          </cell>
          <cell r="G826">
            <v>1497.45</v>
          </cell>
        </row>
        <row r="827">
          <cell r="B827">
            <v>823</v>
          </cell>
          <cell r="C827">
            <v>1645.02</v>
          </cell>
          <cell r="D827">
            <v>2303.0300000000002</v>
          </cell>
          <cell r="F827">
            <v>1070.9099999999828</v>
          </cell>
          <cell r="G827">
            <v>1499.27</v>
          </cell>
        </row>
        <row r="828">
          <cell r="B828">
            <v>824</v>
          </cell>
          <cell r="C828">
            <v>1647.02</v>
          </cell>
          <cell r="D828">
            <v>2305.83</v>
          </cell>
          <cell r="F828">
            <v>1072.2099999999828</v>
          </cell>
          <cell r="G828">
            <v>1501.09</v>
          </cell>
        </row>
        <row r="829">
          <cell r="B829">
            <v>825</v>
          </cell>
          <cell r="C829">
            <v>1649.02</v>
          </cell>
          <cell r="D829">
            <v>2308.63</v>
          </cell>
          <cell r="F829">
            <v>1073.5099999999827</v>
          </cell>
          <cell r="G829">
            <v>1502.91</v>
          </cell>
        </row>
        <row r="830">
          <cell r="B830">
            <v>826</v>
          </cell>
          <cell r="C830">
            <v>1651.02</v>
          </cell>
          <cell r="D830">
            <v>2311.4299999999998</v>
          </cell>
          <cell r="F830">
            <v>1074.8099999999827</v>
          </cell>
          <cell r="G830">
            <v>1504.73</v>
          </cell>
        </row>
        <row r="831">
          <cell r="B831">
            <v>827</v>
          </cell>
          <cell r="C831">
            <v>1653.02</v>
          </cell>
          <cell r="D831">
            <v>2314.23</v>
          </cell>
          <cell r="F831">
            <v>1076.1099999999826</v>
          </cell>
          <cell r="G831">
            <v>1506.55</v>
          </cell>
        </row>
        <row r="832">
          <cell r="B832">
            <v>828</v>
          </cell>
          <cell r="C832">
            <v>1655.02</v>
          </cell>
          <cell r="D832">
            <v>2317.0300000000002</v>
          </cell>
          <cell r="F832">
            <v>1077.4099999999826</v>
          </cell>
          <cell r="G832">
            <v>1508.37</v>
          </cell>
        </row>
        <row r="833">
          <cell r="B833">
            <v>829</v>
          </cell>
          <cell r="C833">
            <v>1657.02</v>
          </cell>
          <cell r="D833">
            <v>2319.83</v>
          </cell>
          <cell r="F833">
            <v>1078.7099999999825</v>
          </cell>
          <cell r="G833">
            <v>1510.19</v>
          </cell>
        </row>
        <row r="834">
          <cell r="B834">
            <v>830</v>
          </cell>
          <cell r="C834">
            <v>1659.02</v>
          </cell>
          <cell r="D834">
            <v>2322.63</v>
          </cell>
          <cell r="F834">
            <v>1080.0099999999825</v>
          </cell>
          <cell r="G834">
            <v>1512.01</v>
          </cell>
        </row>
        <row r="835">
          <cell r="B835">
            <v>831</v>
          </cell>
          <cell r="C835">
            <v>1661.02</v>
          </cell>
          <cell r="D835">
            <v>2325.4299999999998</v>
          </cell>
          <cell r="F835">
            <v>1081.3099999999824</v>
          </cell>
          <cell r="G835">
            <v>1513.83</v>
          </cell>
        </row>
        <row r="836">
          <cell r="B836">
            <v>832</v>
          </cell>
          <cell r="C836">
            <v>1663.02</v>
          </cell>
          <cell r="D836">
            <v>2328.23</v>
          </cell>
          <cell r="F836">
            <v>1082.6099999999824</v>
          </cell>
          <cell r="G836">
            <v>1515.65</v>
          </cell>
        </row>
        <row r="837">
          <cell r="B837">
            <v>833</v>
          </cell>
          <cell r="C837">
            <v>1665.02</v>
          </cell>
          <cell r="D837">
            <v>2331.0300000000002</v>
          </cell>
          <cell r="F837">
            <v>1083.9099999999823</v>
          </cell>
          <cell r="G837">
            <v>1517.47</v>
          </cell>
        </row>
        <row r="838">
          <cell r="B838">
            <v>834</v>
          </cell>
          <cell r="C838">
            <v>1667.02</v>
          </cell>
          <cell r="D838">
            <v>2333.83</v>
          </cell>
          <cell r="F838">
            <v>1085.2099999999823</v>
          </cell>
          <cell r="G838">
            <v>1519.29</v>
          </cell>
        </row>
        <row r="839">
          <cell r="B839">
            <v>835</v>
          </cell>
          <cell r="C839">
            <v>1669.02</v>
          </cell>
          <cell r="D839">
            <v>2336.63</v>
          </cell>
          <cell r="F839">
            <v>1086.5099999999823</v>
          </cell>
          <cell r="G839">
            <v>1521.11</v>
          </cell>
        </row>
        <row r="840">
          <cell r="B840">
            <v>836</v>
          </cell>
          <cell r="C840">
            <v>1671.02</v>
          </cell>
          <cell r="D840">
            <v>2339.4299999999998</v>
          </cell>
          <cell r="F840">
            <v>1087.8099999999822</v>
          </cell>
          <cell r="G840">
            <v>1522.93</v>
          </cell>
        </row>
        <row r="841">
          <cell r="B841">
            <v>837</v>
          </cell>
          <cell r="C841">
            <v>1673.02</v>
          </cell>
          <cell r="D841">
            <v>2342.23</v>
          </cell>
          <cell r="F841">
            <v>1089.1099999999822</v>
          </cell>
          <cell r="G841">
            <v>1524.75</v>
          </cell>
        </row>
        <row r="842">
          <cell r="B842">
            <v>838</v>
          </cell>
          <cell r="C842">
            <v>1675.02</v>
          </cell>
          <cell r="D842">
            <v>2345.0300000000002</v>
          </cell>
          <cell r="F842">
            <v>1090.4099999999821</v>
          </cell>
          <cell r="G842">
            <v>1526.57</v>
          </cell>
        </row>
        <row r="843">
          <cell r="B843">
            <v>839</v>
          </cell>
          <cell r="C843">
            <v>1677.02</v>
          </cell>
          <cell r="D843">
            <v>2347.83</v>
          </cell>
          <cell r="F843">
            <v>1091.7099999999821</v>
          </cell>
          <cell r="G843">
            <v>1528.39</v>
          </cell>
        </row>
        <row r="844">
          <cell r="B844">
            <v>840</v>
          </cell>
          <cell r="C844">
            <v>1679.02</v>
          </cell>
          <cell r="D844">
            <v>2350.63</v>
          </cell>
          <cell r="F844">
            <v>1093.009999999982</v>
          </cell>
          <cell r="G844">
            <v>1530.21</v>
          </cell>
        </row>
        <row r="845">
          <cell r="B845">
            <v>841</v>
          </cell>
          <cell r="C845">
            <v>1681.02</v>
          </cell>
          <cell r="D845">
            <v>2353.4299999999998</v>
          </cell>
          <cell r="F845">
            <v>1094.309999999982</v>
          </cell>
          <cell r="G845">
            <v>1532.03</v>
          </cell>
        </row>
        <row r="846">
          <cell r="B846">
            <v>842</v>
          </cell>
          <cell r="C846">
            <v>1683.02</v>
          </cell>
          <cell r="D846">
            <v>2356.23</v>
          </cell>
          <cell r="F846">
            <v>1095.6099999999819</v>
          </cell>
          <cell r="G846">
            <v>1533.85</v>
          </cell>
        </row>
        <row r="847">
          <cell r="B847">
            <v>843</v>
          </cell>
          <cell r="C847">
            <v>1685.02</v>
          </cell>
          <cell r="D847">
            <v>2359.0300000000002</v>
          </cell>
          <cell r="F847">
            <v>1096.9099999999819</v>
          </cell>
          <cell r="G847">
            <v>1535.67</v>
          </cell>
        </row>
        <row r="848">
          <cell r="B848">
            <v>844</v>
          </cell>
          <cell r="C848">
            <v>1687.02</v>
          </cell>
          <cell r="D848">
            <v>2361.83</v>
          </cell>
          <cell r="F848">
            <v>1098.2099999999818</v>
          </cell>
          <cell r="G848">
            <v>1537.49</v>
          </cell>
        </row>
        <row r="849">
          <cell r="B849">
            <v>845</v>
          </cell>
          <cell r="C849">
            <v>1689.02</v>
          </cell>
          <cell r="D849">
            <v>2364.63</v>
          </cell>
          <cell r="F849">
            <v>1099.5099999999818</v>
          </cell>
          <cell r="G849">
            <v>1539.31</v>
          </cell>
        </row>
        <row r="850">
          <cell r="B850">
            <v>846</v>
          </cell>
          <cell r="C850">
            <v>1691.02</v>
          </cell>
          <cell r="D850">
            <v>2367.4299999999998</v>
          </cell>
          <cell r="F850">
            <v>1100.8099999999818</v>
          </cell>
          <cell r="G850">
            <v>1541.13</v>
          </cell>
        </row>
        <row r="851">
          <cell r="B851">
            <v>847</v>
          </cell>
          <cell r="C851">
            <v>1693.02</v>
          </cell>
          <cell r="D851">
            <v>2370.23</v>
          </cell>
          <cell r="F851">
            <v>1102.1099999999817</v>
          </cell>
          <cell r="G851">
            <v>1542.95</v>
          </cell>
        </row>
        <row r="852">
          <cell r="B852">
            <v>848</v>
          </cell>
          <cell r="C852">
            <v>1695.02</v>
          </cell>
          <cell r="D852">
            <v>2373.0300000000002</v>
          </cell>
          <cell r="F852">
            <v>1103.4099999999817</v>
          </cell>
          <cell r="G852">
            <v>1544.77</v>
          </cell>
        </row>
        <row r="853">
          <cell r="B853">
            <v>849</v>
          </cell>
          <cell r="C853">
            <v>1697.02</v>
          </cell>
          <cell r="D853">
            <v>2375.83</v>
          </cell>
          <cell r="F853">
            <v>1104.7099999999816</v>
          </cell>
          <cell r="G853">
            <v>1546.59</v>
          </cell>
        </row>
        <row r="854">
          <cell r="B854">
            <v>850</v>
          </cell>
          <cell r="C854">
            <v>1699.02</v>
          </cell>
          <cell r="D854">
            <v>2378.63</v>
          </cell>
          <cell r="F854">
            <v>1106.0099999999816</v>
          </cell>
          <cell r="G854">
            <v>1548.41</v>
          </cell>
        </row>
        <row r="855">
          <cell r="B855">
            <v>851</v>
          </cell>
          <cell r="C855">
            <v>1701.02</v>
          </cell>
          <cell r="D855">
            <v>2381.4299999999998</v>
          </cell>
          <cell r="F855">
            <v>1107.3099999999815</v>
          </cell>
          <cell r="G855">
            <v>1550.23</v>
          </cell>
        </row>
        <row r="856">
          <cell r="B856">
            <v>852</v>
          </cell>
          <cell r="C856">
            <v>1703.02</v>
          </cell>
          <cell r="D856">
            <v>2384.23</v>
          </cell>
          <cell r="F856">
            <v>1108.6099999999815</v>
          </cell>
          <cell r="G856">
            <v>1552.05</v>
          </cell>
        </row>
        <row r="857">
          <cell r="B857">
            <v>853</v>
          </cell>
          <cell r="C857">
            <v>1705.02</v>
          </cell>
          <cell r="D857">
            <v>2387.0300000000002</v>
          </cell>
          <cell r="F857">
            <v>1109.9099999999814</v>
          </cell>
          <cell r="G857">
            <v>1553.87</v>
          </cell>
        </row>
        <row r="858">
          <cell r="B858">
            <v>854</v>
          </cell>
          <cell r="C858">
            <v>1707.02</v>
          </cell>
          <cell r="D858">
            <v>2389.83</v>
          </cell>
          <cell r="F858">
            <v>1111.2099999999814</v>
          </cell>
          <cell r="G858">
            <v>1555.69</v>
          </cell>
        </row>
        <row r="859">
          <cell r="B859">
            <v>855</v>
          </cell>
          <cell r="C859">
            <v>1709.02</v>
          </cell>
          <cell r="D859">
            <v>2392.63</v>
          </cell>
          <cell r="F859">
            <v>1112.5099999999813</v>
          </cell>
          <cell r="G859">
            <v>1557.51</v>
          </cell>
        </row>
        <row r="860">
          <cell r="B860">
            <v>856</v>
          </cell>
          <cell r="C860">
            <v>1711.02</v>
          </cell>
          <cell r="D860">
            <v>2395.4299999999998</v>
          </cell>
          <cell r="F860">
            <v>1113.8099999999813</v>
          </cell>
          <cell r="G860">
            <v>1559.33</v>
          </cell>
        </row>
        <row r="861">
          <cell r="B861">
            <v>857</v>
          </cell>
          <cell r="C861">
            <v>1713.02</v>
          </cell>
          <cell r="D861">
            <v>2398.23</v>
          </cell>
          <cell r="F861">
            <v>1115.1099999999813</v>
          </cell>
          <cell r="G861">
            <v>1561.15</v>
          </cell>
        </row>
        <row r="862">
          <cell r="B862">
            <v>858</v>
          </cell>
          <cell r="C862">
            <v>1715.02</v>
          </cell>
          <cell r="D862">
            <v>2401.0300000000002</v>
          </cell>
          <cell r="F862">
            <v>1116.4099999999812</v>
          </cell>
          <cell r="G862">
            <v>1562.97</v>
          </cell>
        </row>
        <row r="863">
          <cell r="B863">
            <v>859</v>
          </cell>
          <cell r="C863">
            <v>1717.02</v>
          </cell>
          <cell r="D863">
            <v>2403.83</v>
          </cell>
          <cell r="F863">
            <v>1117.7099999999812</v>
          </cell>
          <cell r="G863">
            <v>1564.79</v>
          </cell>
        </row>
        <row r="864">
          <cell r="B864">
            <v>860</v>
          </cell>
          <cell r="C864">
            <v>1719.02</v>
          </cell>
          <cell r="D864">
            <v>2406.63</v>
          </cell>
          <cell r="F864">
            <v>1119.0099999999811</v>
          </cell>
          <cell r="G864">
            <v>1566.61</v>
          </cell>
        </row>
        <row r="865">
          <cell r="B865">
            <v>861</v>
          </cell>
          <cell r="C865">
            <v>1721.02</v>
          </cell>
          <cell r="D865">
            <v>2409.4299999999998</v>
          </cell>
          <cell r="F865">
            <v>1120.3099999999811</v>
          </cell>
          <cell r="G865">
            <v>1568.43</v>
          </cell>
        </row>
        <row r="866">
          <cell r="B866">
            <v>862</v>
          </cell>
          <cell r="C866">
            <v>1723.02</v>
          </cell>
          <cell r="D866">
            <v>2412.23</v>
          </cell>
          <cell r="F866">
            <v>1121.609999999981</v>
          </cell>
          <cell r="G866">
            <v>1570.25</v>
          </cell>
        </row>
        <row r="867">
          <cell r="B867">
            <v>863</v>
          </cell>
          <cell r="C867">
            <v>1725.02</v>
          </cell>
          <cell r="D867">
            <v>2415.0300000000002</v>
          </cell>
          <cell r="F867">
            <v>1122.909999999981</v>
          </cell>
          <cell r="G867">
            <v>1572.07</v>
          </cell>
        </row>
        <row r="868">
          <cell r="B868">
            <v>864</v>
          </cell>
          <cell r="C868">
            <v>1727.02</v>
          </cell>
          <cell r="D868">
            <v>2417.83</v>
          </cell>
          <cell r="F868">
            <v>1124.2099999999809</v>
          </cell>
          <cell r="G868">
            <v>1573.89</v>
          </cell>
        </row>
        <row r="869">
          <cell r="B869">
            <v>865</v>
          </cell>
          <cell r="C869">
            <v>1729.02</v>
          </cell>
          <cell r="D869">
            <v>2420.63</v>
          </cell>
          <cell r="F869">
            <v>1125.5099999999809</v>
          </cell>
          <cell r="G869">
            <v>1575.71</v>
          </cell>
        </row>
        <row r="870">
          <cell r="B870">
            <v>866</v>
          </cell>
          <cell r="C870">
            <v>1731.02</v>
          </cell>
          <cell r="D870">
            <v>2423.4299999999998</v>
          </cell>
          <cell r="F870">
            <v>1126.8099999999808</v>
          </cell>
          <cell r="G870">
            <v>1577.53</v>
          </cell>
        </row>
        <row r="871">
          <cell r="B871">
            <v>867</v>
          </cell>
          <cell r="C871">
            <v>1733.02</v>
          </cell>
          <cell r="D871">
            <v>2426.23</v>
          </cell>
          <cell r="F871">
            <v>1128.1099999999808</v>
          </cell>
          <cell r="G871">
            <v>1579.35</v>
          </cell>
        </row>
        <row r="872">
          <cell r="B872">
            <v>868</v>
          </cell>
          <cell r="C872">
            <v>1735.02</v>
          </cell>
          <cell r="D872">
            <v>2429.0300000000002</v>
          </cell>
          <cell r="F872">
            <v>1129.4099999999808</v>
          </cell>
          <cell r="G872">
            <v>1581.17</v>
          </cell>
        </row>
        <row r="873">
          <cell r="B873">
            <v>869</v>
          </cell>
          <cell r="C873">
            <v>1737.02</v>
          </cell>
          <cell r="D873">
            <v>2431.83</v>
          </cell>
          <cell r="F873">
            <v>1130.7099999999807</v>
          </cell>
          <cell r="G873">
            <v>1582.99</v>
          </cell>
        </row>
        <row r="874">
          <cell r="B874">
            <v>870</v>
          </cell>
          <cell r="C874">
            <v>1739.02</v>
          </cell>
          <cell r="D874">
            <v>2434.63</v>
          </cell>
          <cell r="F874">
            <v>1132.0099999999807</v>
          </cell>
          <cell r="G874">
            <v>1584.81</v>
          </cell>
        </row>
        <row r="875">
          <cell r="B875">
            <v>871</v>
          </cell>
          <cell r="C875">
            <v>1741.02</v>
          </cell>
          <cell r="D875">
            <v>2437.4299999999998</v>
          </cell>
          <cell r="F875">
            <v>1133.3099999999806</v>
          </cell>
          <cell r="G875">
            <v>1586.63</v>
          </cell>
        </row>
        <row r="876">
          <cell r="B876">
            <v>872</v>
          </cell>
          <cell r="C876">
            <v>1743.02</v>
          </cell>
          <cell r="D876">
            <v>2440.23</v>
          </cell>
          <cell r="F876">
            <v>1134.6099999999806</v>
          </cell>
          <cell r="G876">
            <v>1588.45</v>
          </cell>
        </row>
        <row r="877">
          <cell r="B877">
            <v>873</v>
          </cell>
          <cell r="C877">
            <v>1745.02</v>
          </cell>
          <cell r="D877">
            <v>2443.0300000000002</v>
          </cell>
          <cell r="F877">
            <v>1135.9099999999805</v>
          </cell>
          <cell r="G877">
            <v>1590.27</v>
          </cell>
        </row>
        <row r="878">
          <cell r="B878">
            <v>874</v>
          </cell>
          <cell r="C878">
            <v>1747.02</v>
          </cell>
          <cell r="D878">
            <v>2445.83</v>
          </cell>
          <cell r="F878">
            <v>1137.2099999999805</v>
          </cell>
          <cell r="G878">
            <v>1592.09</v>
          </cell>
        </row>
        <row r="879">
          <cell r="B879">
            <v>875</v>
          </cell>
          <cell r="C879">
            <v>1749.02</v>
          </cell>
          <cell r="D879">
            <v>2448.63</v>
          </cell>
          <cell r="F879">
            <v>1138.5099999999804</v>
          </cell>
          <cell r="G879">
            <v>1593.91</v>
          </cell>
        </row>
        <row r="880">
          <cell r="B880">
            <v>876</v>
          </cell>
          <cell r="C880">
            <v>1751.02</v>
          </cell>
          <cell r="D880">
            <v>2451.4299999999998</v>
          </cell>
          <cell r="F880">
            <v>1139.8099999999804</v>
          </cell>
          <cell r="G880">
            <v>1595.73</v>
          </cell>
        </row>
        <row r="881">
          <cell r="B881">
            <v>877</v>
          </cell>
          <cell r="C881">
            <v>1753.02</v>
          </cell>
          <cell r="D881">
            <v>2454.23</v>
          </cell>
          <cell r="F881">
            <v>1141.1099999999803</v>
          </cell>
          <cell r="G881">
            <v>1597.55</v>
          </cell>
        </row>
        <row r="882">
          <cell r="B882">
            <v>878</v>
          </cell>
          <cell r="C882">
            <v>1755.02</v>
          </cell>
          <cell r="D882">
            <v>2457.0300000000002</v>
          </cell>
          <cell r="F882">
            <v>1142.4099999999803</v>
          </cell>
          <cell r="G882">
            <v>1599.37</v>
          </cell>
        </row>
        <row r="883">
          <cell r="B883">
            <v>879</v>
          </cell>
          <cell r="C883">
            <v>1757.02</v>
          </cell>
          <cell r="D883">
            <v>2459.83</v>
          </cell>
          <cell r="F883">
            <v>1143.7099999999803</v>
          </cell>
          <cell r="G883">
            <v>1601.19</v>
          </cell>
        </row>
        <row r="884">
          <cell r="B884">
            <v>880</v>
          </cell>
          <cell r="C884">
            <v>1759.02</v>
          </cell>
          <cell r="D884">
            <v>2462.63</v>
          </cell>
          <cell r="F884">
            <v>1145.0099999999802</v>
          </cell>
          <cell r="G884">
            <v>1603.01</v>
          </cell>
        </row>
        <row r="885">
          <cell r="B885">
            <v>881</v>
          </cell>
          <cell r="C885">
            <v>1761.02</v>
          </cell>
          <cell r="D885">
            <v>2465.4299999999998</v>
          </cell>
          <cell r="F885">
            <v>1146.3099999999802</v>
          </cell>
          <cell r="G885">
            <v>1604.83</v>
          </cell>
        </row>
        <row r="886">
          <cell r="B886">
            <v>882</v>
          </cell>
          <cell r="C886">
            <v>1763.02</v>
          </cell>
          <cell r="D886">
            <v>2468.23</v>
          </cell>
          <cell r="F886">
            <v>1147.6099999999801</v>
          </cell>
          <cell r="G886">
            <v>1606.65</v>
          </cell>
        </row>
        <row r="887">
          <cell r="B887">
            <v>883</v>
          </cell>
          <cell r="C887">
            <v>1765.02</v>
          </cell>
          <cell r="D887">
            <v>2471.0300000000002</v>
          </cell>
          <cell r="F887">
            <v>1148.9099999999801</v>
          </cell>
          <cell r="G887">
            <v>1608.47</v>
          </cell>
        </row>
        <row r="888">
          <cell r="B888">
            <v>884</v>
          </cell>
          <cell r="C888">
            <v>1767.02</v>
          </cell>
          <cell r="D888">
            <v>2473.83</v>
          </cell>
          <cell r="F888">
            <v>1150.20999999998</v>
          </cell>
          <cell r="G888">
            <v>1610.29</v>
          </cell>
        </row>
        <row r="889">
          <cell r="B889">
            <v>885</v>
          </cell>
          <cell r="C889">
            <v>1769.02</v>
          </cell>
          <cell r="D889">
            <v>2476.63</v>
          </cell>
          <cell r="F889">
            <v>1151.50999999998</v>
          </cell>
          <cell r="G889">
            <v>1612.11</v>
          </cell>
        </row>
        <row r="890">
          <cell r="B890">
            <v>886</v>
          </cell>
          <cell r="C890">
            <v>1771.02</v>
          </cell>
          <cell r="D890">
            <v>2479.4299999999998</v>
          </cell>
          <cell r="F890">
            <v>1152.8099999999799</v>
          </cell>
          <cell r="G890">
            <v>1613.93</v>
          </cell>
        </row>
        <row r="891">
          <cell r="B891">
            <v>887</v>
          </cell>
          <cell r="C891">
            <v>1773.02</v>
          </cell>
          <cell r="D891">
            <v>2482.23</v>
          </cell>
          <cell r="F891">
            <v>1154.1099999999799</v>
          </cell>
          <cell r="G891">
            <v>1615.75</v>
          </cell>
        </row>
        <row r="892">
          <cell r="B892">
            <v>888</v>
          </cell>
          <cell r="C892">
            <v>1775.02</v>
          </cell>
          <cell r="D892">
            <v>2485.0300000000002</v>
          </cell>
          <cell r="F892">
            <v>1155.4099999999798</v>
          </cell>
          <cell r="G892">
            <v>1617.57</v>
          </cell>
        </row>
        <row r="893">
          <cell r="B893">
            <v>889</v>
          </cell>
          <cell r="C893">
            <v>1777.02</v>
          </cell>
          <cell r="D893">
            <v>2487.83</v>
          </cell>
          <cell r="F893">
            <v>1156.7099999999798</v>
          </cell>
          <cell r="G893">
            <v>1619.39</v>
          </cell>
        </row>
        <row r="894">
          <cell r="B894">
            <v>890</v>
          </cell>
          <cell r="C894">
            <v>1779.02</v>
          </cell>
          <cell r="D894">
            <v>2490.63</v>
          </cell>
          <cell r="F894">
            <v>1158.0099999999798</v>
          </cell>
          <cell r="G894">
            <v>1621.21</v>
          </cell>
        </row>
        <row r="895">
          <cell r="B895">
            <v>891</v>
          </cell>
          <cell r="C895">
            <v>1781.02</v>
          </cell>
          <cell r="D895">
            <v>2493.4299999999998</v>
          </cell>
          <cell r="F895">
            <v>1159.3099999999797</v>
          </cell>
          <cell r="G895">
            <v>1623.03</v>
          </cell>
        </row>
        <row r="896">
          <cell r="B896">
            <v>892</v>
          </cell>
          <cell r="C896">
            <v>1783.02</v>
          </cell>
          <cell r="D896">
            <v>2496.23</v>
          </cell>
          <cell r="F896">
            <v>1160.6099999999797</v>
          </cell>
          <cell r="G896">
            <v>1624.85</v>
          </cell>
        </row>
        <row r="897">
          <cell r="B897">
            <v>893</v>
          </cell>
          <cell r="C897">
            <v>1785.02</v>
          </cell>
          <cell r="D897">
            <v>2499.0300000000002</v>
          </cell>
          <cell r="F897">
            <v>1161.9099999999796</v>
          </cell>
          <cell r="G897">
            <v>1626.67</v>
          </cell>
        </row>
        <row r="898">
          <cell r="B898">
            <v>894</v>
          </cell>
          <cell r="C898">
            <v>1787.02</v>
          </cell>
          <cell r="D898">
            <v>2501.83</v>
          </cell>
          <cell r="F898">
            <v>1163.2099999999796</v>
          </cell>
          <cell r="G898">
            <v>1628.49</v>
          </cell>
        </row>
        <row r="899">
          <cell r="B899">
            <v>895</v>
          </cell>
          <cell r="C899">
            <v>1789.02</v>
          </cell>
          <cell r="D899">
            <v>2504.63</v>
          </cell>
          <cell r="F899">
            <v>1164.5099999999795</v>
          </cell>
          <cell r="G899">
            <v>1630.31</v>
          </cell>
        </row>
        <row r="900">
          <cell r="B900">
            <v>896</v>
          </cell>
          <cell r="C900">
            <v>1791.02</v>
          </cell>
          <cell r="D900">
            <v>2507.4299999999998</v>
          </cell>
          <cell r="F900">
            <v>1165.8099999999795</v>
          </cell>
          <cell r="G900">
            <v>1632.13</v>
          </cell>
        </row>
        <row r="901">
          <cell r="B901">
            <v>897</v>
          </cell>
          <cell r="C901">
            <v>1793.02</v>
          </cell>
          <cell r="D901">
            <v>2510.23</v>
          </cell>
          <cell r="F901">
            <v>1167.1099999999794</v>
          </cell>
          <cell r="G901">
            <v>1633.95</v>
          </cell>
        </row>
        <row r="902">
          <cell r="B902">
            <v>898</v>
          </cell>
          <cell r="C902">
            <v>1795.02</v>
          </cell>
          <cell r="D902">
            <v>2513.0300000000002</v>
          </cell>
          <cell r="F902">
            <v>1168.4099999999794</v>
          </cell>
          <cell r="G902">
            <v>1635.77</v>
          </cell>
        </row>
        <row r="903">
          <cell r="B903">
            <v>899</v>
          </cell>
          <cell r="C903">
            <v>1797.02</v>
          </cell>
          <cell r="D903">
            <v>2515.83</v>
          </cell>
          <cell r="F903">
            <v>1169.7099999999793</v>
          </cell>
          <cell r="G903">
            <v>1637.59</v>
          </cell>
        </row>
        <row r="904">
          <cell r="B904">
            <v>900</v>
          </cell>
          <cell r="C904">
            <v>1799.02</v>
          </cell>
          <cell r="D904">
            <v>2518.63</v>
          </cell>
          <cell r="F904">
            <v>1171.0099999999793</v>
          </cell>
          <cell r="G904">
            <v>1639.41</v>
          </cell>
        </row>
        <row r="905">
          <cell r="B905">
            <v>901</v>
          </cell>
          <cell r="C905">
            <v>1801.02</v>
          </cell>
          <cell r="D905">
            <v>2521.4299999999998</v>
          </cell>
          <cell r="F905">
            <v>1172.3099999999793</v>
          </cell>
          <cell r="G905">
            <v>1641.23</v>
          </cell>
        </row>
        <row r="906">
          <cell r="B906">
            <v>902</v>
          </cell>
          <cell r="C906">
            <v>1803.02</v>
          </cell>
          <cell r="D906">
            <v>2524.23</v>
          </cell>
          <cell r="F906">
            <v>1173.6099999999792</v>
          </cell>
          <cell r="G906">
            <v>1643.05</v>
          </cell>
        </row>
        <row r="907">
          <cell r="B907">
            <v>903</v>
          </cell>
          <cell r="C907">
            <v>1805.02</v>
          </cell>
          <cell r="D907">
            <v>2527.0300000000002</v>
          </cell>
          <cell r="F907">
            <v>1174.9099999999792</v>
          </cell>
          <cell r="G907">
            <v>1644.87</v>
          </cell>
        </row>
        <row r="908">
          <cell r="B908">
            <v>904</v>
          </cell>
          <cell r="C908">
            <v>1807.02</v>
          </cell>
          <cell r="D908">
            <v>2529.83</v>
          </cell>
          <cell r="F908">
            <v>1176.2099999999791</v>
          </cell>
          <cell r="G908">
            <v>1646.69</v>
          </cell>
        </row>
        <row r="909">
          <cell r="B909">
            <v>905</v>
          </cell>
          <cell r="C909">
            <v>1809.02</v>
          </cell>
          <cell r="D909">
            <v>2532.63</v>
          </cell>
          <cell r="F909">
            <v>1177.5099999999791</v>
          </cell>
          <cell r="G909">
            <v>1648.51</v>
          </cell>
        </row>
        <row r="910">
          <cell r="B910">
            <v>906</v>
          </cell>
          <cell r="C910">
            <v>1811.02</v>
          </cell>
          <cell r="D910">
            <v>2535.4299999999998</v>
          </cell>
          <cell r="F910">
            <v>1178.809999999979</v>
          </cell>
          <cell r="G910">
            <v>1650.33</v>
          </cell>
        </row>
        <row r="911">
          <cell r="B911">
            <v>907</v>
          </cell>
          <cell r="C911">
            <v>1813.02</v>
          </cell>
          <cell r="D911">
            <v>2538.23</v>
          </cell>
          <cell r="F911">
            <v>1180.109999999979</v>
          </cell>
          <cell r="G911">
            <v>1652.15</v>
          </cell>
        </row>
        <row r="912">
          <cell r="B912">
            <v>908</v>
          </cell>
          <cell r="C912">
            <v>1815.02</v>
          </cell>
          <cell r="D912">
            <v>2541.0300000000002</v>
          </cell>
          <cell r="F912">
            <v>1181.4099999999789</v>
          </cell>
          <cell r="G912">
            <v>1653.97</v>
          </cell>
        </row>
        <row r="913">
          <cell r="B913">
            <v>909</v>
          </cell>
          <cell r="C913">
            <v>1817.02</v>
          </cell>
          <cell r="D913">
            <v>2543.83</v>
          </cell>
          <cell r="F913">
            <v>1182.7099999999789</v>
          </cell>
          <cell r="G913">
            <v>1655.79</v>
          </cell>
        </row>
        <row r="914">
          <cell r="B914">
            <v>910</v>
          </cell>
          <cell r="C914">
            <v>1819.02</v>
          </cell>
          <cell r="D914">
            <v>2546.63</v>
          </cell>
          <cell r="F914">
            <v>1184.0099999999788</v>
          </cell>
          <cell r="G914">
            <v>1657.61</v>
          </cell>
        </row>
        <row r="915">
          <cell r="B915">
            <v>911</v>
          </cell>
          <cell r="C915">
            <v>1821.02</v>
          </cell>
          <cell r="D915">
            <v>2549.4299999999998</v>
          </cell>
          <cell r="F915">
            <v>1185.3099999999788</v>
          </cell>
          <cell r="G915">
            <v>1659.43</v>
          </cell>
        </row>
        <row r="916">
          <cell r="B916">
            <v>912</v>
          </cell>
          <cell r="C916">
            <v>1823.02</v>
          </cell>
          <cell r="D916">
            <v>2552.23</v>
          </cell>
          <cell r="F916">
            <v>1186.6099999999788</v>
          </cell>
          <cell r="G916">
            <v>1661.25</v>
          </cell>
        </row>
        <row r="917">
          <cell r="B917">
            <v>913</v>
          </cell>
          <cell r="C917">
            <v>1825.02</v>
          </cell>
          <cell r="D917">
            <v>2555.0300000000002</v>
          </cell>
          <cell r="F917">
            <v>1187.9099999999787</v>
          </cell>
          <cell r="G917">
            <v>1663.07</v>
          </cell>
        </row>
        <row r="918">
          <cell r="B918">
            <v>914</v>
          </cell>
          <cell r="C918">
            <v>1827.02</v>
          </cell>
          <cell r="D918">
            <v>2557.83</v>
          </cell>
          <cell r="F918">
            <v>1189.2099999999787</v>
          </cell>
          <cell r="G918">
            <v>1664.89</v>
          </cell>
        </row>
        <row r="919">
          <cell r="B919">
            <v>915</v>
          </cell>
          <cell r="C919">
            <v>1829.02</v>
          </cell>
          <cell r="D919">
            <v>2560.63</v>
          </cell>
          <cell r="F919">
            <v>1190.5099999999786</v>
          </cell>
          <cell r="G919">
            <v>1666.71</v>
          </cell>
        </row>
        <row r="920">
          <cell r="B920">
            <v>916</v>
          </cell>
          <cell r="C920">
            <v>1831.02</v>
          </cell>
          <cell r="D920">
            <v>2563.4299999999998</v>
          </cell>
          <cell r="F920">
            <v>1191.8099999999786</v>
          </cell>
          <cell r="G920">
            <v>1668.53</v>
          </cell>
        </row>
        <row r="921">
          <cell r="B921">
            <v>917</v>
          </cell>
          <cell r="C921">
            <v>1833.02</v>
          </cell>
          <cell r="D921">
            <v>2566.23</v>
          </cell>
          <cell r="F921">
            <v>1193.1099999999785</v>
          </cell>
          <cell r="G921">
            <v>1670.35</v>
          </cell>
        </row>
        <row r="922">
          <cell r="B922">
            <v>918</v>
          </cell>
          <cell r="C922">
            <v>1835.02</v>
          </cell>
          <cell r="D922">
            <v>2569.0300000000002</v>
          </cell>
          <cell r="F922">
            <v>1194.4099999999785</v>
          </cell>
          <cell r="G922">
            <v>1672.17</v>
          </cell>
        </row>
        <row r="923">
          <cell r="B923">
            <v>919</v>
          </cell>
          <cell r="C923">
            <v>1837.02</v>
          </cell>
          <cell r="D923">
            <v>2571.83</v>
          </cell>
          <cell r="F923">
            <v>1195.7099999999784</v>
          </cell>
          <cell r="G923">
            <v>1673.99</v>
          </cell>
        </row>
        <row r="924">
          <cell r="B924">
            <v>920</v>
          </cell>
          <cell r="C924">
            <v>1839.02</v>
          </cell>
          <cell r="D924">
            <v>2574.63</v>
          </cell>
          <cell r="F924">
            <v>1197.0099999999784</v>
          </cell>
          <cell r="G924">
            <v>1675.81</v>
          </cell>
        </row>
        <row r="925">
          <cell r="B925">
            <v>921</v>
          </cell>
          <cell r="C925">
            <v>1841.02</v>
          </cell>
          <cell r="D925">
            <v>2577.4299999999998</v>
          </cell>
          <cell r="F925">
            <v>1198.3099999999783</v>
          </cell>
          <cell r="G925">
            <v>1677.63</v>
          </cell>
        </row>
        <row r="926">
          <cell r="B926">
            <v>922</v>
          </cell>
          <cell r="C926">
            <v>1843.02</v>
          </cell>
          <cell r="D926">
            <v>2580.23</v>
          </cell>
          <cell r="F926">
            <v>1199.6099999999783</v>
          </cell>
          <cell r="G926">
            <v>1679.45</v>
          </cell>
        </row>
        <row r="927">
          <cell r="B927">
            <v>923</v>
          </cell>
          <cell r="C927">
            <v>1845.02</v>
          </cell>
          <cell r="D927">
            <v>2583.0300000000002</v>
          </cell>
          <cell r="F927">
            <v>1200.9099999999783</v>
          </cell>
          <cell r="G927">
            <v>1681.27</v>
          </cell>
        </row>
        <row r="928">
          <cell r="B928">
            <v>924</v>
          </cell>
          <cell r="C928">
            <v>1847.02</v>
          </cell>
          <cell r="D928">
            <v>2585.83</v>
          </cell>
          <cell r="F928">
            <v>1202.2099999999782</v>
          </cell>
          <cell r="G928">
            <v>1683.09</v>
          </cell>
        </row>
        <row r="929">
          <cell r="B929">
            <v>925</v>
          </cell>
          <cell r="C929">
            <v>1849.02</v>
          </cell>
          <cell r="D929">
            <v>2588.63</v>
          </cell>
          <cell r="F929">
            <v>1203.5099999999782</v>
          </cell>
          <cell r="G929">
            <v>1684.91</v>
          </cell>
        </row>
        <row r="930">
          <cell r="B930">
            <v>926</v>
          </cell>
          <cell r="C930">
            <v>1851.02</v>
          </cell>
          <cell r="D930">
            <v>2591.4299999999998</v>
          </cell>
          <cell r="F930">
            <v>1204.8099999999781</v>
          </cell>
          <cell r="G930">
            <v>1686.73</v>
          </cell>
        </row>
        <row r="931">
          <cell r="B931">
            <v>927</v>
          </cell>
          <cell r="C931">
            <v>1853.02</v>
          </cell>
          <cell r="D931">
            <v>2594.23</v>
          </cell>
          <cell r="F931">
            <v>1206.1099999999781</v>
          </cell>
          <cell r="G931">
            <v>1688.55</v>
          </cell>
        </row>
        <row r="932">
          <cell r="B932">
            <v>928</v>
          </cell>
          <cell r="C932">
            <v>1855.02</v>
          </cell>
          <cell r="D932">
            <v>2597.0300000000002</v>
          </cell>
          <cell r="F932">
            <v>1207.409999999978</v>
          </cell>
          <cell r="G932">
            <v>1690.37</v>
          </cell>
        </row>
        <row r="933">
          <cell r="B933">
            <v>929</v>
          </cell>
          <cell r="C933">
            <v>1857.02</v>
          </cell>
          <cell r="D933">
            <v>2599.83</v>
          </cell>
          <cell r="F933">
            <v>1208.709999999978</v>
          </cell>
          <cell r="G933">
            <v>1692.19</v>
          </cell>
        </row>
        <row r="934">
          <cell r="B934">
            <v>930</v>
          </cell>
          <cell r="C934">
            <v>1859.02</v>
          </cell>
          <cell r="D934">
            <v>2602.63</v>
          </cell>
          <cell r="F934">
            <v>1210.0099999999779</v>
          </cell>
          <cell r="G934">
            <v>1694.01</v>
          </cell>
        </row>
        <row r="935">
          <cell r="B935">
            <v>931</v>
          </cell>
          <cell r="C935">
            <v>1861.02</v>
          </cell>
          <cell r="D935">
            <v>2605.4299999999998</v>
          </cell>
          <cell r="F935">
            <v>1211.3099999999779</v>
          </cell>
          <cell r="G935">
            <v>1695.83</v>
          </cell>
        </row>
        <row r="936">
          <cell r="B936">
            <v>932</v>
          </cell>
          <cell r="C936">
            <v>1863.02</v>
          </cell>
          <cell r="D936">
            <v>2608.23</v>
          </cell>
          <cell r="F936">
            <v>1212.6099999999778</v>
          </cell>
          <cell r="G936">
            <v>1697.65</v>
          </cell>
        </row>
        <row r="937">
          <cell r="B937">
            <v>933</v>
          </cell>
          <cell r="C937">
            <v>1865.02</v>
          </cell>
          <cell r="D937">
            <v>2611.0300000000002</v>
          </cell>
          <cell r="F937">
            <v>1213.9099999999778</v>
          </cell>
          <cell r="G937">
            <v>1699.47</v>
          </cell>
        </row>
        <row r="938">
          <cell r="B938">
            <v>934</v>
          </cell>
          <cell r="C938">
            <v>1867.02</v>
          </cell>
          <cell r="D938">
            <v>2613.83</v>
          </cell>
          <cell r="F938">
            <v>1215.2099999999778</v>
          </cell>
          <cell r="G938">
            <v>1701.29</v>
          </cell>
        </row>
        <row r="939">
          <cell r="B939">
            <v>935</v>
          </cell>
          <cell r="C939">
            <v>1869.02</v>
          </cell>
          <cell r="D939">
            <v>2616.63</v>
          </cell>
          <cell r="F939">
            <v>1216.5099999999777</v>
          </cell>
          <cell r="G939">
            <v>1703.11</v>
          </cell>
        </row>
        <row r="940">
          <cell r="B940">
            <v>936</v>
          </cell>
          <cell r="C940">
            <v>1871.02</v>
          </cell>
          <cell r="D940">
            <v>2619.4299999999998</v>
          </cell>
          <cell r="F940">
            <v>1217.8099999999777</v>
          </cell>
          <cell r="G940">
            <v>1704.93</v>
          </cell>
        </row>
        <row r="941">
          <cell r="B941">
            <v>937</v>
          </cell>
          <cell r="C941">
            <v>1873.02</v>
          </cell>
          <cell r="D941">
            <v>2622.23</v>
          </cell>
          <cell r="F941">
            <v>1219.1099999999776</v>
          </cell>
          <cell r="G941">
            <v>1706.75</v>
          </cell>
        </row>
        <row r="942">
          <cell r="B942">
            <v>938</v>
          </cell>
          <cell r="C942">
            <v>1875.02</v>
          </cell>
          <cell r="D942">
            <v>2625.03</v>
          </cell>
          <cell r="F942">
            <v>1220.4099999999776</v>
          </cell>
          <cell r="G942">
            <v>1708.57</v>
          </cell>
        </row>
        <row r="943">
          <cell r="B943">
            <v>939</v>
          </cell>
          <cell r="C943">
            <v>1877.02</v>
          </cell>
          <cell r="D943">
            <v>2627.83</v>
          </cell>
          <cell r="F943">
            <v>1221.7099999999775</v>
          </cell>
          <cell r="G943">
            <v>1710.39</v>
          </cell>
        </row>
        <row r="944">
          <cell r="B944">
            <v>940</v>
          </cell>
          <cell r="C944">
            <v>1879.02</v>
          </cell>
          <cell r="D944">
            <v>2630.63</v>
          </cell>
          <cell r="F944">
            <v>1223.0099999999775</v>
          </cell>
          <cell r="G944">
            <v>1712.21</v>
          </cell>
        </row>
        <row r="945">
          <cell r="B945">
            <v>941</v>
          </cell>
          <cell r="C945">
            <v>1881.02</v>
          </cell>
          <cell r="D945">
            <v>2633.43</v>
          </cell>
          <cell r="F945">
            <v>1224.3099999999774</v>
          </cell>
          <cell r="G945">
            <v>1714.03</v>
          </cell>
        </row>
        <row r="946">
          <cell r="B946">
            <v>942</v>
          </cell>
          <cell r="C946">
            <v>1883.02</v>
          </cell>
          <cell r="D946">
            <v>2636.23</v>
          </cell>
          <cell r="F946">
            <v>1225.6099999999774</v>
          </cell>
          <cell r="G946">
            <v>1715.85</v>
          </cell>
        </row>
        <row r="947">
          <cell r="B947">
            <v>943</v>
          </cell>
          <cell r="C947">
            <v>1885.02</v>
          </cell>
          <cell r="D947">
            <v>2639.03</v>
          </cell>
          <cell r="F947">
            <v>1226.9099999999773</v>
          </cell>
          <cell r="G947">
            <v>1717.67</v>
          </cell>
        </row>
        <row r="948">
          <cell r="B948">
            <v>944</v>
          </cell>
          <cell r="C948">
            <v>1887.02</v>
          </cell>
          <cell r="D948">
            <v>2641.83</v>
          </cell>
          <cell r="F948">
            <v>1228.2099999999773</v>
          </cell>
          <cell r="G948">
            <v>1719.49</v>
          </cell>
        </row>
        <row r="949">
          <cell r="B949">
            <v>945</v>
          </cell>
          <cell r="C949">
            <v>1889.02</v>
          </cell>
          <cell r="D949">
            <v>2644.63</v>
          </cell>
          <cell r="F949">
            <v>1229.5099999999773</v>
          </cell>
          <cell r="G949">
            <v>1721.31</v>
          </cell>
        </row>
        <row r="950">
          <cell r="B950">
            <v>946</v>
          </cell>
          <cell r="C950">
            <v>1891.02</v>
          </cell>
          <cell r="D950">
            <v>2647.43</v>
          </cell>
          <cell r="F950">
            <v>1230.8099999999772</v>
          </cell>
          <cell r="G950">
            <v>1723.13</v>
          </cell>
        </row>
        <row r="951">
          <cell r="B951">
            <v>947</v>
          </cell>
          <cell r="C951">
            <v>1893.02</v>
          </cell>
          <cell r="D951">
            <v>2650.23</v>
          </cell>
          <cell r="F951">
            <v>1232.1099999999772</v>
          </cell>
          <cell r="G951">
            <v>1724.95</v>
          </cell>
        </row>
        <row r="952">
          <cell r="B952">
            <v>948</v>
          </cell>
          <cell r="C952">
            <v>1895.02</v>
          </cell>
          <cell r="D952">
            <v>2653.03</v>
          </cell>
          <cell r="F952">
            <v>1233.4099999999771</v>
          </cell>
          <cell r="G952">
            <v>1726.77</v>
          </cell>
        </row>
        <row r="953">
          <cell r="B953">
            <v>949</v>
          </cell>
          <cell r="C953">
            <v>1897.02</v>
          </cell>
          <cell r="D953">
            <v>2655.83</v>
          </cell>
          <cell r="F953">
            <v>1234.7099999999771</v>
          </cell>
          <cell r="G953">
            <v>1728.59</v>
          </cell>
        </row>
        <row r="954">
          <cell r="B954">
            <v>950</v>
          </cell>
          <cell r="C954">
            <v>1899.02</v>
          </cell>
          <cell r="D954">
            <v>2658.63</v>
          </cell>
          <cell r="F954">
            <v>1236.009999999977</v>
          </cell>
          <cell r="G954">
            <v>1730.41</v>
          </cell>
        </row>
        <row r="955">
          <cell r="B955">
            <v>951</v>
          </cell>
          <cell r="C955">
            <v>1901.02</v>
          </cell>
          <cell r="D955">
            <v>2661.43</v>
          </cell>
          <cell r="F955">
            <v>1237.309999999977</v>
          </cell>
          <cell r="G955">
            <v>1732.23</v>
          </cell>
        </row>
        <row r="956">
          <cell r="B956">
            <v>952</v>
          </cell>
          <cell r="C956">
            <v>1903.02</v>
          </cell>
          <cell r="D956">
            <v>2664.23</v>
          </cell>
          <cell r="F956">
            <v>1238.6099999999769</v>
          </cell>
          <cell r="G956">
            <v>1734.05</v>
          </cell>
        </row>
        <row r="957">
          <cell r="B957">
            <v>953</v>
          </cell>
          <cell r="C957">
            <v>1905.02</v>
          </cell>
          <cell r="D957">
            <v>2667.03</v>
          </cell>
          <cell r="F957">
            <v>1239.9099999999769</v>
          </cell>
          <cell r="G957">
            <v>1735.87</v>
          </cell>
        </row>
        <row r="958">
          <cell r="B958">
            <v>954</v>
          </cell>
          <cell r="C958">
            <v>1907.02</v>
          </cell>
          <cell r="D958">
            <v>2669.83</v>
          </cell>
          <cell r="F958">
            <v>1241.2099999999768</v>
          </cell>
          <cell r="G958">
            <v>1737.69</v>
          </cell>
        </row>
        <row r="959">
          <cell r="B959">
            <v>955</v>
          </cell>
          <cell r="C959">
            <v>1909.02</v>
          </cell>
          <cell r="D959">
            <v>2672.63</v>
          </cell>
          <cell r="F959">
            <v>1242.5099999999768</v>
          </cell>
          <cell r="G959">
            <v>1739.51</v>
          </cell>
        </row>
        <row r="960">
          <cell r="B960">
            <v>956</v>
          </cell>
          <cell r="C960">
            <v>1911.02</v>
          </cell>
          <cell r="D960">
            <v>2675.43</v>
          </cell>
          <cell r="F960">
            <v>1243.8099999999768</v>
          </cell>
          <cell r="G960">
            <v>1741.33</v>
          </cell>
        </row>
        <row r="961">
          <cell r="B961">
            <v>957</v>
          </cell>
          <cell r="C961">
            <v>1913.02</v>
          </cell>
          <cell r="D961">
            <v>2678.23</v>
          </cell>
          <cell r="F961">
            <v>1245.1099999999767</v>
          </cell>
          <cell r="G961">
            <v>1743.15</v>
          </cell>
        </row>
        <row r="962">
          <cell r="B962">
            <v>958</v>
          </cell>
          <cell r="C962">
            <v>1915.02</v>
          </cell>
          <cell r="D962">
            <v>2681.03</v>
          </cell>
          <cell r="F962">
            <v>1246.4099999999767</v>
          </cell>
          <cell r="G962">
            <v>1744.97</v>
          </cell>
        </row>
        <row r="963">
          <cell r="B963">
            <v>959</v>
          </cell>
          <cell r="C963">
            <v>1917.02</v>
          </cell>
          <cell r="D963">
            <v>2683.83</v>
          </cell>
          <cell r="F963">
            <v>1247.7099999999766</v>
          </cell>
          <cell r="G963">
            <v>1746.79</v>
          </cell>
        </row>
        <row r="964">
          <cell r="B964">
            <v>960</v>
          </cell>
          <cell r="C964">
            <v>1919.02</v>
          </cell>
          <cell r="D964">
            <v>2686.63</v>
          </cell>
          <cell r="F964">
            <v>1249.0099999999766</v>
          </cell>
          <cell r="G964">
            <v>1748.61</v>
          </cell>
        </row>
        <row r="965">
          <cell r="B965">
            <v>961</v>
          </cell>
          <cell r="C965">
            <v>1921.02</v>
          </cell>
          <cell r="D965">
            <v>2689.43</v>
          </cell>
          <cell r="F965">
            <v>1250.3099999999765</v>
          </cell>
          <cell r="G965">
            <v>1750.43</v>
          </cell>
        </row>
        <row r="966">
          <cell r="B966">
            <v>962</v>
          </cell>
          <cell r="C966">
            <v>1923.02</v>
          </cell>
          <cell r="D966">
            <v>2692.23</v>
          </cell>
          <cell r="F966">
            <v>1251.6099999999765</v>
          </cell>
          <cell r="G966">
            <v>1752.25</v>
          </cell>
        </row>
        <row r="967">
          <cell r="B967">
            <v>963</v>
          </cell>
          <cell r="C967">
            <v>1925.02</v>
          </cell>
          <cell r="D967">
            <v>2695.03</v>
          </cell>
          <cell r="F967">
            <v>1252.9099999999764</v>
          </cell>
          <cell r="G967">
            <v>1754.07</v>
          </cell>
        </row>
        <row r="968">
          <cell r="B968">
            <v>964</v>
          </cell>
          <cell r="C968">
            <v>1927.02</v>
          </cell>
          <cell r="D968">
            <v>2697.83</v>
          </cell>
          <cell r="F968">
            <v>1254.2099999999764</v>
          </cell>
          <cell r="G968">
            <v>1755.89</v>
          </cell>
        </row>
        <row r="969">
          <cell r="B969">
            <v>965</v>
          </cell>
          <cell r="C969">
            <v>1929.02</v>
          </cell>
          <cell r="D969">
            <v>2700.63</v>
          </cell>
          <cell r="F969">
            <v>1255.5099999999763</v>
          </cell>
          <cell r="G969">
            <v>1757.71</v>
          </cell>
        </row>
        <row r="970">
          <cell r="B970">
            <v>966</v>
          </cell>
          <cell r="C970">
            <v>1931.02</v>
          </cell>
          <cell r="D970">
            <v>2703.43</v>
          </cell>
          <cell r="F970">
            <v>1256.8099999999763</v>
          </cell>
          <cell r="G970">
            <v>1759.53</v>
          </cell>
        </row>
        <row r="971">
          <cell r="B971">
            <v>967</v>
          </cell>
          <cell r="C971">
            <v>1933.02</v>
          </cell>
          <cell r="D971">
            <v>2706.23</v>
          </cell>
          <cell r="F971">
            <v>1258.1099999999763</v>
          </cell>
          <cell r="G971">
            <v>1761.35</v>
          </cell>
        </row>
        <row r="972">
          <cell r="B972">
            <v>968</v>
          </cell>
          <cell r="C972">
            <v>1935.02</v>
          </cell>
          <cell r="D972">
            <v>2709.03</v>
          </cell>
          <cell r="F972">
            <v>1259.4099999999762</v>
          </cell>
          <cell r="G972">
            <v>1763.17</v>
          </cell>
        </row>
        <row r="973">
          <cell r="B973">
            <v>969</v>
          </cell>
          <cell r="C973">
            <v>1937.02</v>
          </cell>
          <cell r="D973">
            <v>2711.83</v>
          </cell>
          <cell r="F973">
            <v>1260.7099999999762</v>
          </cell>
          <cell r="G973">
            <v>1764.99</v>
          </cell>
        </row>
        <row r="974">
          <cell r="B974">
            <v>970</v>
          </cell>
          <cell r="C974">
            <v>1939.02</v>
          </cell>
          <cell r="D974">
            <v>2714.63</v>
          </cell>
          <cell r="F974">
            <v>1262.0099999999761</v>
          </cell>
          <cell r="G974">
            <v>1766.81</v>
          </cell>
        </row>
        <row r="975">
          <cell r="B975">
            <v>971</v>
          </cell>
          <cell r="C975">
            <v>1941.02</v>
          </cell>
          <cell r="D975">
            <v>2717.43</v>
          </cell>
          <cell r="F975">
            <v>1263.3099999999761</v>
          </cell>
          <cell r="G975">
            <v>1768.63</v>
          </cell>
        </row>
        <row r="976">
          <cell r="B976">
            <v>972</v>
          </cell>
          <cell r="C976">
            <v>1943.02</v>
          </cell>
          <cell r="D976">
            <v>2720.23</v>
          </cell>
          <cell r="F976">
            <v>1264.609999999976</v>
          </cell>
          <cell r="G976">
            <v>1770.45</v>
          </cell>
        </row>
        <row r="977">
          <cell r="B977">
            <v>973</v>
          </cell>
          <cell r="C977">
            <v>1945.02</v>
          </cell>
          <cell r="D977">
            <v>2723.03</v>
          </cell>
          <cell r="F977">
            <v>1265.909999999976</v>
          </cell>
          <cell r="G977">
            <v>1772.27</v>
          </cell>
        </row>
        <row r="978">
          <cell r="B978">
            <v>974</v>
          </cell>
          <cell r="C978">
            <v>1947.02</v>
          </cell>
          <cell r="D978">
            <v>2725.83</v>
          </cell>
          <cell r="F978">
            <v>1267.2099999999759</v>
          </cell>
          <cell r="G978">
            <v>1774.09</v>
          </cell>
        </row>
        <row r="979">
          <cell r="B979">
            <v>975</v>
          </cell>
          <cell r="C979">
            <v>1949.02</v>
          </cell>
          <cell r="D979">
            <v>2728.63</v>
          </cell>
          <cell r="F979">
            <v>1268.5099999999759</v>
          </cell>
          <cell r="G979">
            <v>1775.91</v>
          </cell>
        </row>
        <row r="980">
          <cell r="B980">
            <v>976</v>
          </cell>
          <cell r="C980">
            <v>1951.02</v>
          </cell>
          <cell r="D980">
            <v>2731.43</v>
          </cell>
          <cell r="F980">
            <v>1269.8099999999758</v>
          </cell>
          <cell r="G980">
            <v>1777.73</v>
          </cell>
        </row>
        <row r="981">
          <cell r="B981">
            <v>977</v>
          </cell>
          <cell r="C981">
            <v>1953.02</v>
          </cell>
          <cell r="D981">
            <v>2734.23</v>
          </cell>
          <cell r="F981">
            <v>1271.1099999999758</v>
          </cell>
          <cell r="G981">
            <v>1779.55</v>
          </cell>
        </row>
        <row r="982">
          <cell r="B982">
            <v>978</v>
          </cell>
          <cell r="C982">
            <v>1955.02</v>
          </cell>
          <cell r="D982">
            <v>2737.03</v>
          </cell>
          <cell r="F982">
            <v>1272.4099999999758</v>
          </cell>
          <cell r="G982">
            <v>1781.37</v>
          </cell>
        </row>
        <row r="983">
          <cell r="B983">
            <v>979</v>
          </cell>
          <cell r="C983">
            <v>1957.02</v>
          </cell>
          <cell r="D983">
            <v>2739.83</v>
          </cell>
          <cell r="F983">
            <v>1273.7099999999757</v>
          </cell>
          <cell r="G983">
            <v>1783.19</v>
          </cell>
        </row>
        <row r="984">
          <cell r="B984">
            <v>980</v>
          </cell>
          <cell r="C984">
            <v>1959.02</v>
          </cell>
          <cell r="D984">
            <v>2742.63</v>
          </cell>
          <cell r="F984">
            <v>1275.0099999999757</v>
          </cell>
          <cell r="G984">
            <v>1785.01</v>
          </cell>
        </row>
        <row r="985">
          <cell r="B985">
            <v>981</v>
          </cell>
          <cell r="C985">
            <v>1961.02</v>
          </cell>
          <cell r="D985">
            <v>2745.43</v>
          </cell>
          <cell r="F985">
            <v>1276.3099999999756</v>
          </cell>
          <cell r="G985">
            <v>1786.83</v>
          </cell>
        </row>
        <row r="986">
          <cell r="B986">
            <v>982</v>
          </cell>
          <cell r="C986">
            <v>1963.02</v>
          </cell>
          <cell r="D986">
            <v>2748.23</v>
          </cell>
          <cell r="F986">
            <v>1277.6099999999756</v>
          </cell>
          <cell r="G986">
            <v>1788.65</v>
          </cell>
        </row>
        <row r="987">
          <cell r="B987">
            <v>983</v>
          </cell>
          <cell r="C987">
            <v>1965.02</v>
          </cell>
          <cell r="D987">
            <v>2751.03</v>
          </cell>
          <cell r="F987">
            <v>1278.9099999999755</v>
          </cell>
          <cell r="G987">
            <v>1790.47</v>
          </cell>
        </row>
        <row r="988">
          <cell r="B988">
            <v>984</v>
          </cell>
          <cell r="C988">
            <v>1967.02</v>
          </cell>
          <cell r="D988">
            <v>2753.83</v>
          </cell>
          <cell r="F988">
            <v>1280.2099999999755</v>
          </cell>
          <cell r="G988">
            <v>1792.29</v>
          </cell>
        </row>
        <row r="989">
          <cell r="B989">
            <v>985</v>
          </cell>
          <cell r="C989">
            <v>1969.02</v>
          </cell>
          <cell r="D989">
            <v>2756.63</v>
          </cell>
          <cell r="F989">
            <v>1281.5099999999754</v>
          </cell>
          <cell r="G989">
            <v>1794.11</v>
          </cell>
        </row>
        <row r="990">
          <cell r="B990">
            <v>986</v>
          </cell>
          <cell r="C990">
            <v>1971.02</v>
          </cell>
          <cell r="D990">
            <v>2759.43</v>
          </cell>
          <cell r="F990">
            <v>1282.8099999999754</v>
          </cell>
          <cell r="G990">
            <v>1795.93</v>
          </cell>
        </row>
        <row r="991">
          <cell r="B991">
            <v>987</v>
          </cell>
          <cell r="C991">
            <v>1973.02</v>
          </cell>
          <cell r="D991">
            <v>2762.23</v>
          </cell>
          <cell r="F991">
            <v>1284.1099999999753</v>
          </cell>
          <cell r="G991">
            <v>1797.75</v>
          </cell>
        </row>
        <row r="992">
          <cell r="B992">
            <v>988</v>
          </cell>
          <cell r="C992">
            <v>1975.02</v>
          </cell>
          <cell r="D992">
            <v>2765.03</v>
          </cell>
          <cell r="F992">
            <v>1285.4099999999753</v>
          </cell>
          <cell r="G992">
            <v>1799.57</v>
          </cell>
        </row>
        <row r="993">
          <cell r="B993">
            <v>989</v>
          </cell>
          <cell r="C993">
            <v>1977.02</v>
          </cell>
          <cell r="D993">
            <v>2767.83</v>
          </cell>
          <cell r="F993">
            <v>1286.7099999999753</v>
          </cell>
          <cell r="G993">
            <v>1801.39</v>
          </cell>
        </row>
        <row r="994">
          <cell r="B994">
            <v>990</v>
          </cell>
          <cell r="C994">
            <v>1979.02</v>
          </cell>
          <cell r="D994">
            <v>2770.63</v>
          </cell>
          <cell r="F994">
            <v>1288.0099999999752</v>
          </cell>
          <cell r="G994">
            <v>1803.21</v>
          </cell>
        </row>
        <row r="995">
          <cell r="B995">
            <v>991</v>
          </cell>
          <cell r="C995">
            <v>1981.02</v>
          </cell>
          <cell r="D995">
            <v>2773.43</v>
          </cell>
          <cell r="F995">
            <v>1289.3099999999752</v>
          </cell>
          <cell r="G995">
            <v>1805.03</v>
          </cell>
        </row>
        <row r="996">
          <cell r="B996">
            <v>992</v>
          </cell>
          <cell r="C996">
            <v>1983.02</v>
          </cell>
          <cell r="D996">
            <v>2776.23</v>
          </cell>
          <cell r="F996">
            <v>1290.6099999999751</v>
          </cell>
          <cell r="G996">
            <v>1806.85</v>
          </cell>
        </row>
        <row r="997">
          <cell r="B997">
            <v>993</v>
          </cell>
          <cell r="C997">
            <v>1985.02</v>
          </cell>
          <cell r="D997">
            <v>2779.03</v>
          </cell>
          <cell r="F997">
            <v>1291.9099999999751</v>
          </cell>
          <cell r="G997">
            <v>1808.67</v>
          </cell>
        </row>
        <row r="998">
          <cell r="B998">
            <v>994</v>
          </cell>
          <cell r="C998">
            <v>1987.02</v>
          </cell>
          <cell r="D998">
            <v>2781.83</v>
          </cell>
          <cell r="F998">
            <v>1293.209999999975</v>
          </cell>
          <cell r="G998">
            <v>1810.49</v>
          </cell>
        </row>
        <row r="999">
          <cell r="B999">
            <v>995</v>
          </cell>
          <cell r="C999">
            <v>1989.02</v>
          </cell>
          <cell r="D999">
            <v>2784.63</v>
          </cell>
          <cell r="F999">
            <v>1294.509999999975</v>
          </cell>
          <cell r="G999">
            <v>1812.31</v>
          </cell>
        </row>
        <row r="1000">
          <cell r="B1000">
            <v>996</v>
          </cell>
          <cell r="C1000">
            <v>1991.02</v>
          </cell>
          <cell r="D1000">
            <v>2787.43</v>
          </cell>
          <cell r="F1000">
            <v>1295.8099999999749</v>
          </cell>
          <cell r="G1000">
            <v>1814.13</v>
          </cell>
        </row>
        <row r="1001">
          <cell r="B1001">
            <v>997</v>
          </cell>
          <cell r="C1001">
            <v>1993.02</v>
          </cell>
          <cell r="D1001">
            <v>2790.23</v>
          </cell>
          <cell r="F1001">
            <v>1297.1099999999749</v>
          </cell>
          <cell r="G1001">
            <v>1815.95</v>
          </cell>
        </row>
        <row r="1002">
          <cell r="B1002">
            <v>998</v>
          </cell>
          <cell r="C1002">
            <v>1995.02</v>
          </cell>
          <cell r="D1002">
            <v>2793.03</v>
          </cell>
          <cell r="F1002">
            <v>1298.4099999999748</v>
          </cell>
          <cell r="G1002">
            <v>1817.77</v>
          </cell>
        </row>
        <row r="1003">
          <cell r="B1003">
            <v>999</v>
          </cell>
          <cell r="C1003">
            <v>1997.02</v>
          </cell>
          <cell r="D1003">
            <v>2795.83</v>
          </cell>
          <cell r="F1003">
            <v>1299.7099999999748</v>
          </cell>
          <cell r="G1003">
            <v>1819.59</v>
          </cell>
        </row>
        <row r="1004">
          <cell r="B1004">
            <v>1000</v>
          </cell>
          <cell r="C1004">
            <v>1999.02</v>
          </cell>
          <cell r="D1004">
            <v>2798.63</v>
          </cell>
          <cell r="F1004">
            <v>1301.0099999999748</v>
          </cell>
          <cell r="G1004">
            <v>1821.41</v>
          </cell>
        </row>
        <row r="1006">
          <cell r="C1006" t="str">
            <v>2</v>
          </cell>
          <cell r="F1006" t="str">
            <v>1.3</v>
          </cell>
        </row>
      </sheetData>
      <sheetData sheetId="15" refreshError="1"/>
      <sheetData sheetId="16">
        <row r="1">
          <cell r="G1">
            <v>0</v>
          </cell>
        </row>
        <row r="2">
          <cell r="G2">
            <v>-6.15</v>
          </cell>
        </row>
        <row r="4">
          <cell r="D4">
            <v>0.90400000000000003</v>
          </cell>
        </row>
        <row r="5">
          <cell r="D5">
            <v>1.2</v>
          </cell>
        </row>
        <row r="130">
          <cell r="D130">
            <v>327.31034399999999</v>
          </cell>
          <cell r="F130">
            <v>37.799999999999997</v>
          </cell>
          <cell r="H130">
            <v>508.5</v>
          </cell>
          <cell r="J130">
            <v>807.0277817760001</v>
          </cell>
          <cell r="L130">
            <v>0</v>
          </cell>
        </row>
      </sheetData>
      <sheetData sheetId="17">
        <row r="53">
          <cell r="D53">
            <v>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5">
          <cell r="I5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อกข้อมูล"/>
      <sheetName val="ปร.4 box2"/>
      <sheetName val="ปร.4 box2 (3)"/>
      <sheetName val="ปร.4 box3"/>
      <sheetName val="ปร.4 box2 (2)"/>
      <sheetName val="กรอกราคาวัสดุ"/>
      <sheetName val="ค่างานต้นทุน"/>
      <sheetName val="ปร.5 road"/>
      <sheetName val="ปร.4 road"/>
      <sheetName val="งวดเงิน%"/>
      <sheetName val="สรุปงวด"/>
      <sheetName val="ปร.4 box2 (4)"/>
      <sheetName val="ปร.4 box2 (5)"/>
      <sheetName val="ปร.4 box3 (2)"/>
      <sheetName val="2-1.80X1.80"/>
      <sheetName val="แผนที่ขนส่ง1"/>
      <sheetName val="ราคาป้าย"/>
      <sheetName val="ราคากลาง"/>
      <sheetName val="บัญชี"/>
      <sheetName val="งานกำแพงปากท่อ"/>
      <sheetName val="รายระบายน้ำ-2"/>
      <sheetName val="(F Road)"/>
      <sheetName val="F(Bridge)"/>
      <sheetName val="อำนวยการ(Bridge)"/>
      <sheetName val="ดอกเบี้ย(Bridge)"/>
      <sheetName val="ดอกเบี้ย(Road)"/>
      <sheetName val="รางระบายน้ำ"/>
      <sheetName val="บ่อพัก"/>
      <sheetName val="ขนาด ท่อ"/>
      <sheetName val="Oil(แก้ไขล่าสุด6 มิย60)"/>
      <sheetName val="ค่าเสื่อมราคา(แก้ไขล่าสุ 6มิย60"/>
      <sheetName val="บัญชี (2)"/>
      <sheetName val="1.ป้ายจราจร "/>
      <sheetName val="2.สำนักงาน"/>
      <sheetName val="3.ค่าเช่ารถ"/>
      <sheetName val="4.ส่วนร่วม"/>
      <sheetName val="อำนวยการ(Road)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208">
          <cell r="I208">
            <v>1</v>
          </cell>
        </row>
        <row r="210">
          <cell r="I210">
            <v>11.14</v>
          </cell>
        </row>
        <row r="211">
          <cell r="I211">
            <v>11.14</v>
          </cell>
        </row>
        <row r="295">
          <cell r="I295">
            <v>1555.66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1</v>
          </cell>
          <cell r="C5" t="str">
            <v>7.96</v>
          </cell>
          <cell r="D5">
            <v>11.14</v>
          </cell>
          <cell r="F5" t="str">
            <v>4.37</v>
          </cell>
          <cell r="G5">
            <v>6.12</v>
          </cell>
        </row>
        <row r="6">
          <cell r="B6">
            <v>2</v>
          </cell>
          <cell r="C6" t="str">
            <v>9.61</v>
          </cell>
          <cell r="D6">
            <v>13.45</v>
          </cell>
          <cell r="F6" t="str">
            <v>5.63</v>
          </cell>
          <cell r="G6">
            <v>7.88</v>
          </cell>
        </row>
        <row r="7">
          <cell r="B7">
            <v>3</v>
          </cell>
          <cell r="C7" t="str">
            <v>11.26</v>
          </cell>
          <cell r="D7">
            <v>15.76</v>
          </cell>
          <cell r="F7" t="str">
            <v>6.89</v>
          </cell>
          <cell r="G7">
            <v>9.65</v>
          </cell>
        </row>
        <row r="8">
          <cell r="B8">
            <v>4</v>
          </cell>
          <cell r="C8" t="str">
            <v>12.91</v>
          </cell>
          <cell r="D8">
            <v>18.07</v>
          </cell>
          <cell r="F8" t="str">
            <v>8.14</v>
          </cell>
          <cell r="G8">
            <v>11.4</v>
          </cell>
        </row>
        <row r="9">
          <cell r="B9">
            <v>5</v>
          </cell>
          <cell r="C9" t="str">
            <v>14.56</v>
          </cell>
          <cell r="D9">
            <v>20.38</v>
          </cell>
          <cell r="F9" t="str">
            <v>9.4</v>
          </cell>
          <cell r="G9">
            <v>13.16</v>
          </cell>
        </row>
        <row r="10">
          <cell r="B10">
            <v>6</v>
          </cell>
          <cell r="C10" t="str">
            <v>16.21</v>
          </cell>
          <cell r="D10">
            <v>22.69</v>
          </cell>
          <cell r="F10" t="str">
            <v>10.66</v>
          </cell>
          <cell r="G10">
            <v>14.92</v>
          </cell>
        </row>
        <row r="11">
          <cell r="B11">
            <v>7</v>
          </cell>
          <cell r="C11" t="str">
            <v>17.86</v>
          </cell>
          <cell r="D11">
            <v>25</v>
          </cell>
          <cell r="F11" t="str">
            <v>11.91</v>
          </cell>
          <cell r="G11">
            <v>16.670000000000002</v>
          </cell>
        </row>
        <row r="12">
          <cell r="B12">
            <v>8</v>
          </cell>
          <cell r="C12" t="str">
            <v>19.75</v>
          </cell>
          <cell r="D12">
            <v>27.65</v>
          </cell>
          <cell r="F12" t="str">
            <v>13.17</v>
          </cell>
          <cell r="G12">
            <v>18.440000000000001</v>
          </cell>
        </row>
        <row r="13">
          <cell r="B13">
            <v>9</v>
          </cell>
          <cell r="C13" t="str">
            <v>22.07</v>
          </cell>
          <cell r="D13">
            <v>30.9</v>
          </cell>
          <cell r="F13" t="str">
            <v>14.43</v>
          </cell>
          <cell r="G13">
            <v>20.2</v>
          </cell>
        </row>
        <row r="14">
          <cell r="B14">
            <v>10</v>
          </cell>
          <cell r="C14" t="str">
            <v>24.38</v>
          </cell>
          <cell r="D14">
            <v>34.130000000000003</v>
          </cell>
          <cell r="F14" t="str">
            <v>15.68</v>
          </cell>
          <cell r="G14">
            <v>21.95</v>
          </cell>
        </row>
        <row r="15">
          <cell r="B15">
            <v>11</v>
          </cell>
          <cell r="C15" t="str">
            <v>26.69</v>
          </cell>
          <cell r="D15">
            <v>37.369999999999997</v>
          </cell>
          <cell r="F15" t="str">
            <v>16.94</v>
          </cell>
          <cell r="G15">
            <v>23.72</v>
          </cell>
        </row>
        <row r="16">
          <cell r="B16">
            <v>12</v>
          </cell>
          <cell r="C16" t="str">
            <v>29</v>
          </cell>
          <cell r="D16">
            <v>40.6</v>
          </cell>
          <cell r="F16" t="str">
            <v>18.19</v>
          </cell>
          <cell r="G16">
            <v>25.47</v>
          </cell>
        </row>
        <row r="17">
          <cell r="B17">
            <v>13</v>
          </cell>
          <cell r="C17" t="str">
            <v>31.31</v>
          </cell>
          <cell r="D17">
            <v>43.83</v>
          </cell>
          <cell r="F17" t="str">
            <v>19.45</v>
          </cell>
          <cell r="G17">
            <v>27.23</v>
          </cell>
        </row>
        <row r="18">
          <cell r="B18">
            <v>14</v>
          </cell>
          <cell r="C18" t="str">
            <v>33.62</v>
          </cell>
          <cell r="D18">
            <v>47.07</v>
          </cell>
          <cell r="F18" t="str">
            <v>20.71</v>
          </cell>
          <cell r="G18">
            <v>28.99</v>
          </cell>
        </row>
        <row r="19">
          <cell r="B19">
            <v>15</v>
          </cell>
          <cell r="C19" t="str">
            <v>35.93</v>
          </cell>
          <cell r="D19">
            <v>50.3</v>
          </cell>
          <cell r="F19" t="str">
            <v>22.02</v>
          </cell>
          <cell r="G19">
            <v>30.83</v>
          </cell>
        </row>
        <row r="20">
          <cell r="B20">
            <v>16</v>
          </cell>
          <cell r="C20" t="str">
            <v>38.25</v>
          </cell>
          <cell r="D20">
            <v>53.55</v>
          </cell>
          <cell r="F20" t="str">
            <v>23.45</v>
          </cell>
          <cell r="G20">
            <v>32.83</v>
          </cell>
        </row>
        <row r="21">
          <cell r="B21">
            <v>17</v>
          </cell>
          <cell r="C21" t="str">
            <v>40.56</v>
          </cell>
          <cell r="D21">
            <v>56.78</v>
          </cell>
          <cell r="F21" t="str">
            <v>24.87</v>
          </cell>
          <cell r="G21">
            <v>34.82</v>
          </cell>
        </row>
        <row r="22">
          <cell r="B22">
            <v>18</v>
          </cell>
          <cell r="C22" t="str">
            <v>42.87</v>
          </cell>
          <cell r="D22">
            <v>60.02</v>
          </cell>
          <cell r="F22" t="str">
            <v>26.3</v>
          </cell>
          <cell r="G22">
            <v>36.82</v>
          </cell>
        </row>
        <row r="23">
          <cell r="B23">
            <v>19</v>
          </cell>
          <cell r="C23" t="str">
            <v>45.18</v>
          </cell>
          <cell r="D23">
            <v>63.25</v>
          </cell>
          <cell r="F23" t="str">
            <v>27.73</v>
          </cell>
          <cell r="G23">
            <v>38.82</v>
          </cell>
        </row>
        <row r="24">
          <cell r="B24">
            <v>20</v>
          </cell>
          <cell r="C24" t="str">
            <v>47.5</v>
          </cell>
          <cell r="D24">
            <v>66.5</v>
          </cell>
          <cell r="F24" t="str">
            <v>29.15</v>
          </cell>
          <cell r="G24">
            <v>40.81</v>
          </cell>
        </row>
        <row r="25">
          <cell r="B25">
            <v>21</v>
          </cell>
          <cell r="C25" t="str">
            <v>49.8</v>
          </cell>
          <cell r="D25">
            <v>69.72</v>
          </cell>
          <cell r="F25" t="str">
            <v>30.58</v>
          </cell>
          <cell r="G25">
            <v>42.81</v>
          </cell>
        </row>
        <row r="26">
          <cell r="B26">
            <v>22</v>
          </cell>
          <cell r="C26" t="str">
            <v>52.12</v>
          </cell>
          <cell r="D26">
            <v>72.97</v>
          </cell>
          <cell r="F26" t="str">
            <v>32.01</v>
          </cell>
          <cell r="G26">
            <v>44.81</v>
          </cell>
        </row>
        <row r="27">
          <cell r="B27">
            <v>23</v>
          </cell>
          <cell r="C27" t="str">
            <v>54.43</v>
          </cell>
          <cell r="D27">
            <v>76.2</v>
          </cell>
          <cell r="F27" t="str">
            <v>33.44</v>
          </cell>
          <cell r="G27">
            <v>46.82</v>
          </cell>
        </row>
        <row r="28">
          <cell r="B28">
            <v>24</v>
          </cell>
          <cell r="C28" t="str">
            <v>56.74</v>
          </cell>
          <cell r="D28">
            <v>79.44</v>
          </cell>
          <cell r="F28" t="str">
            <v>34.86</v>
          </cell>
          <cell r="G28">
            <v>48.8</v>
          </cell>
        </row>
        <row r="29">
          <cell r="B29">
            <v>25</v>
          </cell>
          <cell r="C29" t="str">
            <v>59.06</v>
          </cell>
          <cell r="D29">
            <v>82.68</v>
          </cell>
          <cell r="F29" t="str">
            <v>36.29</v>
          </cell>
          <cell r="G29">
            <v>50.81</v>
          </cell>
        </row>
        <row r="30">
          <cell r="B30">
            <v>26</v>
          </cell>
          <cell r="C30" t="str">
            <v>61.37</v>
          </cell>
          <cell r="D30">
            <v>85.92</v>
          </cell>
          <cell r="F30" t="str">
            <v>37.71</v>
          </cell>
          <cell r="G30">
            <v>52.79</v>
          </cell>
        </row>
        <row r="31">
          <cell r="B31">
            <v>27</v>
          </cell>
          <cell r="C31" t="str">
            <v>63.68</v>
          </cell>
          <cell r="D31">
            <v>89.15</v>
          </cell>
          <cell r="F31" t="str">
            <v>39.14</v>
          </cell>
          <cell r="G31">
            <v>54.8</v>
          </cell>
        </row>
        <row r="32">
          <cell r="B32">
            <v>28</v>
          </cell>
          <cell r="C32" t="str">
            <v>66</v>
          </cell>
          <cell r="D32">
            <v>92.4</v>
          </cell>
          <cell r="F32" t="str">
            <v>40.57</v>
          </cell>
          <cell r="G32">
            <v>56.8</v>
          </cell>
        </row>
        <row r="33">
          <cell r="B33">
            <v>29</v>
          </cell>
          <cell r="C33" t="str">
            <v>68.29</v>
          </cell>
          <cell r="D33">
            <v>95.61</v>
          </cell>
          <cell r="F33" t="str">
            <v>41.99</v>
          </cell>
          <cell r="G33">
            <v>58.79</v>
          </cell>
        </row>
        <row r="34">
          <cell r="B34">
            <v>30</v>
          </cell>
          <cell r="C34" t="str">
            <v>70.62</v>
          </cell>
          <cell r="D34">
            <v>98.87</v>
          </cell>
          <cell r="F34" t="str">
            <v>43.42</v>
          </cell>
          <cell r="G34">
            <v>60.79</v>
          </cell>
        </row>
        <row r="35">
          <cell r="B35">
            <v>31</v>
          </cell>
          <cell r="C35" t="str">
            <v>72.92</v>
          </cell>
          <cell r="D35">
            <v>102.09</v>
          </cell>
          <cell r="F35" t="str">
            <v>44.85</v>
          </cell>
          <cell r="G35">
            <v>62.79</v>
          </cell>
        </row>
        <row r="36">
          <cell r="B36">
            <v>32</v>
          </cell>
          <cell r="C36" t="str">
            <v>75.24</v>
          </cell>
          <cell r="D36">
            <v>105.34</v>
          </cell>
          <cell r="F36" t="str">
            <v>46.27</v>
          </cell>
          <cell r="G36">
            <v>64.78</v>
          </cell>
        </row>
        <row r="37">
          <cell r="B37">
            <v>33</v>
          </cell>
          <cell r="C37" t="str">
            <v>77.55</v>
          </cell>
          <cell r="D37">
            <v>108.57</v>
          </cell>
          <cell r="F37" t="str">
            <v>47.7</v>
          </cell>
          <cell r="G37">
            <v>66.78</v>
          </cell>
        </row>
        <row r="38">
          <cell r="B38">
            <v>34</v>
          </cell>
          <cell r="C38" t="str">
            <v>79.87</v>
          </cell>
          <cell r="D38">
            <v>111.82</v>
          </cell>
          <cell r="F38" t="str">
            <v>49.13</v>
          </cell>
          <cell r="G38">
            <v>68.78</v>
          </cell>
        </row>
        <row r="39">
          <cell r="B39">
            <v>35</v>
          </cell>
          <cell r="C39" t="str">
            <v>82.17</v>
          </cell>
          <cell r="D39">
            <v>115.04</v>
          </cell>
          <cell r="F39" t="str">
            <v>50.55</v>
          </cell>
          <cell r="G39">
            <v>70.77</v>
          </cell>
        </row>
        <row r="40">
          <cell r="B40">
            <v>36</v>
          </cell>
          <cell r="C40" t="str">
            <v>84.49</v>
          </cell>
          <cell r="D40">
            <v>118.29</v>
          </cell>
          <cell r="F40" t="str">
            <v>51.98</v>
          </cell>
          <cell r="G40">
            <v>72.77</v>
          </cell>
        </row>
        <row r="41">
          <cell r="B41">
            <v>37</v>
          </cell>
          <cell r="C41" t="str">
            <v>86.81</v>
          </cell>
          <cell r="D41">
            <v>121.53</v>
          </cell>
          <cell r="F41" t="str">
            <v>53.41</v>
          </cell>
          <cell r="G41">
            <v>74.77</v>
          </cell>
        </row>
        <row r="42">
          <cell r="B42">
            <v>38</v>
          </cell>
          <cell r="C42" t="str">
            <v>89.12</v>
          </cell>
          <cell r="D42">
            <v>124.77</v>
          </cell>
          <cell r="F42" t="str">
            <v>54.83</v>
          </cell>
          <cell r="G42">
            <v>76.760000000000005</v>
          </cell>
        </row>
        <row r="43">
          <cell r="B43">
            <v>39</v>
          </cell>
          <cell r="C43" t="str">
            <v>91.43</v>
          </cell>
          <cell r="D43">
            <v>128</v>
          </cell>
          <cell r="F43" t="str">
            <v>56.27</v>
          </cell>
          <cell r="G43">
            <v>78.78</v>
          </cell>
        </row>
        <row r="44">
          <cell r="B44">
            <v>40</v>
          </cell>
          <cell r="C44" t="str">
            <v>93.73</v>
          </cell>
          <cell r="D44">
            <v>131.22</v>
          </cell>
          <cell r="F44" t="str">
            <v>57.69</v>
          </cell>
          <cell r="G44">
            <v>80.77</v>
          </cell>
        </row>
        <row r="45">
          <cell r="B45">
            <v>41</v>
          </cell>
          <cell r="C45" t="str">
            <v>96.06</v>
          </cell>
          <cell r="D45">
            <v>134.47999999999999</v>
          </cell>
          <cell r="F45" t="str">
            <v>59.11</v>
          </cell>
          <cell r="G45">
            <v>82.75</v>
          </cell>
        </row>
        <row r="46">
          <cell r="B46">
            <v>42</v>
          </cell>
          <cell r="C46" t="str">
            <v>98.37</v>
          </cell>
          <cell r="D46">
            <v>137.72</v>
          </cell>
          <cell r="F46" t="str">
            <v>60.55</v>
          </cell>
          <cell r="G46">
            <v>84.77</v>
          </cell>
        </row>
        <row r="47">
          <cell r="B47">
            <v>43</v>
          </cell>
          <cell r="C47" t="str">
            <v>100.67</v>
          </cell>
          <cell r="D47">
            <v>140.94</v>
          </cell>
          <cell r="F47" t="str">
            <v>61.96</v>
          </cell>
          <cell r="G47">
            <v>86.74</v>
          </cell>
        </row>
        <row r="48">
          <cell r="B48">
            <v>44</v>
          </cell>
          <cell r="C48" t="str">
            <v>102.99</v>
          </cell>
          <cell r="D48">
            <v>144.19</v>
          </cell>
          <cell r="F48" t="str">
            <v>63.4</v>
          </cell>
          <cell r="G48">
            <v>88.76</v>
          </cell>
        </row>
        <row r="49">
          <cell r="B49">
            <v>45</v>
          </cell>
          <cell r="C49" t="str">
            <v>105.3</v>
          </cell>
          <cell r="D49">
            <v>147.41999999999999</v>
          </cell>
          <cell r="F49" t="str">
            <v>64.82</v>
          </cell>
          <cell r="G49">
            <v>90.75</v>
          </cell>
        </row>
        <row r="50">
          <cell r="B50">
            <v>46</v>
          </cell>
          <cell r="C50" t="str">
            <v>107.62</v>
          </cell>
          <cell r="D50">
            <v>150.66999999999999</v>
          </cell>
          <cell r="F50" t="str">
            <v>66.25</v>
          </cell>
          <cell r="G50">
            <v>92.75</v>
          </cell>
        </row>
        <row r="51">
          <cell r="B51">
            <v>47</v>
          </cell>
          <cell r="C51" t="str">
            <v>109.92</v>
          </cell>
          <cell r="D51">
            <v>153.88999999999999</v>
          </cell>
          <cell r="F51" t="str">
            <v>67.68</v>
          </cell>
          <cell r="G51">
            <v>94.75</v>
          </cell>
        </row>
        <row r="52">
          <cell r="B52">
            <v>48</v>
          </cell>
          <cell r="C52" t="str">
            <v>112.24</v>
          </cell>
          <cell r="D52">
            <v>157.13999999999999</v>
          </cell>
          <cell r="F52" t="str">
            <v>69.1</v>
          </cell>
          <cell r="G52">
            <v>96.74</v>
          </cell>
        </row>
        <row r="53">
          <cell r="B53">
            <v>49</v>
          </cell>
          <cell r="C53" t="str">
            <v>114.53</v>
          </cell>
          <cell r="D53">
            <v>160.34</v>
          </cell>
          <cell r="F53" t="str">
            <v>70.53</v>
          </cell>
          <cell r="G53">
            <v>98.74</v>
          </cell>
        </row>
        <row r="54">
          <cell r="B54">
            <v>50</v>
          </cell>
          <cell r="C54" t="str">
            <v>116.84</v>
          </cell>
          <cell r="D54">
            <v>163.58000000000001</v>
          </cell>
          <cell r="F54" t="str">
            <v>71.96</v>
          </cell>
          <cell r="G54">
            <v>100.74</v>
          </cell>
        </row>
        <row r="55">
          <cell r="B55">
            <v>51</v>
          </cell>
          <cell r="C55" t="str">
            <v>119.17</v>
          </cell>
          <cell r="D55">
            <v>166.84</v>
          </cell>
          <cell r="F55" t="str">
            <v>73.39</v>
          </cell>
          <cell r="G55">
            <v>102.75</v>
          </cell>
        </row>
        <row r="56">
          <cell r="B56">
            <v>52</v>
          </cell>
          <cell r="C56" t="str">
            <v>121.47</v>
          </cell>
          <cell r="D56">
            <v>170.06</v>
          </cell>
          <cell r="F56" t="str">
            <v>74.81</v>
          </cell>
          <cell r="G56">
            <v>104.73</v>
          </cell>
        </row>
        <row r="57">
          <cell r="B57">
            <v>53</v>
          </cell>
          <cell r="C57" t="str">
            <v>123.78</v>
          </cell>
          <cell r="D57">
            <v>173.29</v>
          </cell>
          <cell r="F57" t="str">
            <v>76.23</v>
          </cell>
          <cell r="G57">
            <v>106.72</v>
          </cell>
        </row>
        <row r="58">
          <cell r="B58">
            <v>54</v>
          </cell>
          <cell r="C58" t="str">
            <v>126.11</v>
          </cell>
          <cell r="D58">
            <v>176.55</v>
          </cell>
          <cell r="F58" t="str">
            <v>77.66</v>
          </cell>
          <cell r="G58">
            <v>108.72</v>
          </cell>
        </row>
        <row r="59">
          <cell r="B59">
            <v>55</v>
          </cell>
          <cell r="C59" t="str">
            <v>128.4</v>
          </cell>
          <cell r="D59">
            <v>179.76</v>
          </cell>
          <cell r="F59" t="str">
            <v>79.09</v>
          </cell>
          <cell r="G59">
            <v>110.73</v>
          </cell>
        </row>
        <row r="60">
          <cell r="B60">
            <v>56</v>
          </cell>
          <cell r="C60" t="str">
            <v>130.71</v>
          </cell>
          <cell r="D60">
            <v>182.99</v>
          </cell>
          <cell r="F60" t="str">
            <v>80.51</v>
          </cell>
          <cell r="G60">
            <v>112.71</v>
          </cell>
        </row>
        <row r="61">
          <cell r="B61">
            <v>57</v>
          </cell>
          <cell r="C61" t="str">
            <v>133.03</v>
          </cell>
          <cell r="D61">
            <v>186.24</v>
          </cell>
          <cell r="F61" t="str">
            <v>81.94</v>
          </cell>
          <cell r="G61">
            <v>114.72</v>
          </cell>
        </row>
        <row r="62">
          <cell r="B62">
            <v>58</v>
          </cell>
          <cell r="C62" t="str">
            <v>135.37</v>
          </cell>
          <cell r="D62">
            <v>189.52</v>
          </cell>
          <cell r="F62" t="str">
            <v>83.36</v>
          </cell>
          <cell r="G62">
            <v>116.7</v>
          </cell>
        </row>
        <row r="63">
          <cell r="B63">
            <v>59</v>
          </cell>
          <cell r="C63" t="str">
            <v>137.67</v>
          </cell>
          <cell r="D63">
            <v>192.74</v>
          </cell>
          <cell r="F63" t="str">
            <v>84.79</v>
          </cell>
          <cell r="G63">
            <v>118.71</v>
          </cell>
        </row>
        <row r="64">
          <cell r="B64">
            <v>60</v>
          </cell>
          <cell r="C64" t="str">
            <v>139.98</v>
          </cell>
          <cell r="D64">
            <v>195.97</v>
          </cell>
          <cell r="F64" t="str">
            <v>86.23</v>
          </cell>
          <cell r="G64">
            <v>120.72</v>
          </cell>
        </row>
        <row r="65">
          <cell r="B65">
            <v>61</v>
          </cell>
          <cell r="C65" t="str">
            <v>142.3</v>
          </cell>
          <cell r="D65">
            <v>199.22</v>
          </cell>
          <cell r="F65" t="str">
            <v>87.65</v>
          </cell>
          <cell r="G65">
            <v>122.71</v>
          </cell>
        </row>
        <row r="66">
          <cell r="B66">
            <v>62</v>
          </cell>
          <cell r="C66" t="str">
            <v>144.63</v>
          </cell>
          <cell r="D66">
            <v>202.48</v>
          </cell>
          <cell r="F66" t="str">
            <v>89.08</v>
          </cell>
          <cell r="G66">
            <v>124.71</v>
          </cell>
        </row>
        <row r="67">
          <cell r="B67">
            <v>63</v>
          </cell>
          <cell r="C67" t="str">
            <v>146.92</v>
          </cell>
          <cell r="D67">
            <v>205.69</v>
          </cell>
          <cell r="F67" t="str">
            <v>90.5</v>
          </cell>
          <cell r="G67">
            <v>126.7</v>
          </cell>
        </row>
        <row r="68">
          <cell r="B68">
            <v>64</v>
          </cell>
          <cell r="C68" t="str">
            <v>149.21</v>
          </cell>
          <cell r="D68">
            <v>208.89</v>
          </cell>
          <cell r="F68" t="str">
            <v>91.94</v>
          </cell>
          <cell r="G68">
            <v>128.72</v>
          </cell>
        </row>
        <row r="69">
          <cell r="B69">
            <v>65</v>
          </cell>
          <cell r="C69" t="str">
            <v>151.52</v>
          </cell>
          <cell r="D69">
            <v>212.13</v>
          </cell>
          <cell r="F69" t="str">
            <v>93.35</v>
          </cell>
          <cell r="G69">
            <v>130.69</v>
          </cell>
        </row>
        <row r="70">
          <cell r="B70">
            <v>66</v>
          </cell>
          <cell r="C70" t="str">
            <v>153.84</v>
          </cell>
          <cell r="D70">
            <v>215.38</v>
          </cell>
          <cell r="F70" t="str">
            <v>94.79</v>
          </cell>
          <cell r="G70">
            <v>132.71</v>
          </cell>
        </row>
        <row r="71">
          <cell r="B71">
            <v>67</v>
          </cell>
          <cell r="C71" t="str">
            <v>156.18</v>
          </cell>
          <cell r="D71">
            <v>218.65</v>
          </cell>
          <cell r="F71" t="str">
            <v>96.21</v>
          </cell>
          <cell r="G71">
            <v>134.69</v>
          </cell>
        </row>
        <row r="72">
          <cell r="B72">
            <v>68</v>
          </cell>
          <cell r="C72" t="str">
            <v>158.44</v>
          </cell>
          <cell r="D72">
            <v>221.82</v>
          </cell>
          <cell r="F72" t="str">
            <v>97.63</v>
          </cell>
          <cell r="G72">
            <v>136.68</v>
          </cell>
        </row>
        <row r="73">
          <cell r="B73">
            <v>69</v>
          </cell>
          <cell r="C73" t="str">
            <v>160.81</v>
          </cell>
          <cell r="D73">
            <v>225.13</v>
          </cell>
          <cell r="F73" t="str">
            <v>99.06</v>
          </cell>
          <cell r="G73">
            <v>138.68</v>
          </cell>
        </row>
        <row r="74">
          <cell r="B74">
            <v>70</v>
          </cell>
          <cell r="C74" t="str">
            <v>163.1</v>
          </cell>
          <cell r="D74">
            <v>228.34</v>
          </cell>
          <cell r="F74" t="str">
            <v>100.49</v>
          </cell>
          <cell r="G74">
            <v>140.69</v>
          </cell>
        </row>
        <row r="75">
          <cell r="B75">
            <v>71</v>
          </cell>
          <cell r="C75" t="str">
            <v>165.4</v>
          </cell>
          <cell r="D75">
            <v>231.56</v>
          </cell>
          <cell r="F75" t="str">
            <v>101.92</v>
          </cell>
          <cell r="G75">
            <v>142.69</v>
          </cell>
        </row>
        <row r="76">
          <cell r="B76">
            <v>72</v>
          </cell>
          <cell r="C76" t="str">
            <v>167.71</v>
          </cell>
          <cell r="D76">
            <v>234.79</v>
          </cell>
          <cell r="F76" t="str">
            <v>103.35</v>
          </cell>
          <cell r="G76">
            <v>144.69</v>
          </cell>
        </row>
        <row r="77">
          <cell r="B77">
            <v>73</v>
          </cell>
          <cell r="C77" t="str">
            <v>170.04</v>
          </cell>
          <cell r="D77">
            <v>238.06</v>
          </cell>
          <cell r="F77" t="str">
            <v>104.77</v>
          </cell>
          <cell r="G77">
            <v>146.68</v>
          </cell>
        </row>
        <row r="78">
          <cell r="B78">
            <v>74</v>
          </cell>
          <cell r="C78" t="str">
            <v>172.38</v>
          </cell>
          <cell r="D78">
            <v>241.33</v>
          </cell>
          <cell r="F78" t="str">
            <v>106.21</v>
          </cell>
          <cell r="G78">
            <v>148.69</v>
          </cell>
        </row>
        <row r="79">
          <cell r="B79">
            <v>75</v>
          </cell>
          <cell r="C79" t="str">
            <v>174.64</v>
          </cell>
          <cell r="D79">
            <v>244.5</v>
          </cell>
          <cell r="F79" t="str">
            <v>107.63</v>
          </cell>
          <cell r="G79">
            <v>150.68</v>
          </cell>
        </row>
        <row r="80">
          <cell r="B80">
            <v>76</v>
          </cell>
          <cell r="C80" t="str">
            <v>177</v>
          </cell>
          <cell r="D80">
            <v>247.8</v>
          </cell>
          <cell r="F80" t="str">
            <v>109.05</v>
          </cell>
          <cell r="G80">
            <v>152.66999999999999</v>
          </cell>
        </row>
        <row r="81">
          <cell r="B81">
            <v>77</v>
          </cell>
          <cell r="C81" t="str">
            <v>179.28</v>
          </cell>
          <cell r="D81">
            <v>250.99</v>
          </cell>
          <cell r="F81" t="str">
            <v>110.48</v>
          </cell>
          <cell r="G81">
            <v>154.66999999999999</v>
          </cell>
        </row>
        <row r="82">
          <cell r="B82">
            <v>78</v>
          </cell>
          <cell r="C82" t="str">
            <v>181.56</v>
          </cell>
          <cell r="D82">
            <v>254.18</v>
          </cell>
          <cell r="F82" t="str">
            <v>111.9</v>
          </cell>
          <cell r="G82">
            <v>156.66</v>
          </cell>
        </row>
        <row r="83">
          <cell r="B83">
            <v>79</v>
          </cell>
          <cell r="C83" t="str">
            <v>183.96</v>
          </cell>
          <cell r="D83">
            <v>257.54000000000002</v>
          </cell>
          <cell r="F83" t="str">
            <v>113.33</v>
          </cell>
          <cell r="G83">
            <v>158.66</v>
          </cell>
        </row>
        <row r="84">
          <cell r="B84">
            <v>80</v>
          </cell>
          <cell r="C84" t="str">
            <v>186.27</v>
          </cell>
          <cell r="D84">
            <v>260.77999999999997</v>
          </cell>
          <cell r="F84" t="str">
            <v>114.77</v>
          </cell>
          <cell r="G84">
            <v>160.68</v>
          </cell>
        </row>
        <row r="85">
          <cell r="B85">
            <v>81</v>
          </cell>
          <cell r="C85" t="str">
            <v>188.59</v>
          </cell>
          <cell r="D85">
            <v>264.02999999999997</v>
          </cell>
          <cell r="F85" t="str">
            <v>116.2</v>
          </cell>
          <cell r="G85">
            <v>162.68</v>
          </cell>
        </row>
        <row r="86">
          <cell r="B86">
            <v>82</v>
          </cell>
          <cell r="C86" t="str">
            <v>190.8</v>
          </cell>
          <cell r="D86">
            <v>267.12</v>
          </cell>
          <cell r="F86" t="str">
            <v>117.61</v>
          </cell>
          <cell r="G86">
            <v>164.65</v>
          </cell>
        </row>
        <row r="87">
          <cell r="B87">
            <v>83</v>
          </cell>
          <cell r="C87" t="str">
            <v>193.14</v>
          </cell>
          <cell r="D87">
            <v>270.39999999999998</v>
          </cell>
          <cell r="F87" t="str">
            <v>119.05</v>
          </cell>
          <cell r="G87">
            <v>166.67</v>
          </cell>
        </row>
        <row r="88">
          <cell r="B88">
            <v>84</v>
          </cell>
          <cell r="C88" t="str">
            <v>195.49</v>
          </cell>
          <cell r="D88">
            <v>273.69</v>
          </cell>
          <cell r="F88" t="str">
            <v>120.46</v>
          </cell>
          <cell r="G88">
            <v>168.64</v>
          </cell>
        </row>
        <row r="89">
          <cell r="B89">
            <v>85</v>
          </cell>
          <cell r="C89" t="str">
            <v>197.85</v>
          </cell>
          <cell r="D89">
            <v>276.99</v>
          </cell>
          <cell r="F89" t="str">
            <v>121.91</v>
          </cell>
          <cell r="G89">
            <v>170.67</v>
          </cell>
        </row>
        <row r="90">
          <cell r="B90">
            <v>86</v>
          </cell>
          <cell r="C90" t="str">
            <v>200.1</v>
          </cell>
          <cell r="D90">
            <v>280.14</v>
          </cell>
          <cell r="F90" t="str">
            <v>123.32</v>
          </cell>
          <cell r="G90">
            <v>172.65</v>
          </cell>
        </row>
        <row r="91">
          <cell r="B91">
            <v>87</v>
          </cell>
          <cell r="C91" t="str">
            <v>202.36</v>
          </cell>
          <cell r="D91">
            <v>283.3</v>
          </cell>
          <cell r="F91" t="str">
            <v>124.74</v>
          </cell>
          <cell r="G91">
            <v>174.64</v>
          </cell>
        </row>
        <row r="92">
          <cell r="B92">
            <v>88</v>
          </cell>
          <cell r="C92" t="str">
            <v>204.75</v>
          </cell>
          <cell r="D92">
            <v>286.64999999999998</v>
          </cell>
          <cell r="F92" t="str">
            <v>126.16</v>
          </cell>
          <cell r="G92">
            <v>176.62</v>
          </cell>
        </row>
        <row r="93">
          <cell r="B93">
            <v>89</v>
          </cell>
          <cell r="C93" t="str">
            <v>207.03</v>
          </cell>
          <cell r="D93">
            <v>289.83999999999997</v>
          </cell>
          <cell r="F93" t="str">
            <v>127.59</v>
          </cell>
          <cell r="G93">
            <v>178.63</v>
          </cell>
        </row>
        <row r="94">
          <cell r="B94">
            <v>90</v>
          </cell>
          <cell r="C94" t="str">
            <v>209.31</v>
          </cell>
          <cell r="D94">
            <v>293.02999999999997</v>
          </cell>
          <cell r="F94" t="str">
            <v>129.05</v>
          </cell>
          <cell r="G94">
            <v>180.67</v>
          </cell>
        </row>
        <row r="95">
          <cell r="B95">
            <v>91</v>
          </cell>
          <cell r="C95" t="str">
            <v>211.74</v>
          </cell>
          <cell r="D95">
            <v>296.44</v>
          </cell>
          <cell r="F95" t="str">
            <v>130.48</v>
          </cell>
          <cell r="G95">
            <v>182.67</v>
          </cell>
        </row>
        <row r="96">
          <cell r="B96">
            <v>92</v>
          </cell>
          <cell r="C96" t="str">
            <v>214.04</v>
          </cell>
          <cell r="D96">
            <v>299.66000000000003</v>
          </cell>
          <cell r="F96" t="str">
            <v>131.87</v>
          </cell>
          <cell r="G96">
            <v>184.62</v>
          </cell>
        </row>
        <row r="97">
          <cell r="B97">
            <v>93</v>
          </cell>
          <cell r="C97" t="str">
            <v>216.35</v>
          </cell>
          <cell r="D97">
            <v>302.89</v>
          </cell>
          <cell r="F97" t="str">
            <v>133.3</v>
          </cell>
          <cell r="G97">
            <v>186.62</v>
          </cell>
        </row>
        <row r="98">
          <cell r="B98">
            <v>94</v>
          </cell>
          <cell r="C98" t="str">
            <v>218.67</v>
          </cell>
          <cell r="D98">
            <v>306.14</v>
          </cell>
          <cell r="F98" t="str">
            <v>134.73</v>
          </cell>
          <cell r="G98">
            <v>188.62</v>
          </cell>
        </row>
        <row r="99">
          <cell r="B99">
            <v>95</v>
          </cell>
          <cell r="C99" t="str">
            <v>220.85</v>
          </cell>
          <cell r="D99">
            <v>309.19</v>
          </cell>
          <cell r="F99" t="str">
            <v>136.17</v>
          </cell>
          <cell r="G99">
            <v>190.64</v>
          </cell>
        </row>
        <row r="100">
          <cell r="B100">
            <v>96</v>
          </cell>
          <cell r="C100" t="str">
            <v>223.18</v>
          </cell>
          <cell r="D100">
            <v>312.45</v>
          </cell>
          <cell r="F100" t="str">
            <v>137.61</v>
          </cell>
          <cell r="G100">
            <v>192.65</v>
          </cell>
        </row>
        <row r="101">
          <cell r="B101">
            <v>97</v>
          </cell>
          <cell r="C101" t="str">
            <v>225.53</v>
          </cell>
          <cell r="D101">
            <v>315.74</v>
          </cell>
          <cell r="F101" t="str">
            <v>139.01</v>
          </cell>
          <cell r="G101">
            <v>194.61</v>
          </cell>
        </row>
        <row r="102">
          <cell r="B102">
            <v>98</v>
          </cell>
          <cell r="C102" t="str">
            <v>227.89</v>
          </cell>
          <cell r="D102">
            <v>319.05</v>
          </cell>
          <cell r="F102" t="str">
            <v>140.45</v>
          </cell>
          <cell r="G102">
            <v>196.63</v>
          </cell>
        </row>
        <row r="103">
          <cell r="B103">
            <v>99</v>
          </cell>
          <cell r="C103" t="str">
            <v>230.25</v>
          </cell>
          <cell r="D103">
            <v>322.35000000000002</v>
          </cell>
          <cell r="F103" t="str">
            <v>141.86</v>
          </cell>
          <cell r="G103">
            <v>198.6</v>
          </cell>
        </row>
        <row r="104">
          <cell r="B104">
            <v>100</v>
          </cell>
          <cell r="C104" t="str">
            <v>232.46</v>
          </cell>
          <cell r="D104">
            <v>325.44</v>
          </cell>
          <cell r="F104" t="str">
            <v>143.31</v>
          </cell>
          <cell r="G104">
            <v>200.63</v>
          </cell>
        </row>
        <row r="105">
          <cell r="B105">
            <v>101</v>
          </cell>
          <cell r="C105" t="str">
            <v>234.85</v>
          </cell>
          <cell r="D105">
            <v>328.79</v>
          </cell>
          <cell r="F105" t="str">
            <v>144.71</v>
          </cell>
          <cell r="G105">
            <v>202.59</v>
          </cell>
        </row>
        <row r="106">
          <cell r="B106">
            <v>102</v>
          </cell>
          <cell r="C106" t="str">
            <v>237.07</v>
          </cell>
          <cell r="D106">
            <v>331.9</v>
          </cell>
          <cell r="F106" t="str">
            <v>146.17</v>
          </cell>
          <cell r="G106">
            <v>204.64</v>
          </cell>
        </row>
        <row r="107">
          <cell r="B107">
            <v>103</v>
          </cell>
          <cell r="C107" t="str">
            <v>239.48</v>
          </cell>
          <cell r="D107">
            <v>335.27</v>
          </cell>
          <cell r="F107" t="str">
            <v>147.58</v>
          </cell>
          <cell r="G107">
            <v>206.61</v>
          </cell>
        </row>
        <row r="108">
          <cell r="B108">
            <v>104</v>
          </cell>
          <cell r="C108" t="str">
            <v>241.71</v>
          </cell>
          <cell r="D108">
            <v>338.39</v>
          </cell>
          <cell r="F108" t="str">
            <v>148.99</v>
          </cell>
          <cell r="G108">
            <v>208.59</v>
          </cell>
        </row>
        <row r="109">
          <cell r="B109">
            <v>105</v>
          </cell>
          <cell r="C109" t="str">
            <v>244.14</v>
          </cell>
          <cell r="D109">
            <v>341.8</v>
          </cell>
          <cell r="F109" t="str">
            <v>150.45</v>
          </cell>
          <cell r="G109">
            <v>210.63</v>
          </cell>
        </row>
        <row r="110">
          <cell r="B110">
            <v>106</v>
          </cell>
          <cell r="C110" t="str">
            <v>246.39</v>
          </cell>
          <cell r="D110">
            <v>344.95</v>
          </cell>
          <cell r="F110" t="str">
            <v>151.87</v>
          </cell>
          <cell r="G110">
            <v>212.62</v>
          </cell>
        </row>
        <row r="111">
          <cell r="B111">
            <v>107</v>
          </cell>
          <cell r="C111" t="str">
            <v>248.64</v>
          </cell>
          <cell r="D111">
            <v>348.1</v>
          </cell>
          <cell r="F111" t="str">
            <v>153.29</v>
          </cell>
          <cell r="G111">
            <v>214.61</v>
          </cell>
        </row>
        <row r="112">
          <cell r="B112">
            <v>108</v>
          </cell>
          <cell r="C112" t="str">
            <v>250.91</v>
          </cell>
          <cell r="D112">
            <v>351.27</v>
          </cell>
          <cell r="F112" t="str">
            <v>154.7</v>
          </cell>
          <cell r="G112">
            <v>216.58</v>
          </cell>
        </row>
        <row r="113">
          <cell r="B113">
            <v>109</v>
          </cell>
          <cell r="C113" t="str">
            <v>253.37</v>
          </cell>
          <cell r="D113">
            <v>354.72</v>
          </cell>
          <cell r="F113" t="str">
            <v>156.13</v>
          </cell>
          <cell r="G113">
            <v>218.58</v>
          </cell>
        </row>
        <row r="114">
          <cell r="B114">
            <v>110</v>
          </cell>
          <cell r="C114" t="str">
            <v>255.65</v>
          </cell>
          <cell r="D114">
            <v>357.91</v>
          </cell>
          <cell r="F114" t="str">
            <v>157.55</v>
          </cell>
          <cell r="G114">
            <v>220.57</v>
          </cell>
        </row>
        <row r="115">
          <cell r="B115">
            <v>111</v>
          </cell>
          <cell r="C115" t="str">
            <v>257.94</v>
          </cell>
          <cell r="D115">
            <v>361.12</v>
          </cell>
          <cell r="F115" t="str">
            <v>158.97</v>
          </cell>
          <cell r="G115">
            <v>222.56</v>
          </cell>
        </row>
        <row r="116">
          <cell r="B116">
            <v>112</v>
          </cell>
          <cell r="C116" t="str">
            <v>260.23</v>
          </cell>
          <cell r="D116">
            <v>364.32</v>
          </cell>
          <cell r="F116" t="str">
            <v>160.4</v>
          </cell>
          <cell r="G116">
            <v>224.56</v>
          </cell>
        </row>
        <row r="117">
          <cell r="B117">
            <v>113</v>
          </cell>
          <cell r="C117" t="str">
            <v>262.53</v>
          </cell>
          <cell r="D117">
            <v>367.54</v>
          </cell>
          <cell r="F117" t="str">
            <v>161.83</v>
          </cell>
          <cell r="G117">
            <v>226.56</v>
          </cell>
        </row>
        <row r="118">
          <cell r="B118">
            <v>114</v>
          </cell>
          <cell r="C118" t="str">
            <v>264.83</v>
          </cell>
          <cell r="D118">
            <v>370.76</v>
          </cell>
          <cell r="F118" t="str">
            <v>163.26</v>
          </cell>
          <cell r="G118">
            <v>228.56</v>
          </cell>
        </row>
        <row r="119">
          <cell r="B119">
            <v>115</v>
          </cell>
          <cell r="C119" t="str">
            <v>267.15</v>
          </cell>
          <cell r="D119">
            <v>374.01</v>
          </cell>
          <cell r="F119" t="str">
            <v>164.69</v>
          </cell>
          <cell r="G119">
            <v>230.57</v>
          </cell>
        </row>
        <row r="120">
          <cell r="B120">
            <v>116</v>
          </cell>
          <cell r="C120" t="str">
            <v>269.47</v>
          </cell>
          <cell r="D120">
            <v>377.26</v>
          </cell>
          <cell r="F120" t="str">
            <v>166.12</v>
          </cell>
          <cell r="G120">
            <v>232.57</v>
          </cell>
        </row>
        <row r="121">
          <cell r="B121">
            <v>117</v>
          </cell>
          <cell r="C121" t="str">
            <v>271.8</v>
          </cell>
          <cell r="D121">
            <v>380.52</v>
          </cell>
          <cell r="F121" t="str">
            <v>167.56</v>
          </cell>
          <cell r="G121">
            <v>234.58</v>
          </cell>
        </row>
        <row r="122">
          <cell r="B122">
            <v>118</v>
          </cell>
          <cell r="C122" t="str">
            <v>274.13</v>
          </cell>
          <cell r="D122">
            <v>383.78</v>
          </cell>
          <cell r="F122" t="str">
            <v>169</v>
          </cell>
          <cell r="G122">
            <v>236.6</v>
          </cell>
        </row>
        <row r="123">
          <cell r="B123">
            <v>119</v>
          </cell>
          <cell r="C123" t="str">
            <v>276.48</v>
          </cell>
          <cell r="D123">
            <v>387.07</v>
          </cell>
          <cell r="F123" t="str">
            <v>170.44</v>
          </cell>
          <cell r="G123">
            <v>238.62</v>
          </cell>
        </row>
        <row r="124">
          <cell r="B124">
            <v>120</v>
          </cell>
          <cell r="C124" t="str">
            <v>278.83</v>
          </cell>
          <cell r="D124">
            <v>390.36</v>
          </cell>
          <cell r="F124" t="str">
            <v>171.82</v>
          </cell>
          <cell r="G124">
            <v>240.55</v>
          </cell>
        </row>
        <row r="125">
          <cell r="B125">
            <v>121</v>
          </cell>
          <cell r="C125" t="str">
            <v>280.95</v>
          </cell>
          <cell r="D125">
            <v>393.33</v>
          </cell>
          <cell r="F125" t="str">
            <v>173.26</v>
          </cell>
          <cell r="G125">
            <v>242.56</v>
          </cell>
        </row>
        <row r="126">
          <cell r="B126">
            <v>122</v>
          </cell>
          <cell r="C126" t="str">
            <v>283.32</v>
          </cell>
          <cell r="D126">
            <v>396.65</v>
          </cell>
          <cell r="F126" t="str">
            <v>174.71</v>
          </cell>
          <cell r="G126">
            <v>244.59</v>
          </cell>
        </row>
        <row r="127">
          <cell r="B127">
            <v>123</v>
          </cell>
          <cell r="C127" t="str">
            <v>285.69</v>
          </cell>
          <cell r="D127">
            <v>399.97</v>
          </cell>
          <cell r="F127" t="str">
            <v>176.09</v>
          </cell>
          <cell r="G127">
            <v>246.53</v>
          </cell>
        </row>
        <row r="128">
          <cell r="B128">
            <v>124</v>
          </cell>
          <cell r="C128" t="str">
            <v>288.08</v>
          </cell>
          <cell r="D128">
            <v>403.31</v>
          </cell>
          <cell r="F128" t="str">
            <v>177.54</v>
          </cell>
          <cell r="G128">
            <v>248.56</v>
          </cell>
        </row>
        <row r="129">
          <cell r="B129">
            <v>125</v>
          </cell>
          <cell r="C129" t="str">
            <v>290.21</v>
          </cell>
          <cell r="D129">
            <v>406.29</v>
          </cell>
          <cell r="F129" t="str">
            <v>178.99</v>
          </cell>
          <cell r="G129">
            <v>250.59</v>
          </cell>
        </row>
        <row r="130">
          <cell r="B130">
            <v>126</v>
          </cell>
          <cell r="C130" t="str">
            <v>292.61</v>
          </cell>
          <cell r="D130">
            <v>409.65</v>
          </cell>
          <cell r="F130" t="str">
            <v>180.38</v>
          </cell>
          <cell r="G130">
            <v>252.53</v>
          </cell>
        </row>
        <row r="131">
          <cell r="B131">
            <v>127</v>
          </cell>
          <cell r="C131" t="str">
            <v>295.02</v>
          </cell>
          <cell r="D131">
            <v>413.03</v>
          </cell>
          <cell r="F131" t="str">
            <v>181.83</v>
          </cell>
          <cell r="G131">
            <v>254.56</v>
          </cell>
        </row>
        <row r="132">
          <cell r="B132">
            <v>128</v>
          </cell>
          <cell r="C132" t="str">
            <v>297.16</v>
          </cell>
          <cell r="D132">
            <v>416.02</v>
          </cell>
          <cell r="F132" t="str">
            <v>183.29</v>
          </cell>
          <cell r="G132">
            <v>256.61</v>
          </cell>
        </row>
        <row r="133">
          <cell r="B133">
            <v>129</v>
          </cell>
          <cell r="C133" t="str">
            <v>299.59</v>
          </cell>
          <cell r="D133">
            <v>419.43</v>
          </cell>
          <cell r="F133" t="str">
            <v>184.68</v>
          </cell>
          <cell r="G133">
            <v>258.55</v>
          </cell>
        </row>
        <row r="134">
          <cell r="B134">
            <v>130</v>
          </cell>
          <cell r="C134" t="str">
            <v>302.03</v>
          </cell>
          <cell r="D134">
            <v>422.84</v>
          </cell>
          <cell r="F134" t="str">
            <v>186.15</v>
          </cell>
          <cell r="G134">
            <v>260.61</v>
          </cell>
        </row>
        <row r="135">
          <cell r="B135">
            <v>131</v>
          </cell>
          <cell r="C135" t="str">
            <v>304.18</v>
          </cell>
          <cell r="D135">
            <v>425.85</v>
          </cell>
          <cell r="F135" t="str">
            <v>187.54</v>
          </cell>
          <cell r="G135">
            <v>262.56</v>
          </cell>
        </row>
        <row r="136">
          <cell r="B136">
            <v>132</v>
          </cell>
          <cell r="C136" t="str">
            <v>306.64</v>
          </cell>
          <cell r="D136">
            <v>429.3</v>
          </cell>
          <cell r="F136" t="str">
            <v>188.93</v>
          </cell>
          <cell r="G136">
            <v>264.5</v>
          </cell>
        </row>
        <row r="137">
          <cell r="B137">
            <v>133</v>
          </cell>
          <cell r="C137" t="str">
            <v>308.8</v>
          </cell>
          <cell r="D137">
            <v>432.32</v>
          </cell>
          <cell r="F137" t="str">
            <v>190.4</v>
          </cell>
          <cell r="G137">
            <v>266.56</v>
          </cell>
        </row>
        <row r="138">
          <cell r="B138">
            <v>134</v>
          </cell>
          <cell r="C138" t="str">
            <v>311.27</v>
          </cell>
          <cell r="D138">
            <v>435.78</v>
          </cell>
          <cell r="F138" t="str">
            <v>191.79</v>
          </cell>
          <cell r="G138">
            <v>268.51</v>
          </cell>
        </row>
        <row r="139">
          <cell r="B139">
            <v>135</v>
          </cell>
          <cell r="C139" t="str">
            <v>313.45</v>
          </cell>
          <cell r="D139">
            <v>438.83</v>
          </cell>
          <cell r="F139" t="str">
            <v>193.27</v>
          </cell>
          <cell r="G139">
            <v>270.58</v>
          </cell>
        </row>
        <row r="140">
          <cell r="B140">
            <v>136</v>
          </cell>
          <cell r="C140" t="str">
            <v>315.63</v>
          </cell>
          <cell r="D140">
            <v>441.88</v>
          </cell>
          <cell r="F140" t="str">
            <v>194.66</v>
          </cell>
          <cell r="G140">
            <v>272.52</v>
          </cell>
        </row>
        <row r="141">
          <cell r="B141">
            <v>137</v>
          </cell>
          <cell r="C141" t="str">
            <v>318.12</v>
          </cell>
          <cell r="D141">
            <v>445.37</v>
          </cell>
          <cell r="F141" t="str">
            <v>196.14</v>
          </cell>
          <cell r="G141">
            <v>274.60000000000002</v>
          </cell>
        </row>
        <row r="142">
          <cell r="B142">
            <v>138</v>
          </cell>
          <cell r="C142" t="str">
            <v>320.31</v>
          </cell>
          <cell r="D142">
            <v>448.43</v>
          </cell>
          <cell r="F142" t="str">
            <v>197.54</v>
          </cell>
          <cell r="G142">
            <v>276.56</v>
          </cell>
        </row>
        <row r="143">
          <cell r="B143">
            <v>139</v>
          </cell>
          <cell r="C143" t="str">
            <v>322.82</v>
          </cell>
          <cell r="D143">
            <v>451.95</v>
          </cell>
          <cell r="F143" t="str">
            <v>198.94</v>
          </cell>
          <cell r="G143">
            <v>278.52</v>
          </cell>
        </row>
        <row r="144">
          <cell r="B144">
            <v>140</v>
          </cell>
          <cell r="C144" t="str">
            <v>325.02</v>
          </cell>
          <cell r="D144">
            <v>455.03</v>
          </cell>
          <cell r="F144" t="str">
            <v>200.34</v>
          </cell>
          <cell r="G144">
            <v>280.48</v>
          </cell>
        </row>
        <row r="145">
          <cell r="B145">
            <v>141</v>
          </cell>
          <cell r="C145" t="str">
            <v>327.22</v>
          </cell>
          <cell r="D145">
            <v>458.11</v>
          </cell>
          <cell r="F145" t="str">
            <v>201.83</v>
          </cell>
          <cell r="G145">
            <v>282.56</v>
          </cell>
        </row>
        <row r="146">
          <cell r="B146">
            <v>142</v>
          </cell>
          <cell r="C146" t="str">
            <v>329.77</v>
          </cell>
          <cell r="D146">
            <v>461.68</v>
          </cell>
          <cell r="F146" t="str">
            <v>203.23</v>
          </cell>
          <cell r="G146">
            <v>284.52</v>
          </cell>
        </row>
        <row r="147">
          <cell r="B147">
            <v>143</v>
          </cell>
          <cell r="C147" t="str">
            <v>331.98</v>
          </cell>
          <cell r="D147">
            <v>464.77</v>
          </cell>
          <cell r="F147" t="str">
            <v>204.64</v>
          </cell>
          <cell r="G147">
            <v>286.5</v>
          </cell>
        </row>
        <row r="148">
          <cell r="B148">
            <v>144</v>
          </cell>
          <cell r="C148" t="str">
            <v>334.19</v>
          </cell>
          <cell r="D148">
            <v>467.87</v>
          </cell>
          <cell r="F148" t="str">
            <v>206.13</v>
          </cell>
          <cell r="G148">
            <v>288.58</v>
          </cell>
        </row>
        <row r="149">
          <cell r="B149">
            <v>145</v>
          </cell>
          <cell r="C149" t="str">
            <v>336.76</v>
          </cell>
          <cell r="D149">
            <v>471.46</v>
          </cell>
          <cell r="F149" t="str">
            <v>207.54</v>
          </cell>
          <cell r="G149">
            <v>290.56</v>
          </cell>
        </row>
        <row r="150">
          <cell r="B150">
            <v>146</v>
          </cell>
          <cell r="C150" t="str">
            <v>338.99</v>
          </cell>
          <cell r="D150">
            <v>474.59</v>
          </cell>
          <cell r="F150" t="str">
            <v>208.95</v>
          </cell>
          <cell r="G150">
            <v>292.52999999999997</v>
          </cell>
        </row>
        <row r="151">
          <cell r="B151">
            <v>147</v>
          </cell>
          <cell r="C151" t="str">
            <v>341.22</v>
          </cell>
          <cell r="D151">
            <v>477.71</v>
          </cell>
          <cell r="F151" t="str">
            <v>210.36</v>
          </cell>
          <cell r="G151">
            <v>294.5</v>
          </cell>
        </row>
        <row r="152">
          <cell r="B152">
            <v>148</v>
          </cell>
          <cell r="C152" t="str">
            <v>343.46</v>
          </cell>
          <cell r="D152">
            <v>480.84</v>
          </cell>
          <cell r="F152" t="str">
            <v>211.77</v>
          </cell>
          <cell r="G152">
            <v>296.48</v>
          </cell>
        </row>
        <row r="153">
          <cell r="B153">
            <v>149</v>
          </cell>
          <cell r="C153" t="str">
            <v>345.7</v>
          </cell>
          <cell r="D153">
            <v>483.98</v>
          </cell>
          <cell r="F153" t="str">
            <v>213.28</v>
          </cell>
          <cell r="G153">
            <v>298.58999999999997</v>
          </cell>
        </row>
        <row r="154">
          <cell r="B154">
            <v>150</v>
          </cell>
          <cell r="C154" t="str">
            <v>348.31</v>
          </cell>
          <cell r="D154">
            <v>487.63</v>
          </cell>
          <cell r="F154" t="str">
            <v>214.69</v>
          </cell>
          <cell r="G154">
            <v>300.57</v>
          </cell>
        </row>
        <row r="155">
          <cell r="B155">
            <v>151</v>
          </cell>
          <cell r="C155" t="str">
            <v>350.56</v>
          </cell>
          <cell r="D155">
            <v>490.78</v>
          </cell>
          <cell r="F155" t="str">
            <v>216.1</v>
          </cell>
          <cell r="G155">
            <v>302.54000000000002</v>
          </cell>
        </row>
        <row r="156">
          <cell r="B156">
            <v>152</v>
          </cell>
          <cell r="C156" t="str">
            <v>352.82</v>
          </cell>
          <cell r="D156">
            <v>493.95</v>
          </cell>
          <cell r="F156" t="str">
            <v>217.52</v>
          </cell>
          <cell r="G156">
            <v>304.52999999999997</v>
          </cell>
        </row>
        <row r="157">
          <cell r="B157">
            <v>153</v>
          </cell>
          <cell r="C157" t="str">
            <v>355.08</v>
          </cell>
          <cell r="D157">
            <v>497.11</v>
          </cell>
          <cell r="F157" t="str">
            <v>218.94</v>
          </cell>
          <cell r="G157">
            <v>306.52</v>
          </cell>
        </row>
        <row r="158">
          <cell r="B158">
            <v>154</v>
          </cell>
          <cell r="C158" t="str">
            <v>357.34</v>
          </cell>
          <cell r="D158">
            <v>500.28</v>
          </cell>
          <cell r="F158" t="str">
            <v>220.35</v>
          </cell>
          <cell r="G158">
            <v>308.49</v>
          </cell>
        </row>
        <row r="159">
          <cell r="B159">
            <v>155</v>
          </cell>
          <cell r="C159" t="str">
            <v>359.61</v>
          </cell>
          <cell r="D159">
            <v>503.45</v>
          </cell>
          <cell r="F159" t="str">
            <v>221.77</v>
          </cell>
          <cell r="G159">
            <v>310.48</v>
          </cell>
        </row>
        <row r="160">
          <cell r="B160">
            <v>156</v>
          </cell>
          <cell r="C160" t="str">
            <v>361.89</v>
          </cell>
          <cell r="D160">
            <v>506.65</v>
          </cell>
          <cell r="F160" t="str">
            <v>223.19</v>
          </cell>
          <cell r="G160">
            <v>312.47000000000003</v>
          </cell>
        </row>
        <row r="161">
          <cell r="B161">
            <v>157</v>
          </cell>
          <cell r="C161" t="str">
            <v>364.16</v>
          </cell>
          <cell r="D161">
            <v>509.82</v>
          </cell>
          <cell r="F161" t="str">
            <v>224.62</v>
          </cell>
          <cell r="G161">
            <v>314.47000000000003</v>
          </cell>
        </row>
        <row r="162">
          <cell r="B162">
            <v>158</v>
          </cell>
          <cell r="C162" t="str">
            <v>366.86</v>
          </cell>
          <cell r="D162">
            <v>513.6</v>
          </cell>
          <cell r="F162" t="str">
            <v>226.04</v>
          </cell>
          <cell r="G162">
            <v>316.45999999999998</v>
          </cell>
        </row>
        <row r="163">
          <cell r="B163">
            <v>159</v>
          </cell>
          <cell r="C163" t="str">
            <v>369.16</v>
          </cell>
          <cell r="D163">
            <v>516.82000000000005</v>
          </cell>
          <cell r="F163" t="str">
            <v>227.46</v>
          </cell>
          <cell r="G163">
            <v>318.44</v>
          </cell>
        </row>
        <row r="164">
          <cell r="B164">
            <v>160</v>
          </cell>
          <cell r="C164" t="str">
            <v>371.45</v>
          </cell>
          <cell r="D164">
            <v>520.03</v>
          </cell>
          <cell r="F164" t="str">
            <v>228.89</v>
          </cell>
          <cell r="G164">
            <v>320.45</v>
          </cell>
        </row>
        <row r="165">
          <cell r="B165">
            <v>161</v>
          </cell>
          <cell r="C165" t="str">
            <v>373.76</v>
          </cell>
          <cell r="D165">
            <v>523.26</v>
          </cell>
          <cell r="F165" t="str">
            <v>230.31</v>
          </cell>
          <cell r="G165">
            <v>322.43</v>
          </cell>
        </row>
        <row r="166">
          <cell r="B166">
            <v>162</v>
          </cell>
          <cell r="C166" t="str">
            <v>376.06</v>
          </cell>
          <cell r="D166">
            <v>526.48</v>
          </cell>
          <cell r="F166" t="str">
            <v>231.74</v>
          </cell>
          <cell r="G166">
            <v>324.44</v>
          </cell>
        </row>
        <row r="167">
          <cell r="B167">
            <v>163</v>
          </cell>
          <cell r="C167" t="str">
            <v>378.38</v>
          </cell>
          <cell r="D167">
            <v>529.73</v>
          </cell>
          <cell r="F167" t="str">
            <v>233.17</v>
          </cell>
          <cell r="G167">
            <v>326.44</v>
          </cell>
        </row>
        <row r="168">
          <cell r="B168">
            <v>164</v>
          </cell>
          <cell r="C168" t="str">
            <v>380.7</v>
          </cell>
          <cell r="D168">
            <v>532.98</v>
          </cell>
          <cell r="F168" t="str">
            <v>234.6</v>
          </cell>
          <cell r="G168">
            <v>328.44</v>
          </cell>
        </row>
        <row r="169">
          <cell r="B169">
            <v>165</v>
          </cell>
          <cell r="C169" t="str">
            <v>383.02</v>
          </cell>
          <cell r="D169">
            <v>536.23</v>
          </cell>
          <cell r="F169" t="str">
            <v>236.04</v>
          </cell>
          <cell r="G169">
            <v>330.46</v>
          </cell>
        </row>
        <row r="170">
          <cell r="B170">
            <v>166</v>
          </cell>
          <cell r="C170" t="str">
            <v>385.35</v>
          </cell>
          <cell r="D170">
            <v>539.49</v>
          </cell>
          <cell r="F170" t="str">
            <v>237.47</v>
          </cell>
          <cell r="G170">
            <v>332.46</v>
          </cell>
        </row>
        <row r="171">
          <cell r="B171">
            <v>167</v>
          </cell>
          <cell r="C171" t="str">
            <v>387.69</v>
          </cell>
          <cell r="D171">
            <v>542.77</v>
          </cell>
          <cell r="F171" t="str">
            <v>238.91</v>
          </cell>
          <cell r="G171">
            <v>334.47</v>
          </cell>
        </row>
        <row r="172">
          <cell r="B172">
            <v>168</v>
          </cell>
          <cell r="C172" t="str">
            <v>390.03</v>
          </cell>
          <cell r="D172">
            <v>546.04</v>
          </cell>
          <cell r="F172" t="str">
            <v>240.34</v>
          </cell>
          <cell r="G172">
            <v>336.48</v>
          </cell>
        </row>
        <row r="173">
          <cell r="B173">
            <v>169</v>
          </cell>
          <cell r="C173" t="str">
            <v>391.9</v>
          </cell>
          <cell r="D173">
            <v>548.66</v>
          </cell>
          <cell r="F173" t="str">
            <v>241.78</v>
          </cell>
          <cell r="G173">
            <v>338.49</v>
          </cell>
        </row>
        <row r="174">
          <cell r="B174">
            <v>170</v>
          </cell>
          <cell r="C174" t="str">
            <v>394.25</v>
          </cell>
          <cell r="D174">
            <v>551.95000000000005</v>
          </cell>
          <cell r="F174" t="str">
            <v>243.22</v>
          </cell>
          <cell r="G174">
            <v>340.51</v>
          </cell>
        </row>
        <row r="175">
          <cell r="B175">
            <v>171</v>
          </cell>
          <cell r="C175" t="str">
            <v>396.6</v>
          </cell>
          <cell r="D175">
            <v>555.24</v>
          </cell>
          <cell r="F175" t="str">
            <v>244.67</v>
          </cell>
          <cell r="G175">
            <v>342.54</v>
          </cell>
        </row>
        <row r="176">
          <cell r="B176">
            <v>172</v>
          </cell>
          <cell r="C176" t="str">
            <v>398.96</v>
          </cell>
          <cell r="D176">
            <v>558.54</v>
          </cell>
          <cell r="F176" t="str">
            <v>246.11</v>
          </cell>
          <cell r="G176">
            <v>344.55</v>
          </cell>
        </row>
        <row r="177">
          <cell r="B177">
            <v>173</v>
          </cell>
          <cell r="C177" t="str">
            <v>401.32</v>
          </cell>
          <cell r="D177">
            <v>561.85</v>
          </cell>
          <cell r="F177" t="str">
            <v>247.42</v>
          </cell>
          <cell r="G177">
            <v>346.39</v>
          </cell>
        </row>
        <row r="178">
          <cell r="B178">
            <v>174</v>
          </cell>
          <cell r="C178" t="str">
            <v>403.69</v>
          </cell>
          <cell r="D178">
            <v>565.16999999999996</v>
          </cell>
          <cell r="F178" t="str">
            <v>248.87</v>
          </cell>
          <cell r="G178">
            <v>348.42</v>
          </cell>
        </row>
        <row r="179">
          <cell r="B179">
            <v>175</v>
          </cell>
          <cell r="C179" t="str">
            <v>406.07</v>
          </cell>
          <cell r="D179">
            <v>568.5</v>
          </cell>
          <cell r="F179" t="str">
            <v>250.32</v>
          </cell>
          <cell r="G179">
            <v>350.45</v>
          </cell>
        </row>
        <row r="180">
          <cell r="B180">
            <v>176</v>
          </cell>
          <cell r="C180" t="str">
            <v>408.46</v>
          </cell>
          <cell r="D180">
            <v>571.84</v>
          </cell>
          <cell r="F180" t="str">
            <v>251.76</v>
          </cell>
          <cell r="G180">
            <v>352.46</v>
          </cell>
        </row>
        <row r="181">
          <cell r="B181">
            <v>177</v>
          </cell>
          <cell r="C181" t="str">
            <v>410.85</v>
          </cell>
          <cell r="D181">
            <v>575.19000000000005</v>
          </cell>
          <cell r="F181" t="str">
            <v>253.22</v>
          </cell>
          <cell r="G181">
            <v>354.51</v>
          </cell>
        </row>
        <row r="182">
          <cell r="B182">
            <v>178</v>
          </cell>
          <cell r="C182" t="str">
            <v>412.72</v>
          </cell>
          <cell r="D182">
            <v>577.80999999999995</v>
          </cell>
          <cell r="F182" t="str">
            <v>254.67</v>
          </cell>
          <cell r="G182">
            <v>356.54</v>
          </cell>
        </row>
        <row r="183">
          <cell r="B183">
            <v>179</v>
          </cell>
          <cell r="C183" t="str">
            <v>415.12</v>
          </cell>
          <cell r="D183">
            <v>581.16999999999996</v>
          </cell>
          <cell r="F183" t="str">
            <v>255.98</v>
          </cell>
          <cell r="G183">
            <v>358.37</v>
          </cell>
        </row>
        <row r="184">
          <cell r="B184">
            <v>180</v>
          </cell>
          <cell r="C184" t="str">
            <v>417.53</v>
          </cell>
          <cell r="D184">
            <v>584.54</v>
          </cell>
          <cell r="F184" t="str">
            <v>257.44</v>
          </cell>
          <cell r="G184">
            <v>360.42</v>
          </cell>
        </row>
        <row r="185">
          <cell r="B185">
            <v>181</v>
          </cell>
          <cell r="C185" t="str">
            <v>419.94</v>
          </cell>
          <cell r="D185">
            <v>587.91999999999996</v>
          </cell>
          <cell r="F185" t="str">
            <v>258.89</v>
          </cell>
          <cell r="G185">
            <v>362.45</v>
          </cell>
        </row>
        <row r="186">
          <cell r="B186">
            <v>182</v>
          </cell>
          <cell r="C186" t="str">
            <v>422.36</v>
          </cell>
          <cell r="D186">
            <v>591.29999999999995</v>
          </cell>
          <cell r="F186" t="str">
            <v>260.35</v>
          </cell>
          <cell r="G186">
            <v>364.49</v>
          </cell>
        </row>
        <row r="187">
          <cell r="B187">
            <v>183</v>
          </cell>
          <cell r="C187" t="str">
            <v>424.79</v>
          </cell>
          <cell r="D187">
            <v>594.71</v>
          </cell>
          <cell r="F187" t="str">
            <v>261.81</v>
          </cell>
          <cell r="G187">
            <v>366.53</v>
          </cell>
        </row>
        <row r="188">
          <cell r="B188">
            <v>184</v>
          </cell>
          <cell r="C188" t="str">
            <v>426.66</v>
          </cell>
          <cell r="D188">
            <v>597.32000000000005</v>
          </cell>
          <cell r="F188" t="str">
            <v>263.12</v>
          </cell>
          <cell r="G188">
            <v>368.37</v>
          </cell>
        </row>
        <row r="189">
          <cell r="B189">
            <v>185</v>
          </cell>
          <cell r="C189" t="str">
            <v>429.09</v>
          </cell>
          <cell r="D189">
            <v>600.73</v>
          </cell>
          <cell r="F189" t="str">
            <v>264.59</v>
          </cell>
          <cell r="G189">
            <v>370.43</v>
          </cell>
        </row>
        <row r="190">
          <cell r="B190">
            <v>186</v>
          </cell>
          <cell r="C190" t="str">
            <v>431.54</v>
          </cell>
          <cell r="D190">
            <v>604.16</v>
          </cell>
          <cell r="F190" t="str">
            <v>266.05</v>
          </cell>
          <cell r="G190">
            <v>372.47</v>
          </cell>
        </row>
        <row r="191">
          <cell r="B191">
            <v>187</v>
          </cell>
          <cell r="C191" t="str">
            <v>433.99</v>
          </cell>
          <cell r="D191">
            <v>607.59</v>
          </cell>
          <cell r="F191" t="str">
            <v>267.52</v>
          </cell>
          <cell r="G191">
            <v>374.53</v>
          </cell>
        </row>
        <row r="192">
          <cell r="B192">
            <v>188</v>
          </cell>
          <cell r="C192" t="str">
            <v>435.86</v>
          </cell>
          <cell r="D192">
            <v>610.20000000000005</v>
          </cell>
          <cell r="F192" t="str">
            <v>268.83</v>
          </cell>
          <cell r="G192">
            <v>376.36</v>
          </cell>
        </row>
        <row r="193">
          <cell r="B193">
            <v>189</v>
          </cell>
          <cell r="C193" t="str">
            <v>438.32</v>
          </cell>
          <cell r="D193">
            <v>613.65</v>
          </cell>
          <cell r="F193" t="str">
            <v>270.3</v>
          </cell>
          <cell r="G193">
            <v>378.42</v>
          </cell>
        </row>
        <row r="194">
          <cell r="B194">
            <v>190</v>
          </cell>
          <cell r="C194" t="str">
            <v>440.78</v>
          </cell>
          <cell r="D194">
            <v>617.09</v>
          </cell>
          <cell r="F194" t="str">
            <v>271.77</v>
          </cell>
          <cell r="G194">
            <v>380.48</v>
          </cell>
        </row>
        <row r="195">
          <cell r="B195">
            <v>191</v>
          </cell>
          <cell r="C195" t="str">
            <v>443.26</v>
          </cell>
          <cell r="D195">
            <v>620.55999999999995</v>
          </cell>
          <cell r="F195" t="str">
            <v>273.24</v>
          </cell>
          <cell r="G195">
            <v>382.54</v>
          </cell>
        </row>
        <row r="196">
          <cell r="B196">
            <v>192</v>
          </cell>
          <cell r="C196" t="str">
            <v>445.13</v>
          </cell>
          <cell r="D196">
            <v>623.17999999999995</v>
          </cell>
          <cell r="F196" t="str">
            <v>274.56</v>
          </cell>
          <cell r="G196">
            <v>384.38</v>
          </cell>
        </row>
        <row r="197">
          <cell r="B197">
            <v>193</v>
          </cell>
          <cell r="C197" t="str">
            <v>447.62</v>
          </cell>
          <cell r="D197">
            <v>626.66999999999996</v>
          </cell>
          <cell r="F197" t="str">
            <v>276.03</v>
          </cell>
          <cell r="G197">
            <v>386.44</v>
          </cell>
        </row>
        <row r="198">
          <cell r="B198">
            <v>194</v>
          </cell>
          <cell r="C198" t="str">
            <v>450.11</v>
          </cell>
          <cell r="D198">
            <v>630.15</v>
          </cell>
          <cell r="F198" t="str">
            <v>277.51</v>
          </cell>
          <cell r="G198">
            <v>388.51</v>
          </cell>
        </row>
        <row r="199">
          <cell r="B199">
            <v>195</v>
          </cell>
          <cell r="C199" t="str">
            <v>452.61</v>
          </cell>
          <cell r="D199">
            <v>633.65</v>
          </cell>
          <cell r="F199" t="str">
            <v>278.82</v>
          </cell>
          <cell r="G199">
            <v>390.35</v>
          </cell>
        </row>
        <row r="200">
          <cell r="B200">
            <v>196</v>
          </cell>
          <cell r="C200" t="str">
            <v>454.48</v>
          </cell>
          <cell r="D200">
            <v>636.27</v>
          </cell>
          <cell r="F200" t="str">
            <v>280.31</v>
          </cell>
          <cell r="G200">
            <v>392.43</v>
          </cell>
        </row>
        <row r="201">
          <cell r="B201">
            <v>197</v>
          </cell>
          <cell r="C201" t="str">
            <v>456.99</v>
          </cell>
          <cell r="D201">
            <v>639.79</v>
          </cell>
          <cell r="F201" t="str">
            <v>281.79</v>
          </cell>
          <cell r="G201">
            <v>394.51</v>
          </cell>
        </row>
        <row r="202">
          <cell r="B202">
            <v>198</v>
          </cell>
          <cell r="C202" t="str">
            <v>459.52</v>
          </cell>
          <cell r="D202">
            <v>643.33000000000004</v>
          </cell>
          <cell r="F202" t="str">
            <v>283.1</v>
          </cell>
          <cell r="G202">
            <v>396.34</v>
          </cell>
        </row>
        <row r="203">
          <cell r="B203">
            <v>199</v>
          </cell>
          <cell r="C203" t="str">
            <v>461.39</v>
          </cell>
          <cell r="D203">
            <v>645.95000000000005</v>
          </cell>
          <cell r="F203" t="str">
            <v>284.59</v>
          </cell>
          <cell r="G203">
            <v>398.43</v>
          </cell>
        </row>
        <row r="204">
          <cell r="B204">
            <v>200</v>
          </cell>
          <cell r="C204" t="str">
            <v>463.92</v>
          </cell>
          <cell r="D204">
            <v>649.49</v>
          </cell>
          <cell r="F204" t="str">
            <v>286.07</v>
          </cell>
          <cell r="G204">
            <v>400.5</v>
          </cell>
        </row>
        <row r="205">
          <cell r="B205">
            <v>201</v>
          </cell>
          <cell r="C205">
            <v>466.24</v>
          </cell>
          <cell r="D205">
            <v>652.74</v>
          </cell>
          <cell r="F205">
            <v>287.5</v>
          </cell>
          <cell r="G205">
            <v>402.5</v>
          </cell>
        </row>
        <row r="206">
          <cell r="B206">
            <v>202</v>
          </cell>
          <cell r="C206">
            <v>468.56</v>
          </cell>
          <cell r="D206">
            <v>655.98</v>
          </cell>
          <cell r="F206">
            <v>288.93</v>
          </cell>
          <cell r="G206">
            <v>404.5</v>
          </cell>
        </row>
        <row r="207">
          <cell r="B207">
            <v>203</v>
          </cell>
          <cell r="C207">
            <v>470.88</v>
          </cell>
          <cell r="D207">
            <v>659.23</v>
          </cell>
          <cell r="F207">
            <v>290.36</v>
          </cell>
          <cell r="G207">
            <v>406.5</v>
          </cell>
        </row>
        <row r="208">
          <cell r="B208">
            <v>204</v>
          </cell>
          <cell r="C208">
            <v>473.2</v>
          </cell>
          <cell r="D208">
            <v>662.48</v>
          </cell>
          <cell r="F208">
            <v>291.79000000000002</v>
          </cell>
          <cell r="G208">
            <v>408.51</v>
          </cell>
        </row>
        <row r="209">
          <cell r="B209">
            <v>205</v>
          </cell>
          <cell r="C209">
            <v>475.52</v>
          </cell>
          <cell r="D209">
            <v>665.73</v>
          </cell>
          <cell r="F209">
            <v>293.22000000000003</v>
          </cell>
          <cell r="G209">
            <v>410.51</v>
          </cell>
        </row>
        <row r="210">
          <cell r="B210">
            <v>206</v>
          </cell>
          <cell r="C210">
            <v>477.84</v>
          </cell>
          <cell r="D210">
            <v>668.98</v>
          </cell>
          <cell r="F210">
            <v>294.65000000000003</v>
          </cell>
          <cell r="G210">
            <v>412.51</v>
          </cell>
        </row>
        <row r="211">
          <cell r="B211">
            <v>207</v>
          </cell>
          <cell r="C211">
            <v>480.15999999999997</v>
          </cell>
          <cell r="D211">
            <v>672.22</v>
          </cell>
          <cell r="F211">
            <v>296.08000000000004</v>
          </cell>
          <cell r="G211">
            <v>414.51</v>
          </cell>
        </row>
        <row r="212">
          <cell r="B212">
            <v>208</v>
          </cell>
          <cell r="C212">
            <v>482.47999999999996</v>
          </cell>
          <cell r="D212">
            <v>675.47</v>
          </cell>
          <cell r="F212">
            <v>297.51000000000005</v>
          </cell>
          <cell r="G212">
            <v>416.51</v>
          </cell>
        </row>
        <row r="213">
          <cell r="B213">
            <v>209</v>
          </cell>
          <cell r="C213">
            <v>484.79999999999995</v>
          </cell>
          <cell r="D213">
            <v>678.72</v>
          </cell>
          <cell r="F213">
            <v>298.94000000000005</v>
          </cell>
          <cell r="G213">
            <v>418.52</v>
          </cell>
        </row>
        <row r="214">
          <cell r="B214">
            <v>210</v>
          </cell>
          <cell r="C214">
            <v>487.11999999999995</v>
          </cell>
          <cell r="D214">
            <v>681.97</v>
          </cell>
          <cell r="F214">
            <v>300.37000000000006</v>
          </cell>
          <cell r="G214">
            <v>420.52</v>
          </cell>
        </row>
        <row r="215">
          <cell r="B215">
            <v>211</v>
          </cell>
          <cell r="C215">
            <v>489.43999999999994</v>
          </cell>
          <cell r="D215">
            <v>685.22</v>
          </cell>
          <cell r="F215">
            <v>301.80000000000007</v>
          </cell>
          <cell r="G215">
            <v>422.52</v>
          </cell>
        </row>
        <row r="216">
          <cell r="B216">
            <v>212</v>
          </cell>
          <cell r="C216">
            <v>491.75999999999993</v>
          </cell>
          <cell r="D216">
            <v>688.46</v>
          </cell>
          <cell r="F216">
            <v>303.23000000000008</v>
          </cell>
          <cell r="G216">
            <v>424.52</v>
          </cell>
        </row>
        <row r="217">
          <cell r="B217">
            <v>213</v>
          </cell>
          <cell r="C217">
            <v>494.07999999999993</v>
          </cell>
          <cell r="D217">
            <v>691.71</v>
          </cell>
          <cell r="F217">
            <v>304.66000000000008</v>
          </cell>
          <cell r="G217">
            <v>426.52</v>
          </cell>
        </row>
        <row r="218">
          <cell r="B218">
            <v>214</v>
          </cell>
          <cell r="C218">
            <v>496.39999999999992</v>
          </cell>
          <cell r="D218">
            <v>694.96</v>
          </cell>
          <cell r="F218">
            <v>306.09000000000009</v>
          </cell>
          <cell r="G218">
            <v>428.53</v>
          </cell>
        </row>
        <row r="219">
          <cell r="B219">
            <v>215</v>
          </cell>
          <cell r="C219">
            <v>498.71999999999991</v>
          </cell>
          <cell r="D219">
            <v>698.21</v>
          </cell>
          <cell r="F219">
            <v>307.5200000000001</v>
          </cell>
          <cell r="G219">
            <v>430.53</v>
          </cell>
        </row>
        <row r="220">
          <cell r="B220">
            <v>216</v>
          </cell>
          <cell r="C220">
            <v>501.03999999999991</v>
          </cell>
          <cell r="D220">
            <v>701.46</v>
          </cell>
          <cell r="F220">
            <v>308.9500000000001</v>
          </cell>
          <cell r="G220">
            <v>432.53</v>
          </cell>
        </row>
        <row r="221">
          <cell r="B221">
            <v>217</v>
          </cell>
          <cell r="C221">
            <v>503.3599999999999</v>
          </cell>
          <cell r="D221">
            <v>704.7</v>
          </cell>
          <cell r="F221">
            <v>310.38000000000011</v>
          </cell>
          <cell r="G221">
            <v>434.53</v>
          </cell>
        </row>
        <row r="222">
          <cell r="B222">
            <v>218</v>
          </cell>
          <cell r="C222">
            <v>505.67999999999989</v>
          </cell>
          <cell r="D222">
            <v>707.95</v>
          </cell>
          <cell r="F222">
            <v>311.81000000000012</v>
          </cell>
          <cell r="G222">
            <v>436.53</v>
          </cell>
        </row>
        <row r="223">
          <cell r="B223">
            <v>219</v>
          </cell>
          <cell r="C223">
            <v>507.99999999999989</v>
          </cell>
          <cell r="D223">
            <v>711.2</v>
          </cell>
          <cell r="F223">
            <v>313.24000000000012</v>
          </cell>
          <cell r="G223">
            <v>438.54</v>
          </cell>
        </row>
        <row r="224">
          <cell r="B224">
            <v>220</v>
          </cell>
          <cell r="C224">
            <v>510.31999999999988</v>
          </cell>
          <cell r="D224">
            <v>714.45</v>
          </cell>
          <cell r="F224">
            <v>314.67000000000013</v>
          </cell>
          <cell r="G224">
            <v>440.54</v>
          </cell>
        </row>
        <row r="225">
          <cell r="B225">
            <v>221</v>
          </cell>
          <cell r="C225">
            <v>512.63999999999987</v>
          </cell>
          <cell r="D225">
            <v>717.7</v>
          </cell>
          <cell r="F225">
            <v>316.10000000000014</v>
          </cell>
          <cell r="G225">
            <v>442.54</v>
          </cell>
        </row>
        <row r="226">
          <cell r="B226">
            <v>222</v>
          </cell>
          <cell r="C226">
            <v>514.95999999999992</v>
          </cell>
          <cell r="D226">
            <v>720.94</v>
          </cell>
          <cell r="F226">
            <v>317.53000000000014</v>
          </cell>
          <cell r="G226">
            <v>444.54</v>
          </cell>
        </row>
        <row r="227">
          <cell r="B227">
            <v>223</v>
          </cell>
          <cell r="C227">
            <v>517.28</v>
          </cell>
          <cell r="D227">
            <v>724.19</v>
          </cell>
          <cell r="F227">
            <v>318.96000000000015</v>
          </cell>
          <cell r="G227">
            <v>446.54</v>
          </cell>
        </row>
        <row r="228">
          <cell r="B228">
            <v>224</v>
          </cell>
          <cell r="C228">
            <v>519.6</v>
          </cell>
          <cell r="D228">
            <v>727.44</v>
          </cell>
          <cell r="F228">
            <v>320.39000000000016</v>
          </cell>
          <cell r="G228">
            <v>448.55</v>
          </cell>
        </row>
        <row r="229">
          <cell r="B229">
            <v>225</v>
          </cell>
          <cell r="C229">
            <v>521.92000000000007</v>
          </cell>
          <cell r="D229">
            <v>730.69</v>
          </cell>
          <cell r="F229">
            <v>321.82000000000016</v>
          </cell>
          <cell r="G229">
            <v>450.55</v>
          </cell>
        </row>
        <row r="230">
          <cell r="B230">
            <v>226</v>
          </cell>
          <cell r="C230">
            <v>524.24000000000012</v>
          </cell>
          <cell r="D230">
            <v>733.94</v>
          </cell>
          <cell r="F230">
            <v>323.25000000000017</v>
          </cell>
          <cell r="G230">
            <v>452.55</v>
          </cell>
        </row>
        <row r="231">
          <cell r="B231">
            <v>227</v>
          </cell>
          <cell r="C231">
            <v>526.56000000000017</v>
          </cell>
          <cell r="D231">
            <v>737.18</v>
          </cell>
          <cell r="F231">
            <v>324.68000000000018</v>
          </cell>
          <cell r="G231">
            <v>454.55</v>
          </cell>
        </row>
        <row r="232">
          <cell r="B232">
            <v>228</v>
          </cell>
          <cell r="C232">
            <v>528.88000000000022</v>
          </cell>
          <cell r="D232">
            <v>740.43</v>
          </cell>
          <cell r="F232">
            <v>326.11000000000018</v>
          </cell>
          <cell r="G232">
            <v>456.55</v>
          </cell>
        </row>
        <row r="233">
          <cell r="B233">
            <v>229</v>
          </cell>
          <cell r="C233">
            <v>531.20000000000027</v>
          </cell>
          <cell r="D233">
            <v>743.68</v>
          </cell>
          <cell r="F233">
            <v>327.54000000000019</v>
          </cell>
          <cell r="G233">
            <v>458.56</v>
          </cell>
        </row>
        <row r="234">
          <cell r="B234">
            <v>230</v>
          </cell>
          <cell r="C234">
            <v>533.52000000000032</v>
          </cell>
          <cell r="D234">
            <v>746.93</v>
          </cell>
          <cell r="F234">
            <v>328.9700000000002</v>
          </cell>
          <cell r="G234">
            <v>460.56</v>
          </cell>
        </row>
        <row r="235">
          <cell r="B235">
            <v>231</v>
          </cell>
          <cell r="C235">
            <v>535.84000000000037</v>
          </cell>
          <cell r="D235">
            <v>750.18</v>
          </cell>
          <cell r="F235">
            <v>330.4000000000002</v>
          </cell>
          <cell r="G235">
            <v>462.56</v>
          </cell>
        </row>
        <row r="236">
          <cell r="B236">
            <v>232</v>
          </cell>
          <cell r="C236">
            <v>538.16000000000042</v>
          </cell>
          <cell r="D236">
            <v>753.42</v>
          </cell>
          <cell r="F236">
            <v>331.83000000000021</v>
          </cell>
          <cell r="G236">
            <v>464.56</v>
          </cell>
        </row>
        <row r="237">
          <cell r="B237">
            <v>233</v>
          </cell>
          <cell r="C237">
            <v>540.48000000000047</v>
          </cell>
          <cell r="D237">
            <v>756.67</v>
          </cell>
          <cell r="F237">
            <v>333.26000000000022</v>
          </cell>
          <cell r="G237">
            <v>466.56</v>
          </cell>
        </row>
        <row r="238">
          <cell r="B238">
            <v>234</v>
          </cell>
          <cell r="C238">
            <v>542.80000000000052</v>
          </cell>
          <cell r="D238">
            <v>759.92</v>
          </cell>
          <cell r="F238">
            <v>334.69000000000023</v>
          </cell>
          <cell r="G238">
            <v>468.57</v>
          </cell>
        </row>
        <row r="239">
          <cell r="B239">
            <v>235</v>
          </cell>
          <cell r="C239">
            <v>545.12000000000057</v>
          </cell>
          <cell r="D239">
            <v>763.17</v>
          </cell>
          <cell r="F239">
            <v>336.12000000000023</v>
          </cell>
          <cell r="G239">
            <v>470.57</v>
          </cell>
        </row>
        <row r="240">
          <cell r="B240">
            <v>236</v>
          </cell>
          <cell r="C240">
            <v>547.44000000000062</v>
          </cell>
          <cell r="D240">
            <v>766.42</v>
          </cell>
          <cell r="F240">
            <v>337.55000000000024</v>
          </cell>
          <cell r="G240">
            <v>472.57</v>
          </cell>
        </row>
        <row r="241">
          <cell r="B241">
            <v>237</v>
          </cell>
          <cell r="C241">
            <v>549.76000000000067</v>
          </cell>
          <cell r="D241">
            <v>769.66</v>
          </cell>
          <cell r="F241">
            <v>338.98000000000025</v>
          </cell>
          <cell r="G241">
            <v>474.57</v>
          </cell>
        </row>
        <row r="242">
          <cell r="B242">
            <v>238</v>
          </cell>
          <cell r="C242">
            <v>552.08000000000072</v>
          </cell>
          <cell r="D242">
            <v>772.91</v>
          </cell>
          <cell r="F242">
            <v>340.41000000000025</v>
          </cell>
          <cell r="G242">
            <v>476.57</v>
          </cell>
        </row>
        <row r="243">
          <cell r="B243">
            <v>239</v>
          </cell>
          <cell r="C243">
            <v>554.40000000000077</v>
          </cell>
          <cell r="D243">
            <v>776.16</v>
          </cell>
          <cell r="F243">
            <v>341.84000000000026</v>
          </cell>
          <cell r="G243">
            <v>478.58</v>
          </cell>
        </row>
        <row r="244">
          <cell r="B244">
            <v>240</v>
          </cell>
          <cell r="C244">
            <v>556.72000000000082</v>
          </cell>
          <cell r="D244">
            <v>779.41</v>
          </cell>
          <cell r="F244">
            <v>343.27000000000027</v>
          </cell>
          <cell r="G244">
            <v>480.58</v>
          </cell>
        </row>
        <row r="245">
          <cell r="B245">
            <v>241</v>
          </cell>
          <cell r="C245">
            <v>559.04000000000087</v>
          </cell>
          <cell r="D245">
            <v>782.66</v>
          </cell>
          <cell r="F245">
            <v>344.70000000000027</v>
          </cell>
          <cell r="G245">
            <v>482.58</v>
          </cell>
        </row>
        <row r="246">
          <cell r="B246">
            <v>242</v>
          </cell>
          <cell r="C246">
            <v>561.36000000000092</v>
          </cell>
          <cell r="D246">
            <v>785.9</v>
          </cell>
          <cell r="F246">
            <v>346.13000000000028</v>
          </cell>
          <cell r="G246">
            <v>484.58</v>
          </cell>
        </row>
        <row r="247">
          <cell r="B247">
            <v>243</v>
          </cell>
          <cell r="C247">
            <v>563.68000000000097</v>
          </cell>
          <cell r="D247">
            <v>789.15</v>
          </cell>
          <cell r="F247">
            <v>347.56000000000029</v>
          </cell>
          <cell r="G247">
            <v>486.58</v>
          </cell>
        </row>
        <row r="248">
          <cell r="B248">
            <v>244</v>
          </cell>
          <cell r="C248">
            <v>566.00000000000102</v>
          </cell>
          <cell r="D248">
            <v>792.4</v>
          </cell>
          <cell r="F248">
            <v>348.99000000000029</v>
          </cell>
          <cell r="G248">
            <v>488.59</v>
          </cell>
        </row>
        <row r="249">
          <cell r="B249">
            <v>245</v>
          </cell>
          <cell r="C249">
            <v>568.32000000000107</v>
          </cell>
          <cell r="D249">
            <v>795.65</v>
          </cell>
          <cell r="F249">
            <v>350.4200000000003</v>
          </cell>
          <cell r="G249">
            <v>490.59</v>
          </cell>
        </row>
        <row r="250">
          <cell r="B250">
            <v>246</v>
          </cell>
          <cell r="C250">
            <v>570.64000000000112</v>
          </cell>
          <cell r="D250">
            <v>798.9</v>
          </cell>
          <cell r="F250">
            <v>351.85000000000031</v>
          </cell>
          <cell r="G250">
            <v>492.59</v>
          </cell>
        </row>
        <row r="251">
          <cell r="B251">
            <v>247</v>
          </cell>
          <cell r="C251">
            <v>572.96000000000117</v>
          </cell>
          <cell r="D251">
            <v>802.14</v>
          </cell>
          <cell r="F251">
            <v>353.28000000000031</v>
          </cell>
          <cell r="G251">
            <v>494.59</v>
          </cell>
        </row>
        <row r="252">
          <cell r="B252">
            <v>248</v>
          </cell>
          <cell r="C252">
            <v>575.28000000000122</v>
          </cell>
          <cell r="D252">
            <v>805.39</v>
          </cell>
          <cell r="F252">
            <v>354.71000000000032</v>
          </cell>
          <cell r="G252">
            <v>496.59</v>
          </cell>
        </row>
        <row r="253">
          <cell r="B253">
            <v>249</v>
          </cell>
          <cell r="C253">
            <v>577.60000000000127</v>
          </cell>
          <cell r="D253">
            <v>808.64</v>
          </cell>
          <cell r="F253">
            <v>356.14000000000033</v>
          </cell>
          <cell r="G253">
            <v>498.6</v>
          </cell>
        </row>
        <row r="254">
          <cell r="B254">
            <v>250</v>
          </cell>
          <cell r="C254">
            <v>579.92000000000132</v>
          </cell>
          <cell r="D254">
            <v>811.89</v>
          </cell>
          <cell r="F254">
            <v>357.57000000000033</v>
          </cell>
          <cell r="G254">
            <v>500.6</v>
          </cell>
        </row>
        <row r="255">
          <cell r="B255">
            <v>251</v>
          </cell>
          <cell r="C255">
            <v>582.24000000000137</v>
          </cell>
          <cell r="D255">
            <v>815.14</v>
          </cell>
          <cell r="F255">
            <v>359.00000000000034</v>
          </cell>
          <cell r="G255">
            <v>502.6</v>
          </cell>
        </row>
        <row r="256">
          <cell r="B256">
            <v>252</v>
          </cell>
          <cell r="C256">
            <v>584.56000000000142</v>
          </cell>
          <cell r="D256">
            <v>818.38</v>
          </cell>
          <cell r="F256">
            <v>360.43000000000035</v>
          </cell>
          <cell r="G256">
            <v>504.6</v>
          </cell>
        </row>
        <row r="257">
          <cell r="B257">
            <v>253</v>
          </cell>
          <cell r="C257">
            <v>586.88000000000147</v>
          </cell>
          <cell r="D257">
            <v>821.63</v>
          </cell>
          <cell r="F257">
            <v>361.86000000000035</v>
          </cell>
          <cell r="G257">
            <v>506.6</v>
          </cell>
        </row>
        <row r="258">
          <cell r="B258">
            <v>254</v>
          </cell>
          <cell r="C258">
            <v>589.20000000000152</v>
          </cell>
          <cell r="D258">
            <v>824.88</v>
          </cell>
          <cell r="F258">
            <v>363.29000000000036</v>
          </cell>
          <cell r="G258">
            <v>508.61</v>
          </cell>
        </row>
        <row r="259">
          <cell r="B259">
            <v>255</v>
          </cell>
          <cell r="C259">
            <v>591.52000000000157</v>
          </cell>
          <cell r="D259">
            <v>828.13</v>
          </cell>
          <cell r="F259">
            <v>364.72000000000037</v>
          </cell>
          <cell r="G259">
            <v>510.61</v>
          </cell>
        </row>
        <row r="260">
          <cell r="B260">
            <v>256</v>
          </cell>
          <cell r="C260">
            <v>593.84000000000162</v>
          </cell>
          <cell r="D260">
            <v>831.38</v>
          </cell>
          <cell r="F260">
            <v>366.15000000000038</v>
          </cell>
          <cell r="G260">
            <v>512.61</v>
          </cell>
        </row>
        <row r="261">
          <cell r="B261">
            <v>257</v>
          </cell>
          <cell r="C261">
            <v>596.16000000000167</v>
          </cell>
          <cell r="D261">
            <v>834.62</v>
          </cell>
          <cell r="F261">
            <v>367.58000000000038</v>
          </cell>
          <cell r="G261">
            <v>514.61</v>
          </cell>
        </row>
        <row r="262">
          <cell r="B262">
            <v>258</v>
          </cell>
          <cell r="C262">
            <v>598.48000000000172</v>
          </cell>
          <cell r="D262">
            <v>837.87</v>
          </cell>
          <cell r="F262">
            <v>369.01000000000039</v>
          </cell>
          <cell r="G262">
            <v>516.61</v>
          </cell>
        </row>
        <row r="263">
          <cell r="B263">
            <v>259</v>
          </cell>
          <cell r="C263">
            <v>600.80000000000177</v>
          </cell>
          <cell r="D263">
            <v>841.12</v>
          </cell>
          <cell r="F263">
            <v>370.4400000000004</v>
          </cell>
          <cell r="G263">
            <v>518.62</v>
          </cell>
        </row>
        <row r="264">
          <cell r="B264">
            <v>260</v>
          </cell>
          <cell r="C264">
            <v>603.12000000000182</v>
          </cell>
          <cell r="D264">
            <v>844.37</v>
          </cell>
          <cell r="F264">
            <v>371.8700000000004</v>
          </cell>
          <cell r="G264">
            <v>520.62</v>
          </cell>
        </row>
        <row r="265">
          <cell r="B265">
            <v>261</v>
          </cell>
          <cell r="C265">
            <v>605.44000000000187</v>
          </cell>
          <cell r="D265">
            <v>847.62</v>
          </cell>
          <cell r="F265">
            <v>373.30000000000041</v>
          </cell>
          <cell r="G265">
            <v>522.62</v>
          </cell>
        </row>
        <row r="266">
          <cell r="B266">
            <v>262</v>
          </cell>
          <cell r="C266">
            <v>607.76000000000192</v>
          </cell>
          <cell r="D266">
            <v>850.86</v>
          </cell>
          <cell r="F266">
            <v>374.73000000000042</v>
          </cell>
          <cell r="G266">
            <v>524.62</v>
          </cell>
        </row>
        <row r="267">
          <cell r="B267">
            <v>263</v>
          </cell>
          <cell r="C267">
            <v>610.08000000000197</v>
          </cell>
          <cell r="D267">
            <v>854.11</v>
          </cell>
          <cell r="F267">
            <v>376.16000000000042</v>
          </cell>
          <cell r="G267">
            <v>526.62</v>
          </cell>
        </row>
        <row r="268">
          <cell r="B268">
            <v>264</v>
          </cell>
          <cell r="C268">
            <v>612.40000000000202</v>
          </cell>
          <cell r="D268">
            <v>857.36</v>
          </cell>
          <cell r="F268">
            <v>377.59000000000043</v>
          </cell>
          <cell r="G268">
            <v>528.63</v>
          </cell>
        </row>
        <row r="269">
          <cell r="B269">
            <v>265</v>
          </cell>
          <cell r="C269">
            <v>614.72000000000207</v>
          </cell>
          <cell r="D269">
            <v>860.61</v>
          </cell>
          <cell r="F269">
            <v>379.02000000000044</v>
          </cell>
          <cell r="G269">
            <v>530.63</v>
          </cell>
        </row>
        <row r="270">
          <cell r="B270">
            <v>266</v>
          </cell>
          <cell r="C270">
            <v>617.04000000000212</v>
          </cell>
          <cell r="D270">
            <v>863.86</v>
          </cell>
          <cell r="F270">
            <v>380.45000000000044</v>
          </cell>
          <cell r="G270">
            <v>532.63</v>
          </cell>
        </row>
        <row r="271">
          <cell r="B271">
            <v>267</v>
          </cell>
          <cell r="C271">
            <v>619.36000000000217</v>
          </cell>
          <cell r="D271">
            <v>867.1</v>
          </cell>
          <cell r="F271">
            <v>381.88000000000045</v>
          </cell>
          <cell r="G271">
            <v>534.63</v>
          </cell>
        </row>
        <row r="272">
          <cell r="B272">
            <v>268</v>
          </cell>
          <cell r="C272">
            <v>621.68000000000222</v>
          </cell>
          <cell r="D272">
            <v>870.35</v>
          </cell>
          <cell r="F272">
            <v>383.31000000000046</v>
          </cell>
          <cell r="G272">
            <v>536.63</v>
          </cell>
        </row>
        <row r="273">
          <cell r="B273">
            <v>269</v>
          </cell>
          <cell r="C273">
            <v>624.00000000000227</v>
          </cell>
          <cell r="D273">
            <v>873.6</v>
          </cell>
          <cell r="F273">
            <v>384.74000000000046</v>
          </cell>
          <cell r="G273">
            <v>538.64</v>
          </cell>
        </row>
        <row r="274">
          <cell r="B274">
            <v>270</v>
          </cell>
          <cell r="C274">
            <v>626.32000000000232</v>
          </cell>
          <cell r="D274">
            <v>876.85</v>
          </cell>
          <cell r="F274">
            <v>386.17000000000047</v>
          </cell>
          <cell r="G274">
            <v>540.64</v>
          </cell>
        </row>
        <row r="275">
          <cell r="B275">
            <v>271</v>
          </cell>
          <cell r="C275">
            <v>628.64000000000237</v>
          </cell>
          <cell r="D275">
            <v>880.1</v>
          </cell>
          <cell r="F275">
            <v>387.60000000000048</v>
          </cell>
          <cell r="G275">
            <v>542.64</v>
          </cell>
        </row>
        <row r="276">
          <cell r="B276">
            <v>272</v>
          </cell>
          <cell r="C276">
            <v>630.96000000000242</v>
          </cell>
          <cell r="D276">
            <v>883.34</v>
          </cell>
          <cell r="F276">
            <v>389.03000000000048</v>
          </cell>
          <cell r="G276">
            <v>544.64</v>
          </cell>
        </row>
        <row r="277">
          <cell r="B277">
            <v>273</v>
          </cell>
          <cell r="C277">
            <v>633.28000000000247</v>
          </cell>
          <cell r="D277">
            <v>886.59</v>
          </cell>
          <cell r="F277">
            <v>390.46000000000049</v>
          </cell>
          <cell r="G277">
            <v>546.64</v>
          </cell>
        </row>
        <row r="278">
          <cell r="B278">
            <v>274</v>
          </cell>
          <cell r="C278">
            <v>635.60000000000252</v>
          </cell>
          <cell r="D278">
            <v>889.84</v>
          </cell>
          <cell r="F278">
            <v>391.8900000000005</v>
          </cell>
          <cell r="G278">
            <v>548.65</v>
          </cell>
        </row>
        <row r="279">
          <cell r="B279">
            <v>275</v>
          </cell>
          <cell r="C279">
            <v>637.92000000000257</v>
          </cell>
          <cell r="D279">
            <v>893.09</v>
          </cell>
          <cell r="F279">
            <v>393.3200000000005</v>
          </cell>
          <cell r="G279">
            <v>550.65</v>
          </cell>
        </row>
        <row r="280">
          <cell r="B280">
            <v>276</v>
          </cell>
          <cell r="C280">
            <v>640.24000000000262</v>
          </cell>
          <cell r="D280">
            <v>896.34</v>
          </cell>
          <cell r="F280">
            <v>394.75000000000051</v>
          </cell>
          <cell r="G280">
            <v>552.65</v>
          </cell>
        </row>
        <row r="281">
          <cell r="B281">
            <v>277</v>
          </cell>
          <cell r="C281">
            <v>642.56000000000267</v>
          </cell>
          <cell r="D281">
            <v>899.58</v>
          </cell>
          <cell r="F281">
            <v>396.18000000000052</v>
          </cell>
          <cell r="G281">
            <v>554.65</v>
          </cell>
        </row>
        <row r="282">
          <cell r="B282">
            <v>278</v>
          </cell>
          <cell r="C282">
            <v>644.88000000000272</v>
          </cell>
          <cell r="D282">
            <v>902.83</v>
          </cell>
          <cell r="F282">
            <v>397.61000000000053</v>
          </cell>
          <cell r="G282">
            <v>556.65</v>
          </cell>
        </row>
        <row r="283">
          <cell r="B283">
            <v>279</v>
          </cell>
          <cell r="C283">
            <v>647.20000000000277</v>
          </cell>
          <cell r="D283">
            <v>906.08</v>
          </cell>
          <cell r="F283">
            <v>399.04000000000053</v>
          </cell>
          <cell r="G283">
            <v>558.66</v>
          </cell>
        </row>
        <row r="284">
          <cell r="B284">
            <v>280</v>
          </cell>
          <cell r="C284">
            <v>649.52000000000282</v>
          </cell>
          <cell r="D284">
            <v>909.33</v>
          </cell>
          <cell r="F284">
            <v>400.47000000000054</v>
          </cell>
          <cell r="G284">
            <v>560.66</v>
          </cell>
        </row>
        <row r="285">
          <cell r="B285">
            <v>281</v>
          </cell>
          <cell r="C285">
            <v>651.84000000000287</v>
          </cell>
          <cell r="D285">
            <v>912.58</v>
          </cell>
          <cell r="F285">
            <v>401.90000000000055</v>
          </cell>
          <cell r="G285">
            <v>562.66</v>
          </cell>
        </row>
        <row r="286">
          <cell r="B286">
            <v>282</v>
          </cell>
          <cell r="C286">
            <v>654.16000000000292</v>
          </cell>
          <cell r="D286">
            <v>915.82</v>
          </cell>
          <cell r="F286">
            <v>403.33000000000055</v>
          </cell>
          <cell r="G286">
            <v>564.66</v>
          </cell>
        </row>
        <row r="287">
          <cell r="B287">
            <v>283</v>
          </cell>
          <cell r="C287">
            <v>656.48000000000297</v>
          </cell>
          <cell r="D287">
            <v>919.07</v>
          </cell>
          <cell r="F287">
            <v>404.76000000000056</v>
          </cell>
          <cell r="G287">
            <v>566.66</v>
          </cell>
        </row>
        <row r="288">
          <cell r="B288">
            <v>284</v>
          </cell>
          <cell r="C288">
            <v>658.80000000000302</v>
          </cell>
          <cell r="D288">
            <v>922.32</v>
          </cell>
          <cell r="F288">
            <v>406.19000000000057</v>
          </cell>
          <cell r="G288">
            <v>568.66999999999996</v>
          </cell>
        </row>
        <row r="289">
          <cell r="B289">
            <v>285</v>
          </cell>
          <cell r="C289">
            <v>661.12000000000307</v>
          </cell>
          <cell r="D289">
            <v>925.57</v>
          </cell>
          <cell r="F289">
            <v>407.62000000000057</v>
          </cell>
          <cell r="G289">
            <v>570.66999999999996</v>
          </cell>
        </row>
        <row r="290">
          <cell r="B290">
            <v>286</v>
          </cell>
          <cell r="C290">
            <v>663.44000000000312</v>
          </cell>
          <cell r="D290">
            <v>928.82</v>
          </cell>
          <cell r="F290">
            <v>409.05000000000058</v>
          </cell>
          <cell r="G290">
            <v>572.66999999999996</v>
          </cell>
        </row>
        <row r="291">
          <cell r="B291">
            <v>287</v>
          </cell>
          <cell r="C291">
            <v>665.76000000000317</v>
          </cell>
          <cell r="D291">
            <v>932.06</v>
          </cell>
          <cell r="F291">
            <v>410.48000000000059</v>
          </cell>
          <cell r="G291">
            <v>574.66999999999996</v>
          </cell>
        </row>
        <row r="292">
          <cell r="B292">
            <v>288</v>
          </cell>
          <cell r="C292">
            <v>668.08000000000322</v>
          </cell>
          <cell r="D292">
            <v>935.31</v>
          </cell>
          <cell r="F292">
            <v>411.91000000000059</v>
          </cell>
          <cell r="G292">
            <v>576.66999999999996</v>
          </cell>
        </row>
        <row r="293">
          <cell r="B293">
            <v>289</v>
          </cell>
          <cell r="C293">
            <v>670.40000000000327</v>
          </cell>
          <cell r="D293">
            <v>938.56</v>
          </cell>
          <cell r="F293">
            <v>413.3400000000006</v>
          </cell>
          <cell r="G293">
            <v>578.67999999999995</v>
          </cell>
        </row>
        <row r="294">
          <cell r="B294">
            <v>290</v>
          </cell>
          <cell r="C294">
            <v>672.72000000000332</v>
          </cell>
          <cell r="D294">
            <v>941.81</v>
          </cell>
          <cell r="F294">
            <v>414.77000000000061</v>
          </cell>
          <cell r="G294">
            <v>580.67999999999995</v>
          </cell>
        </row>
        <row r="295">
          <cell r="B295">
            <v>291</v>
          </cell>
          <cell r="C295">
            <v>675.04000000000337</v>
          </cell>
          <cell r="D295">
            <v>945.06</v>
          </cell>
          <cell r="F295">
            <v>416.20000000000061</v>
          </cell>
          <cell r="G295">
            <v>582.67999999999995</v>
          </cell>
        </row>
        <row r="296">
          <cell r="B296">
            <v>292</v>
          </cell>
          <cell r="C296">
            <v>677.36000000000342</v>
          </cell>
          <cell r="D296">
            <v>948.3</v>
          </cell>
          <cell r="F296">
            <v>417.63000000000062</v>
          </cell>
          <cell r="G296">
            <v>584.67999999999995</v>
          </cell>
        </row>
        <row r="297">
          <cell r="B297">
            <v>293</v>
          </cell>
          <cell r="C297">
            <v>679.68000000000347</v>
          </cell>
          <cell r="D297">
            <v>951.55</v>
          </cell>
          <cell r="F297">
            <v>419.06000000000063</v>
          </cell>
          <cell r="G297">
            <v>586.67999999999995</v>
          </cell>
        </row>
        <row r="298">
          <cell r="B298">
            <v>294</v>
          </cell>
          <cell r="C298">
            <v>682.00000000000352</v>
          </cell>
          <cell r="D298">
            <v>954.8</v>
          </cell>
          <cell r="F298">
            <v>420.49000000000063</v>
          </cell>
          <cell r="G298">
            <v>588.69000000000005</v>
          </cell>
        </row>
        <row r="299">
          <cell r="B299">
            <v>295</v>
          </cell>
          <cell r="C299">
            <v>684.32000000000357</v>
          </cell>
          <cell r="D299">
            <v>958.05</v>
          </cell>
          <cell r="F299">
            <v>421.92000000000064</v>
          </cell>
          <cell r="G299">
            <v>590.69000000000005</v>
          </cell>
        </row>
        <row r="300">
          <cell r="B300">
            <v>296</v>
          </cell>
          <cell r="C300">
            <v>686.64000000000362</v>
          </cell>
          <cell r="D300">
            <v>961.3</v>
          </cell>
          <cell r="F300">
            <v>423.35000000000065</v>
          </cell>
          <cell r="G300">
            <v>592.69000000000005</v>
          </cell>
        </row>
        <row r="301">
          <cell r="B301">
            <v>297</v>
          </cell>
          <cell r="C301">
            <v>688.96000000000367</v>
          </cell>
          <cell r="D301">
            <v>964.54</v>
          </cell>
          <cell r="F301">
            <v>424.78000000000065</v>
          </cell>
          <cell r="G301">
            <v>594.69000000000005</v>
          </cell>
        </row>
        <row r="302">
          <cell r="B302">
            <v>298</v>
          </cell>
          <cell r="C302">
            <v>691.28000000000372</v>
          </cell>
          <cell r="D302">
            <v>967.79</v>
          </cell>
          <cell r="F302">
            <v>426.21000000000066</v>
          </cell>
          <cell r="G302">
            <v>596.69000000000005</v>
          </cell>
        </row>
        <row r="303">
          <cell r="B303">
            <v>299</v>
          </cell>
          <cell r="C303">
            <v>693.60000000000377</v>
          </cell>
          <cell r="D303">
            <v>971.04</v>
          </cell>
          <cell r="F303">
            <v>427.64000000000067</v>
          </cell>
          <cell r="G303">
            <v>598.70000000000005</v>
          </cell>
        </row>
        <row r="304">
          <cell r="B304">
            <v>300</v>
          </cell>
          <cell r="C304">
            <v>695.92000000000382</v>
          </cell>
          <cell r="D304">
            <v>974.29</v>
          </cell>
          <cell r="F304">
            <v>429.07000000000068</v>
          </cell>
          <cell r="G304">
            <v>600.70000000000005</v>
          </cell>
        </row>
        <row r="305">
          <cell r="B305">
            <v>301</v>
          </cell>
          <cell r="C305">
            <v>698.24000000000387</v>
          </cell>
          <cell r="D305">
            <v>977.54</v>
          </cell>
          <cell r="F305">
            <v>430.50000000000068</v>
          </cell>
          <cell r="G305">
            <v>602.70000000000005</v>
          </cell>
        </row>
        <row r="306">
          <cell r="B306">
            <v>302</v>
          </cell>
          <cell r="C306">
            <v>700.56000000000392</v>
          </cell>
          <cell r="D306">
            <v>980.78</v>
          </cell>
          <cell r="F306">
            <v>431.93000000000069</v>
          </cell>
          <cell r="G306">
            <v>604.70000000000005</v>
          </cell>
        </row>
        <row r="307">
          <cell r="B307">
            <v>303</v>
          </cell>
          <cell r="C307">
            <v>702.88000000000397</v>
          </cell>
          <cell r="D307">
            <v>984.03</v>
          </cell>
          <cell r="F307">
            <v>433.3600000000007</v>
          </cell>
          <cell r="G307">
            <v>606.70000000000005</v>
          </cell>
        </row>
        <row r="308">
          <cell r="B308">
            <v>304</v>
          </cell>
          <cell r="C308">
            <v>705.20000000000402</v>
          </cell>
          <cell r="D308">
            <v>987.28</v>
          </cell>
          <cell r="F308">
            <v>434.7900000000007</v>
          </cell>
          <cell r="G308">
            <v>608.71</v>
          </cell>
        </row>
        <row r="309">
          <cell r="B309">
            <v>305</v>
          </cell>
          <cell r="C309">
            <v>707.52000000000407</v>
          </cell>
          <cell r="D309">
            <v>990.53</v>
          </cell>
          <cell r="F309">
            <v>436.22000000000071</v>
          </cell>
          <cell r="G309">
            <v>610.71</v>
          </cell>
        </row>
        <row r="310">
          <cell r="B310">
            <v>306</v>
          </cell>
          <cell r="C310">
            <v>709.84000000000412</v>
          </cell>
          <cell r="D310">
            <v>993.78</v>
          </cell>
          <cell r="F310">
            <v>437.65000000000072</v>
          </cell>
          <cell r="G310">
            <v>612.71</v>
          </cell>
        </row>
        <row r="311">
          <cell r="B311">
            <v>307</v>
          </cell>
          <cell r="C311">
            <v>712.16000000000417</v>
          </cell>
          <cell r="D311">
            <v>997.02</v>
          </cell>
          <cell r="F311">
            <v>439.08000000000072</v>
          </cell>
          <cell r="G311">
            <v>614.71</v>
          </cell>
        </row>
        <row r="312">
          <cell r="B312">
            <v>308</v>
          </cell>
          <cell r="C312">
            <v>714.48000000000422</v>
          </cell>
          <cell r="D312">
            <v>1000.27</v>
          </cell>
          <cell r="F312">
            <v>440.51000000000073</v>
          </cell>
          <cell r="G312">
            <v>616.71</v>
          </cell>
        </row>
        <row r="313">
          <cell r="B313">
            <v>309</v>
          </cell>
          <cell r="C313">
            <v>716.80000000000427</v>
          </cell>
          <cell r="D313">
            <v>1003.52</v>
          </cell>
          <cell r="F313">
            <v>441.94000000000074</v>
          </cell>
          <cell r="G313">
            <v>618.72</v>
          </cell>
        </row>
        <row r="314">
          <cell r="B314">
            <v>310</v>
          </cell>
          <cell r="C314">
            <v>719.12000000000432</v>
          </cell>
          <cell r="D314">
            <v>1006.77</v>
          </cell>
          <cell r="F314">
            <v>443.37000000000074</v>
          </cell>
          <cell r="G314">
            <v>620.72</v>
          </cell>
        </row>
        <row r="315">
          <cell r="B315">
            <v>311</v>
          </cell>
          <cell r="C315">
            <v>721.44000000000437</v>
          </cell>
          <cell r="D315">
            <v>1010.02</v>
          </cell>
          <cell r="F315">
            <v>444.80000000000075</v>
          </cell>
          <cell r="G315">
            <v>622.72</v>
          </cell>
        </row>
        <row r="316">
          <cell r="B316">
            <v>312</v>
          </cell>
          <cell r="C316">
            <v>723.76000000000442</v>
          </cell>
          <cell r="D316">
            <v>1013.26</v>
          </cell>
          <cell r="F316">
            <v>446.23000000000076</v>
          </cell>
          <cell r="G316">
            <v>624.72</v>
          </cell>
        </row>
        <row r="317">
          <cell r="B317">
            <v>313</v>
          </cell>
          <cell r="C317">
            <v>726.08000000000447</v>
          </cell>
          <cell r="D317">
            <v>1016.51</v>
          </cell>
          <cell r="F317">
            <v>447.66000000000076</v>
          </cell>
          <cell r="G317">
            <v>626.72</v>
          </cell>
        </row>
        <row r="318">
          <cell r="B318">
            <v>314</v>
          </cell>
          <cell r="C318">
            <v>728.40000000000452</v>
          </cell>
          <cell r="D318">
            <v>1019.76</v>
          </cell>
          <cell r="F318">
            <v>449.09000000000077</v>
          </cell>
          <cell r="G318">
            <v>628.73</v>
          </cell>
        </row>
        <row r="319">
          <cell r="B319">
            <v>315</v>
          </cell>
          <cell r="C319">
            <v>730.72000000000457</v>
          </cell>
          <cell r="D319">
            <v>1023.01</v>
          </cell>
          <cell r="F319">
            <v>450.52000000000078</v>
          </cell>
          <cell r="G319">
            <v>630.73</v>
          </cell>
        </row>
        <row r="320">
          <cell r="B320">
            <v>316</v>
          </cell>
          <cell r="C320">
            <v>733.04000000000462</v>
          </cell>
          <cell r="D320">
            <v>1026.26</v>
          </cell>
          <cell r="F320">
            <v>451.95000000000078</v>
          </cell>
          <cell r="G320">
            <v>632.73</v>
          </cell>
        </row>
        <row r="321">
          <cell r="B321">
            <v>317</v>
          </cell>
          <cell r="C321">
            <v>735.36000000000467</v>
          </cell>
          <cell r="D321">
            <v>1029.5</v>
          </cell>
          <cell r="F321">
            <v>453.38000000000079</v>
          </cell>
          <cell r="G321">
            <v>634.73</v>
          </cell>
        </row>
        <row r="322">
          <cell r="B322">
            <v>318</v>
          </cell>
          <cell r="C322">
            <v>737.68000000000472</v>
          </cell>
          <cell r="D322">
            <v>1032.75</v>
          </cell>
          <cell r="F322">
            <v>454.8100000000008</v>
          </cell>
          <cell r="G322">
            <v>636.73</v>
          </cell>
        </row>
        <row r="323">
          <cell r="B323">
            <v>319</v>
          </cell>
          <cell r="C323">
            <v>740.00000000000477</v>
          </cell>
          <cell r="D323">
            <v>1036</v>
          </cell>
          <cell r="F323">
            <v>456.2400000000008</v>
          </cell>
          <cell r="G323">
            <v>638.74</v>
          </cell>
        </row>
        <row r="324">
          <cell r="B324">
            <v>320</v>
          </cell>
          <cell r="C324">
            <v>742.32000000000482</v>
          </cell>
          <cell r="D324">
            <v>1039.25</v>
          </cell>
          <cell r="F324">
            <v>457.67000000000081</v>
          </cell>
          <cell r="G324">
            <v>640.74</v>
          </cell>
        </row>
        <row r="325">
          <cell r="B325">
            <v>321</v>
          </cell>
          <cell r="C325">
            <v>744.64000000000487</v>
          </cell>
          <cell r="D325">
            <v>1042.5</v>
          </cell>
          <cell r="F325">
            <v>459.10000000000082</v>
          </cell>
          <cell r="G325">
            <v>642.74</v>
          </cell>
        </row>
        <row r="326">
          <cell r="B326">
            <v>322</v>
          </cell>
          <cell r="C326">
            <v>746.96000000000492</v>
          </cell>
          <cell r="D326">
            <v>1045.74</v>
          </cell>
          <cell r="F326">
            <v>460.53000000000083</v>
          </cell>
          <cell r="G326">
            <v>644.74</v>
          </cell>
        </row>
        <row r="327">
          <cell r="B327">
            <v>323</v>
          </cell>
          <cell r="C327">
            <v>749.28000000000497</v>
          </cell>
          <cell r="D327">
            <v>1048.99</v>
          </cell>
          <cell r="F327">
            <v>461.96000000000083</v>
          </cell>
          <cell r="G327">
            <v>646.74</v>
          </cell>
        </row>
        <row r="328">
          <cell r="B328">
            <v>324</v>
          </cell>
          <cell r="C328">
            <v>751.60000000000502</v>
          </cell>
          <cell r="D328">
            <v>1052.24</v>
          </cell>
          <cell r="F328">
            <v>463.39000000000084</v>
          </cell>
          <cell r="G328">
            <v>648.75</v>
          </cell>
        </row>
        <row r="329">
          <cell r="B329">
            <v>325</v>
          </cell>
          <cell r="C329">
            <v>753.92000000000507</v>
          </cell>
          <cell r="D329">
            <v>1055.49</v>
          </cell>
          <cell r="F329">
            <v>464.82000000000085</v>
          </cell>
          <cell r="G329">
            <v>650.75</v>
          </cell>
        </row>
        <row r="330">
          <cell r="B330">
            <v>326</v>
          </cell>
          <cell r="C330">
            <v>756.24000000000513</v>
          </cell>
          <cell r="D330">
            <v>1058.74</v>
          </cell>
          <cell r="F330">
            <v>466.25000000000085</v>
          </cell>
          <cell r="G330">
            <v>652.75</v>
          </cell>
        </row>
        <row r="331">
          <cell r="B331">
            <v>327</v>
          </cell>
          <cell r="C331">
            <v>758.56000000000518</v>
          </cell>
          <cell r="D331">
            <v>1061.98</v>
          </cell>
          <cell r="F331">
            <v>467.68000000000086</v>
          </cell>
          <cell r="G331">
            <v>654.75</v>
          </cell>
        </row>
        <row r="332">
          <cell r="B332">
            <v>328</v>
          </cell>
          <cell r="C332">
            <v>760.88000000000523</v>
          </cell>
          <cell r="D332">
            <v>1065.23</v>
          </cell>
          <cell r="F332">
            <v>469.11000000000087</v>
          </cell>
          <cell r="G332">
            <v>656.75</v>
          </cell>
        </row>
        <row r="333">
          <cell r="B333">
            <v>329</v>
          </cell>
          <cell r="C333">
            <v>763.20000000000528</v>
          </cell>
          <cell r="D333">
            <v>1068.48</v>
          </cell>
          <cell r="F333">
            <v>470.54000000000087</v>
          </cell>
          <cell r="G333">
            <v>658.76</v>
          </cell>
        </row>
        <row r="334">
          <cell r="B334">
            <v>330</v>
          </cell>
          <cell r="C334">
            <v>765.52000000000533</v>
          </cell>
          <cell r="D334">
            <v>1071.73</v>
          </cell>
          <cell r="F334">
            <v>471.97000000000088</v>
          </cell>
          <cell r="G334">
            <v>660.76</v>
          </cell>
        </row>
        <row r="335">
          <cell r="B335">
            <v>331</v>
          </cell>
          <cell r="C335">
            <v>767.84000000000538</v>
          </cell>
          <cell r="D335">
            <v>1074.98</v>
          </cell>
          <cell r="F335">
            <v>473.40000000000089</v>
          </cell>
          <cell r="G335">
            <v>662.76</v>
          </cell>
        </row>
        <row r="336">
          <cell r="B336">
            <v>332</v>
          </cell>
          <cell r="C336">
            <v>770.16000000000543</v>
          </cell>
          <cell r="D336">
            <v>1078.22</v>
          </cell>
          <cell r="F336">
            <v>474.83000000000089</v>
          </cell>
          <cell r="G336">
            <v>664.76</v>
          </cell>
        </row>
        <row r="337">
          <cell r="B337">
            <v>333</v>
          </cell>
          <cell r="C337">
            <v>772.48000000000548</v>
          </cell>
          <cell r="D337">
            <v>1081.47</v>
          </cell>
          <cell r="F337">
            <v>476.2600000000009</v>
          </cell>
          <cell r="G337">
            <v>666.76</v>
          </cell>
        </row>
        <row r="338">
          <cell r="B338">
            <v>334</v>
          </cell>
          <cell r="C338">
            <v>774.80000000000553</v>
          </cell>
          <cell r="D338">
            <v>1084.72</v>
          </cell>
          <cell r="F338">
            <v>477.69000000000091</v>
          </cell>
          <cell r="G338">
            <v>668.77</v>
          </cell>
        </row>
        <row r="339">
          <cell r="B339">
            <v>335</v>
          </cell>
          <cell r="C339">
            <v>777.12000000000558</v>
          </cell>
          <cell r="D339">
            <v>1087.97</v>
          </cell>
          <cell r="F339">
            <v>479.12000000000091</v>
          </cell>
          <cell r="G339">
            <v>670.77</v>
          </cell>
        </row>
        <row r="340">
          <cell r="B340">
            <v>336</v>
          </cell>
          <cell r="C340">
            <v>779.44000000000563</v>
          </cell>
          <cell r="D340">
            <v>1091.22</v>
          </cell>
          <cell r="F340">
            <v>480.55000000000092</v>
          </cell>
          <cell r="G340">
            <v>672.77</v>
          </cell>
        </row>
        <row r="341">
          <cell r="B341">
            <v>337</v>
          </cell>
          <cell r="C341">
            <v>781.76000000000568</v>
          </cell>
          <cell r="D341">
            <v>1094.46</v>
          </cell>
          <cell r="F341">
            <v>481.98000000000093</v>
          </cell>
          <cell r="G341">
            <v>674.77</v>
          </cell>
        </row>
        <row r="342">
          <cell r="B342">
            <v>338</v>
          </cell>
          <cell r="C342">
            <v>784.08000000000573</v>
          </cell>
          <cell r="D342">
            <v>1097.71</v>
          </cell>
          <cell r="F342">
            <v>483.41000000000093</v>
          </cell>
          <cell r="G342">
            <v>676.77</v>
          </cell>
        </row>
        <row r="343">
          <cell r="B343">
            <v>339</v>
          </cell>
          <cell r="C343">
            <v>786.40000000000578</v>
          </cell>
          <cell r="D343">
            <v>1100.96</v>
          </cell>
          <cell r="F343">
            <v>484.84000000000094</v>
          </cell>
          <cell r="G343">
            <v>678.78</v>
          </cell>
        </row>
        <row r="344">
          <cell r="B344">
            <v>340</v>
          </cell>
          <cell r="C344">
            <v>788.72000000000583</v>
          </cell>
          <cell r="D344">
            <v>1104.21</v>
          </cell>
          <cell r="F344">
            <v>486.27000000000095</v>
          </cell>
          <cell r="G344">
            <v>680.78</v>
          </cell>
        </row>
        <row r="345">
          <cell r="B345">
            <v>341</v>
          </cell>
          <cell r="C345">
            <v>791.04000000000588</v>
          </cell>
          <cell r="D345">
            <v>1107.46</v>
          </cell>
          <cell r="F345">
            <v>487.70000000000095</v>
          </cell>
          <cell r="G345">
            <v>682.78</v>
          </cell>
        </row>
        <row r="346">
          <cell r="B346">
            <v>342</v>
          </cell>
          <cell r="C346">
            <v>793.36000000000593</v>
          </cell>
          <cell r="D346">
            <v>1110.7</v>
          </cell>
          <cell r="F346">
            <v>489.13000000000096</v>
          </cell>
          <cell r="G346">
            <v>684.78</v>
          </cell>
        </row>
        <row r="347">
          <cell r="B347">
            <v>343</v>
          </cell>
          <cell r="C347">
            <v>795.68000000000598</v>
          </cell>
          <cell r="D347">
            <v>1113.95</v>
          </cell>
          <cell r="F347">
            <v>490.56000000000097</v>
          </cell>
          <cell r="G347">
            <v>686.78</v>
          </cell>
        </row>
        <row r="348">
          <cell r="B348">
            <v>344</v>
          </cell>
          <cell r="C348">
            <v>798.00000000000603</v>
          </cell>
          <cell r="D348">
            <v>1117.2</v>
          </cell>
          <cell r="F348">
            <v>491.99000000000098</v>
          </cell>
          <cell r="G348">
            <v>688.79</v>
          </cell>
        </row>
        <row r="349">
          <cell r="B349">
            <v>345</v>
          </cell>
          <cell r="C349">
            <v>800.32000000000608</v>
          </cell>
          <cell r="D349">
            <v>1120.45</v>
          </cell>
          <cell r="F349">
            <v>493.42000000000098</v>
          </cell>
          <cell r="G349">
            <v>690.79</v>
          </cell>
        </row>
        <row r="350">
          <cell r="B350">
            <v>346</v>
          </cell>
          <cell r="C350">
            <v>802.64000000000613</v>
          </cell>
          <cell r="D350">
            <v>1123.7</v>
          </cell>
          <cell r="F350">
            <v>494.85000000000099</v>
          </cell>
          <cell r="G350">
            <v>692.79</v>
          </cell>
        </row>
        <row r="351">
          <cell r="B351">
            <v>347</v>
          </cell>
          <cell r="C351">
            <v>804.96000000000618</v>
          </cell>
          <cell r="D351">
            <v>1126.94</v>
          </cell>
          <cell r="F351">
            <v>496.280000000001</v>
          </cell>
          <cell r="G351">
            <v>694.79</v>
          </cell>
        </row>
        <row r="352">
          <cell r="B352">
            <v>348</v>
          </cell>
          <cell r="C352">
            <v>807.28000000000623</v>
          </cell>
          <cell r="D352">
            <v>1130.19</v>
          </cell>
          <cell r="F352">
            <v>497.710000000001</v>
          </cell>
          <cell r="G352">
            <v>696.79</v>
          </cell>
        </row>
        <row r="353">
          <cell r="B353">
            <v>349</v>
          </cell>
          <cell r="C353">
            <v>809.60000000000628</v>
          </cell>
          <cell r="D353">
            <v>1133.44</v>
          </cell>
          <cell r="F353">
            <v>499.14000000000101</v>
          </cell>
          <cell r="G353">
            <v>698.8</v>
          </cell>
        </row>
        <row r="354">
          <cell r="B354">
            <v>350</v>
          </cell>
          <cell r="C354">
            <v>811.92000000000633</v>
          </cell>
          <cell r="D354">
            <v>1136.69</v>
          </cell>
          <cell r="F354">
            <v>500.57000000000102</v>
          </cell>
          <cell r="G354">
            <v>700.8</v>
          </cell>
        </row>
        <row r="355">
          <cell r="B355">
            <v>351</v>
          </cell>
          <cell r="C355">
            <v>814.24000000000638</v>
          </cell>
          <cell r="D355">
            <v>1139.94</v>
          </cell>
          <cell r="F355">
            <v>502.00000000000102</v>
          </cell>
          <cell r="G355">
            <v>702.8</v>
          </cell>
        </row>
        <row r="356">
          <cell r="B356">
            <v>352</v>
          </cell>
          <cell r="C356">
            <v>816.56000000000643</v>
          </cell>
          <cell r="D356">
            <v>1143.18</v>
          </cell>
          <cell r="F356">
            <v>503.43000000000103</v>
          </cell>
          <cell r="G356">
            <v>704.8</v>
          </cell>
        </row>
        <row r="357">
          <cell r="B357">
            <v>353</v>
          </cell>
          <cell r="C357">
            <v>818.88000000000648</v>
          </cell>
          <cell r="D357">
            <v>1146.43</v>
          </cell>
          <cell r="F357">
            <v>504.86000000000104</v>
          </cell>
          <cell r="G357">
            <v>706.8</v>
          </cell>
        </row>
        <row r="358">
          <cell r="B358">
            <v>354</v>
          </cell>
          <cell r="C358">
            <v>821.20000000000653</v>
          </cell>
          <cell r="D358">
            <v>1149.68</v>
          </cell>
          <cell r="F358">
            <v>506.29000000000104</v>
          </cell>
          <cell r="G358">
            <v>708.81</v>
          </cell>
        </row>
        <row r="359">
          <cell r="B359">
            <v>355</v>
          </cell>
          <cell r="C359">
            <v>823.52000000000658</v>
          </cell>
          <cell r="D359">
            <v>1152.93</v>
          </cell>
          <cell r="F359">
            <v>507.72000000000105</v>
          </cell>
          <cell r="G359">
            <v>710.81</v>
          </cell>
        </row>
        <row r="360">
          <cell r="B360">
            <v>356</v>
          </cell>
          <cell r="C360">
            <v>825.84000000000663</v>
          </cell>
          <cell r="D360">
            <v>1156.18</v>
          </cell>
          <cell r="F360">
            <v>509.15000000000106</v>
          </cell>
          <cell r="G360">
            <v>712.81</v>
          </cell>
        </row>
        <row r="361">
          <cell r="B361">
            <v>357</v>
          </cell>
          <cell r="C361">
            <v>828.16000000000668</v>
          </cell>
          <cell r="D361">
            <v>1159.42</v>
          </cell>
          <cell r="F361">
            <v>510.58000000000106</v>
          </cell>
          <cell r="G361">
            <v>714.81</v>
          </cell>
        </row>
        <row r="362">
          <cell r="B362">
            <v>358</v>
          </cell>
          <cell r="C362">
            <v>830.48000000000673</v>
          </cell>
          <cell r="D362">
            <v>1162.67</v>
          </cell>
          <cell r="F362">
            <v>512.01000000000101</v>
          </cell>
          <cell r="G362">
            <v>716.81</v>
          </cell>
        </row>
        <row r="363">
          <cell r="B363">
            <v>359</v>
          </cell>
          <cell r="C363">
            <v>832.80000000000678</v>
          </cell>
          <cell r="D363">
            <v>1165.92</v>
          </cell>
          <cell r="F363">
            <v>513.44000000000096</v>
          </cell>
          <cell r="G363">
            <v>718.82</v>
          </cell>
        </row>
        <row r="364">
          <cell r="B364">
            <v>360</v>
          </cell>
          <cell r="C364">
            <v>835.12000000000683</v>
          </cell>
          <cell r="D364">
            <v>1169.17</v>
          </cell>
          <cell r="F364">
            <v>514.87000000000091</v>
          </cell>
          <cell r="G364">
            <v>720.82</v>
          </cell>
        </row>
        <row r="365">
          <cell r="B365">
            <v>361</v>
          </cell>
          <cell r="C365">
            <v>837.44000000000688</v>
          </cell>
          <cell r="D365">
            <v>1172.42</v>
          </cell>
          <cell r="F365">
            <v>516.30000000000086</v>
          </cell>
          <cell r="G365">
            <v>722.82</v>
          </cell>
        </row>
        <row r="366">
          <cell r="B366">
            <v>362</v>
          </cell>
          <cell r="C366">
            <v>839.76000000000693</v>
          </cell>
          <cell r="D366">
            <v>1175.6600000000001</v>
          </cell>
          <cell r="F366">
            <v>517.73000000000081</v>
          </cell>
          <cell r="G366">
            <v>724.82</v>
          </cell>
        </row>
        <row r="367">
          <cell r="B367">
            <v>363</v>
          </cell>
          <cell r="C367">
            <v>842.08000000000698</v>
          </cell>
          <cell r="D367">
            <v>1178.9100000000001</v>
          </cell>
          <cell r="F367">
            <v>519.16000000000076</v>
          </cell>
          <cell r="G367">
            <v>726.82</v>
          </cell>
        </row>
        <row r="368">
          <cell r="B368">
            <v>364</v>
          </cell>
          <cell r="C368">
            <v>844.40000000000703</v>
          </cell>
          <cell r="D368">
            <v>1182.1600000000001</v>
          </cell>
          <cell r="F368">
            <v>520.59000000000071</v>
          </cell>
          <cell r="G368">
            <v>728.83</v>
          </cell>
        </row>
        <row r="369">
          <cell r="B369">
            <v>365</v>
          </cell>
          <cell r="C369">
            <v>846.72000000000708</v>
          </cell>
          <cell r="D369">
            <v>1185.4100000000001</v>
          </cell>
          <cell r="F369">
            <v>522.02000000000066</v>
          </cell>
          <cell r="G369">
            <v>730.83</v>
          </cell>
        </row>
        <row r="370">
          <cell r="B370">
            <v>366</v>
          </cell>
          <cell r="C370">
            <v>849.04000000000713</v>
          </cell>
          <cell r="D370">
            <v>1188.6600000000001</v>
          </cell>
          <cell r="F370">
            <v>523.45000000000061</v>
          </cell>
          <cell r="G370">
            <v>732.83</v>
          </cell>
        </row>
        <row r="371">
          <cell r="B371">
            <v>367</v>
          </cell>
          <cell r="C371">
            <v>851.36000000000718</v>
          </cell>
          <cell r="D371">
            <v>1191.9000000000001</v>
          </cell>
          <cell r="F371">
            <v>524.88000000000056</v>
          </cell>
          <cell r="G371">
            <v>734.83</v>
          </cell>
        </row>
        <row r="372">
          <cell r="B372">
            <v>368</v>
          </cell>
          <cell r="C372">
            <v>853.68000000000723</v>
          </cell>
          <cell r="D372">
            <v>1195.1500000000001</v>
          </cell>
          <cell r="F372">
            <v>526.31000000000051</v>
          </cell>
          <cell r="G372">
            <v>736.83</v>
          </cell>
        </row>
        <row r="373">
          <cell r="B373">
            <v>369</v>
          </cell>
          <cell r="C373">
            <v>856.00000000000728</v>
          </cell>
          <cell r="D373">
            <v>1198.4000000000001</v>
          </cell>
          <cell r="F373">
            <v>527.74000000000046</v>
          </cell>
          <cell r="G373">
            <v>738.84</v>
          </cell>
        </row>
        <row r="374">
          <cell r="B374">
            <v>370</v>
          </cell>
          <cell r="C374">
            <v>858.32000000000733</v>
          </cell>
          <cell r="D374">
            <v>1201.6500000000001</v>
          </cell>
          <cell r="F374">
            <v>529.17000000000041</v>
          </cell>
          <cell r="G374">
            <v>740.84</v>
          </cell>
        </row>
        <row r="375">
          <cell r="B375">
            <v>371</v>
          </cell>
          <cell r="C375">
            <v>860.64000000000738</v>
          </cell>
          <cell r="D375">
            <v>1204.9000000000001</v>
          </cell>
          <cell r="F375">
            <v>530.60000000000036</v>
          </cell>
          <cell r="G375">
            <v>742.84</v>
          </cell>
        </row>
        <row r="376">
          <cell r="B376">
            <v>372</v>
          </cell>
          <cell r="C376">
            <v>862.96000000000743</v>
          </cell>
          <cell r="D376">
            <v>1208.1400000000001</v>
          </cell>
          <cell r="F376">
            <v>532.03000000000031</v>
          </cell>
          <cell r="G376">
            <v>744.84</v>
          </cell>
        </row>
        <row r="377">
          <cell r="B377">
            <v>373</v>
          </cell>
          <cell r="C377">
            <v>865.28000000000748</v>
          </cell>
          <cell r="D377">
            <v>1211.3900000000001</v>
          </cell>
          <cell r="F377">
            <v>533.46000000000026</v>
          </cell>
          <cell r="G377">
            <v>746.84</v>
          </cell>
        </row>
        <row r="378">
          <cell r="B378">
            <v>374</v>
          </cell>
          <cell r="C378">
            <v>867.60000000000753</v>
          </cell>
          <cell r="D378">
            <v>1214.6400000000001</v>
          </cell>
          <cell r="F378">
            <v>534.89000000000021</v>
          </cell>
          <cell r="G378">
            <v>748.85</v>
          </cell>
        </row>
        <row r="379">
          <cell r="B379">
            <v>375</v>
          </cell>
          <cell r="C379">
            <v>869.92000000000758</v>
          </cell>
          <cell r="D379">
            <v>1217.8900000000001</v>
          </cell>
          <cell r="F379">
            <v>536.32000000000016</v>
          </cell>
          <cell r="G379">
            <v>750.85</v>
          </cell>
        </row>
        <row r="380">
          <cell r="B380">
            <v>376</v>
          </cell>
          <cell r="C380">
            <v>872.24000000000763</v>
          </cell>
          <cell r="D380">
            <v>1221.1400000000001</v>
          </cell>
          <cell r="F380">
            <v>537.75000000000011</v>
          </cell>
          <cell r="G380">
            <v>752.85</v>
          </cell>
        </row>
        <row r="381">
          <cell r="B381">
            <v>377</v>
          </cell>
          <cell r="C381">
            <v>874.56000000000768</v>
          </cell>
          <cell r="D381">
            <v>1224.3800000000001</v>
          </cell>
          <cell r="F381">
            <v>539.18000000000006</v>
          </cell>
          <cell r="G381">
            <v>754.85</v>
          </cell>
        </row>
        <row r="382">
          <cell r="B382">
            <v>378</v>
          </cell>
          <cell r="C382">
            <v>876.88000000000773</v>
          </cell>
          <cell r="D382">
            <v>1227.6300000000001</v>
          </cell>
          <cell r="F382">
            <v>540.61</v>
          </cell>
          <cell r="G382">
            <v>756.85</v>
          </cell>
        </row>
        <row r="383">
          <cell r="B383">
            <v>379</v>
          </cell>
          <cell r="C383">
            <v>879.20000000000778</v>
          </cell>
          <cell r="D383">
            <v>1230.8800000000001</v>
          </cell>
          <cell r="F383">
            <v>542.04</v>
          </cell>
          <cell r="G383">
            <v>758.86</v>
          </cell>
        </row>
        <row r="384">
          <cell r="B384">
            <v>380</v>
          </cell>
          <cell r="C384">
            <v>881.52000000000783</v>
          </cell>
          <cell r="D384">
            <v>1234.1300000000001</v>
          </cell>
          <cell r="F384">
            <v>543.46999999999991</v>
          </cell>
          <cell r="G384">
            <v>760.86</v>
          </cell>
        </row>
        <row r="385">
          <cell r="B385">
            <v>381</v>
          </cell>
          <cell r="C385">
            <v>883.84000000000788</v>
          </cell>
          <cell r="D385">
            <v>1237.3800000000001</v>
          </cell>
          <cell r="F385">
            <v>544.89999999999986</v>
          </cell>
          <cell r="G385">
            <v>762.86</v>
          </cell>
        </row>
        <row r="386">
          <cell r="B386">
            <v>382</v>
          </cell>
          <cell r="C386">
            <v>886.16000000000793</v>
          </cell>
          <cell r="D386">
            <v>1240.6199999999999</v>
          </cell>
          <cell r="F386">
            <v>546.32999999999981</v>
          </cell>
          <cell r="G386">
            <v>764.86</v>
          </cell>
        </row>
        <row r="387">
          <cell r="B387">
            <v>383</v>
          </cell>
          <cell r="C387">
            <v>888.48000000000798</v>
          </cell>
          <cell r="D387">
            <v>1243.8699999999999</v>
          </cell>
          <cell r="F387">
            <v>547.75999999999976</v>
          </cell>
          <cell r="G387">
            <v>766.86</v>
          </cell>
        </row>
        <row r="388">
          <cell r="B388">
            <v>384</v>
          </cell>
          <cell r="C388">
            <v>890.80000000000803</v>
          </cell>
          <cell r="D388">
            <v>1247.1199999999999</v>
          </cell>
          <cell r="F388">
            <v>549.18999999999971</v>
          </cell>
          <cell r="G388">
            <v>768.87</v>
          </cell>
        </row>
        <row r="389">
          <cell r="B389">
            <v>385</v>
          </cell>
          <cell r="C389">
            <v>893.12000000000808</v>
          </cell>
          <cell r="D389">
            <v>1250.3699999999999</v>
          </cell>
          <cell r="F389">
            <v>550.61999999999966</v>
          </cell>
          <cell r="G389">
            <v>770.87</v>
          </cell>
        </row>
        <row r="390">
          <cell r="B390">
            <v>386</v>
          </cell>
          <cell r="C390">
            <v>895.44000000000813</v>
          </cell>
          <cell r="D390">
            <v>1253.6199999999999</v>
          </cell>
          <cell r="F390">
            <v>552.04999999999961</v>
          </cell>
          <cell r="G390">
            <v>772.87</v>
          </cell>
        </row>
        <row r="391">
          <cell r="B391">
            <v>387</v>
          </cell>
          <cell r="C391">
            <v>897.76000000000818</v>
          </cell>
          <cell r="D391">
            <v>1256.8599999999999</v>
          </cell>
          <cell r="F391">
            <v>553.47999999999956</v>
          </cell>
          <cell r="G391">
            <v>774.87</v>
          </cell>
        </row>
        <row r="392">
          <cell r="B392">
            <v>388</v>
          </cell>
          <cell r="C392">
            <v>900.08000000000823</v>
          </cell>
          <cell r="D392">
            <v>1260.1099999999999</v>
          </cell>
          <cell r="F392">
            <v>554.90999999999951</v>
          </cell>
          <cell r="G392">
            <v>776.87</v>
          </cell>
        </row>
        <row r="393">
          <cell r="B393">
            <v>389</v>
          </cell>
          <cell r="C393">
            <v>902.40000000000828</v>
          </cell>
          <cell r="D393">
            <v>1263.3599999999999</v>
          </cell>
          <cell r="F393">
            <v>556.33999999999946</v>
          </cell>
          <cell r="G393">
            <v>778.88</v>
          </cell>
        </row>
        <row r="394">
          <cell r="B394">
            <v>390</v>
          </cell>
          <cell r="C394">
            <v>904.72000000000833</v>
          </cell>
          <cell r="D394">
            <v>1266.6099999999999</v>
          </cell>
          <cell r="F394">
            <v>557.76999999999941</v>
          </cell>
          <cell r="G394">
            <v>780.88</v>
          </cell>
        </row>
        <row r="395">
          <cell r="B395">
            <v>391</v>
          </cell>
          <cell r="C395">
            <v>907.04000000000838</v>
          </cell>
          <cell r="D395">
            <v>1269.8599999999999</v>
          </cell>
          <cell r="F395">
            <v>559.19999999999936</v>
          </cell>
          <cell r="G395">
            <v>782.88</v>
          </cell>
        </row>
        <row r="396">
          <cell r="B396">
            <v>392</v>
          </cell>
          <cell r="C396">
            <v>909.36000000000843</v>
          </cell>
          <cell r="D396">
            <v>1273.0999999999999</v>
          </cell>
          <cell r="F396">
            <v>560.62999999999931</v>
          </cell>
          <cell r="G396">
            <v>784.88</v>
          </cell>
        </row>
        <row r="397">
          <cell r="B397">
            <v>393</v>
          </cell>
          <cell r="C397">
            <v>911.68000000000848</v>
          </cell>
          <cell r="D397">
            <v>1276.3499999999999</v>
          </cell>
          <cell r="F397">
            <v>562.05999999999926</v>
          </cell>
          <cell r="G397">
            <v>786.88</v>
          </cell>
        </row>
        <row r="398">
          <cell r="B398">
            <v>394</v>
          </cell>
          <cell r="C398">
            <v>914.00000000000853</v>
          </cell>
          <cell r="D398">
            <v>1279.5999999999999</v>
          </cell>
          <cell r="F398">
            <v>563.48999999999921</v>
          </cell>
          <cell r="G398">
            <v>788.89</v>
          </cell>
        </row>
        <row r="399">
          <cell r="B399">
            <v>395</v>
          </cell>
          <cell r="C399">
            <v>916.32000000000858</v>
          </cell>
          <cell r="D399">
            <v>1282.8499999999999</v>
          </cell>
          <cell r="F399">
            <v>564.91999999999916</v>
          </cell>
          <cell r="G399">
            <v>790.89</v>
          </cell>
        </row>
        <row r="400">
          <cell r="B400">
            <v>396</v>
          </cell>
          <cell r="C400">
            <v>918.64000000000863</v>
          </cell>
          <cell r="D400">
            <v>1286.0999999999999</v>
          </cell>
          <cell r="F400">
            <v>566.34999999999911</v>
          </cell>
          <cell r="G400">
            <v>792.89</v>
          </cell>
        </row>
        <row r="401">
          <cell r="B401">
            <v>397</v>
          </cell>
          <cell r="C401">
            <v>920.96000000000868</v>
          </cell>
          <cell r="D401">
            <v>1289.3399999999999</v>
          </cell>
          <cell r="F401">
            <v>567.77999999999906</v>
          </cell>
          <cell r="G401">
            <v>794.89</v>
          </cell>
        </row>
        <row r="402">
          <cell r="B402">
            <v>398</v>
          </cell>
          <cell r="C402">
            <v>923.28000000000873</v>
          </cell>
          <cell r="D402">
            <v>1292.5899999999999</v>
          </cell>
          <cell r="F402">
            <v>569.20999999999901</v>
          </cell>
          <cell r="G402">
            <v>796.89</v>
          </cell>
        </row>
        <row r="403">
          <cell r="B403">
            <v>399</v>
          </cell>
          <cell r="C403">
            <v>925.60000000000878</v>
          </cell>
          <cell r="D403">
            <v>1295.8399999999999</v>
          </cell>
          <cell r="F403">
            <v>570.63999999999896</v>
          </cell>
          <cell r="G403">
            <v>798.9</v>
          </cell>
        </row>
        <row r="404">
          <cell r="B404">
            <v>400</v>
          </cell>
          <cell r="C404">
            <v>927.92000000000883</v>
          </cell>
          <cell r="D404">
            <v>1299.0899999999999</v>
          </cell>
          <cell r="F404">
            <v>572.06999999999891</v>
          </cell>
          <cell r="G404">
            <v>800.9</v>
          </cell>
        </row>
        <row r="405">
          <cell r="B405">
            <v>401</v>
          </cell>
          <cell r="C405">
            <v>930.24000000000888</v>
          </cell>
          <cell r="D405">
            <v>1302.3399999999999</v>
          </cell>
          <cell r="F405">
            <v>573.49999999999886</v>
          </cell>
          <cell r="G405">
            <v>802.9</v>
          </cell>
        </row>
        <row r="406">
          <cell r="B406">
            <v>402</v>
          </cell>
          <cell r="C406">
            <v>932.56000000000893</v>
          </cell>
          <cell r="D406">
            <v>1305.58</v>
          </cell>
          <cell r="F406">
            <v>574.92999999999881</v>
          </cell>
          <cell r="G406">
            <v>804.9</v>
          </cell>
        </row>
        <row r="407">
          <cell r="B407">
            <v>403</v>
          </cell>
          <cell r="C407">
            <v>934.88000000000898</v>
          </cell>
          <cell r="D407">
            <v>1308.83</v>
          </cell>
          <cell r="F407">
            <v>576.35999999999876</v>
          </cell>
          <cell r="G407">
            <v>806.9</v>
          </cell>
        </row>
        <row r="408">
          <cell r="B408">
            <v>404</v>
          </cell>
          <cell r="C408">
            <v>937.20000000000903</v>
          </cell>
          <cell r="D408">
            <v>1312.08</v>
          </cell>
          <cell r="F408">
            <v>577.78999999999871</v>
          </cell>
          <cell r="G408">
            <v>808.91</v>
          </cell>
        </row>
        <row r="409">
          <cell r="B409">
            <v>405</v>
          </cell>
          <cell r="C409">
            <v>939.52000000000908</v>
          </cell>
          <cell r="D409">
            <v>1315.33</v>
          </cell>
          <cell r="F409">
            <v>579.21999999999866</v>
          </cell>
          <cell r="G409">
            <v>810.91</v>
          </cell>
        </row>
        <row r="410">
          <cell r="B410">
            <v>406</v>
          </cell>
          <cell r="C410">
            <v>941.84000000000913</v>
          </cell>
          <cell r="D410">
            <v>1318.58</v>
          </cell>
          <cell r="F410">
            <v>580.64999999999861</v>
          </cell>
          <cell r="G410">
            <v>812.91</v>
          </cell>
        </row>
        <row r="411">
          <cell r="B411">
            <v>407</v>
          </cell>
          <cell r="C411">
            <v>944.16000000000918</v>
          </cell>
          <cell r="D411">
            <v>1321.82</v>
          </cell>
          <cell r="F411">
            <v>582.07999999999856</v>
          </cell>
          <cell r="G411">
            <v>814.91</v>
          </cell>
        </row>
        <row r="412">
          <cell r="B412">
            <v>408</v>
          </cell>
          <cell r="C412">
            <v>946.48000000000923</v>
          </cell>
          <cell r="D412">
            <v>1325.07</v>
          </cell>
          <cell r="F412">
            <v>583.50999999999851</v>
          </cell>
          <cell r="G412">
            <v>816.91</v>
          </cell>
        </row>
        <row r="413">
          <cell r="B413">
            <v>409</v>
          </cell>
          <cell r="C413">
            <v>948.80000000000928</v>
          </cell>
          <cell r="D413">
            <v>1328.32</v>
          </cell>
          <cell r="F413">
            <v>584.93999999999846</v>
          </cell>
          <cell r="G413">
            <v>818.92</v>
          </cell>
        </row>
        <row r="414">
          <cell r="B414">
            <v>410</v>
          </cell>
          <cell r="C414">
            <v>951.12000000000933</v>
          </cell>
          <cell r="D414">
            <v>1331.57</v>
          </cell>
          <cell r="F414">
            <v>586.36999999999841</v>
          </cell>
          <cell r="G414">
            <v>820.92</v>
          </cell>
        </row>
        <row r="415">
          <cell r="B415">
            <v>411</v>
          </cell>
          <cell r="C415">
            <v>953.44000000000938</v>
          </cell>
          <cell r="D415">
            <v>1334.82</v>
          </cell>
          <cell r="F415">
            <v>587.79999999999836</v>
          </cell>
          <cell r="G415">
            <v>822.92</v>
          </cell>
        </row>
        <row r="416">
          <cell r="B416">
            <v>412</v>
          </cell>
          <cell r="C416">
            <v>955.76000000000943</v>
          </cell>
          <cell r="D416">
            <v>1338.06</v>
          </cell>
          <cell r="F416">
            <v>589.22999999999831</v>
          </cell>
          <cell r="G416">
            <v>824.92</v>
          </cell>
        </row>
        <row r="417">
          <cell r="B417">
            <v>413</v>
          </cell>
          <cell r="C417">
            <v>958.08000000000948</v>
          </cell>
          <cell r="D417">
            <v>1341.31</v>
          </cell>
          <cell r="F417">
            <v>590.65999999999826</v>
          </cell>
          <cell r="G417">
            <v>826.92</v>
          </cell>
        </row>
        <row r="418">
          <cell r="B418">
            <v>414</v>
          </cell>
          <cell r="C418">
            <v>960.40000000000953</v>
          </cell>
          <cell r="D418">
            <v>1344.56</v>
          </cell>
          <cell r="F418">
            <v>592.08999999999821</v>
          </cell>
          <cell r="G418">
            <v>828.93</v>
          </cell>
        </row>
        <row r="419">
          <cell r="B419">
            <v>415</v>
          </cell>
          <cell r="C419">
            <v>962.72000000000958</v>
          </cell>
          <cell r="D419">
            <v>1347.81</v>
          </cell>
          <cell r="F419">
            <v>593.51999999999816</v>
          </cell>
          <cell r="G419">
            <v>830.93</v>
          </cell>
        </row>
        <row r="420">
          <cell r="B420">
            <v>416</v>
          </cell>
          <cell r="C420">
            <v>965.04000000000963</v>
          </cell>
          <cell r="D420">
            <v>1351.06</v>
          </cell>
          <cell r="F420">
            <v>594.94999999999811</v>
          </cell>
          <cell r="G420">
            <v>832.93</v>
          </cell>
        </row>
        <row r="421">
          <cell r="B421">
            <v>417</v>
          </cell>
          <cell r="C421">
            <v>967.36000000000968</v>
          </cell>
          <cell r="D421">
            <v>1354.3</v>
          </cell>
          <cell r="F421">
            <v>596.37999999999806</v>
          </cell>
          <cell r="G421">
            <v>834.93</v>
          </cell>
        </row>
        <row r="422">
          <cell r="B422">
            <v>418</v>
          </cell>
          <cell r="C422">
            <v>969.68000000000973</v>
          </cell>
          <cell r="D422">
            <v>1357.55</v>
          </cell>
          <cell r="F422">
            <v>597.80999999999801</v>
          </cell>
          <cell r="G422">
            <v>836.93</v>
          </cell>
        </row>
        <row r="423">
          <cell r="B423">
            <v>419</v>
          </cell>
          <cell r="C423">
            <v>972.00000000000978</v>
          </cell>
          <cell r="D423">
            <v>1360.8</v>
          </cell>
          <cell r="F423">
            <v>599.23999999999796</v>
          </cell>
          <cell r="G423">
            <v>838.94</v>
          </cell>
        </row>
        <row r="424">
          <cell r="B424">
            <v>420</v>
          </cell>
          <cell r="C424">
            <v>974.32000000000983</v>
          </cell>
          <cell r="D424">
            <v>1364.05</v>
          </cell>
          <cell r="F424">
            <v>600.66999999999791</v>
          </cell>
          <cell r="G424">
            <v>840.94</v>
          </cell>
        </row>
        <row r="425">
          <cell r="B425">
            <v>421</v>
          </cell>
          <cell r="C425">
            <v>976.64000000000988</v>
          </cell>
          <cell r="D425">
            <v>1367.3</v>
          </cell>
          <cell r="F425">
            <v>602.09999999999786</v>
          </cell>
          <cell r="G425">
            <v>842.94</v>
          </cell>
        </row>
        <row r="426">
          <cell r="B426">
            <v>422</v>
          </cell>
          <cell r="C426">
            <v>978.96000000000993</v>
          </cell>
          <cell r="D426">
            <v>1370.54</v>
          </cell>
          <cell r="F426">
            <v>603.52999999999781</v>
          </cell>
          <cell r="G426">
            <v>844.94</v>
          </cell>
        </row>
        <row r="427">
          <cell r="B427">
            <v>423</v>
          </cell>
          <cell r="C427">
            <v>981.28000000000998</v>
          </cell>
          <cell r="D427">
            <v>1373.79</v>
          </cell>
          <cell r="F427">
            <v>604.95999999999776</v>
          </cell>
          <cell r="G427">
            <v>846.94</v>
          </cell>
        </row>
        <row r="428">
          <cell r="B428">
            <v>424</v>
          </cell>
          <cell r="C428">
            <v>983.60000000001003</v>
          </cell>
          <cell r="D428">
            <v>1377.04</v>
          </cell>
          <cell r="F428">
            <v>606.38999999999771</v>
          </cell>
          <cell r="G428">
            <v>848.95</v>
          </cell>
        </row>
        <row r="429">
          <cell r="B429">
            <v>425</v>
          </cell>
          <cell r="C429">
            <v>985.92000000001008</v>
          </cell>
          <cell r="D429">
            <v>1380.29</v>
          </cell>
          <cell r="F429">
            <v>607.81999999999766</v>
          </cell>
          <cell r="G429">
            <v>850.95</v>
          </cell>
        </row>
        <row r="430">
          <cell r="B430">
            <v>426</v>
          </cell>
          <cell r="C430">
            <v>988.24000000001013</v>
          </cell>
          <cell r="D430">
            <v>1383.54</v>
          </cell>
          <cell r="F430">
            <v>609.24999999999761</v>
          </cell>
          <cell r="G430">
            <v>852.95</v>
          </cell>
        </row>
        <row r="431">
          <cell r="B431">
            <v>427</v>
          </cell>
          <cell r="C431">
            <v>990.56000000001018</v>
          </cell>
          <cell r="D431">
            <v>1386.78</v>
          </cell>
          <cell r="F431">
            <v>610.67999999999756</v>
          </cell>
          <cell r="G431">
            <v>854.95</v>
          </cell>
        </row>
        <row r="432">
          <cell r="B432">
            <v>428</v>
          </cell>
          <cell r="C432">
            <v>992.88000000001023</v>
          </cell>
          <cell r="D432">
            <v>1390.03</v>
          </cell>
          <cell r="F432">
            <v>612.10999999999751</v>
          </cell>
          <cell r="G432">
            <v>856.95</v>
          </cell>
        </row>
        <row r="433">
          <cell r="B433">
            <v>429</v>
          </cell>
          <cell r="C433">
            <v>995.20000000001028</v>
          </cell>
          <cell r="D433">
            <v>1393.28</v>
          </cell>
          <cell r="F433">
            <v>613.53999999999746</v>
          </cell>
          <cell r="G433">
            <v>858.96</v>
          </cell>
        </row>
        <row r="434">
          <cell r="B434">
            <v>430</v>
          </cell>
          <cell r="C434">
            <v>997.52000000001033</v>
          </cell>
          <cell r="D434">
            <v>1396.53</v>
          </cell>
          <cell r="F434">
            <v>614.96999999999741</v>
          </cell>
          <cell r="G434">
            <v>860.96</v>
          </cell>
        </row>
        <row r="435">
          <cell r="B435">
            <v>431</v>
          </cell>
          <cell r="C435">
            <v>999.84000000001038</v>
          </cell>
          <cell r="D435">
            <v>1399.78</v>
          </cell>
          <cell r="F435">
            <v>616.39999999999736</v>
          </cell>
          <cell r="G435">
            <v>862.96</v>
          </cell>
        </row>
        <row r="436">
          <cell r="B436">
            <v>432</v>
          </cell>
          <cell r="C436">
            <v>1002.1600000000104</v>
          </cell>
          <cell r="D436">
            <v>1403.02</v>
          </cell>
          <cell r="F436">
            <v>617.82999999999731</v>
          </cell>
          <cell r="G436">
            <v>864.96</v>
          </cell>
        </row>
        <row r="437">
          <cell r="B437">
            <v>433</v>
          </cell>
          <cell r="C437">
            <v>1004.4800000000105</v>
          </cell>
          <cell r="D437">
            <v>1406.27</v>
          </cell>
          <cell r="F437">
            <v>619.25999999999726</v>
          </cell>
          <cell r="G437">
            <v>866.96</v>
          </cell>
        </row>
        <row r="438">
          <cell r="B438">
            <v>434</v>
          </cell>
          <cell r="C438">
            <v>1006.8000000000105</v>
          </cell>
          <cell r="D438">
            <v>1409.52</v>
          </cell>
          <cell r="F438">
            <v>620.68999999999721</v>
          </cell>
          <cell r="G438">
            <v>868.97</v>
          </cell>
        </row>
        <row r="439">
          <cell r="B439">
            <v>435</v>
          </cell>
          <cell r="C439">
            <v>1009.1200000000106</v>
          </cell>
          <cell r="D439">
            <v>1412.77</v>
          </cell>
          <cell r="F439">
            <v>622.11999999999716</v>
          </cell>
          <cell r="G439">
            <v>870.97</v>
          </cell>
        </row>
        <row r="440">
          <cell r="B440">
            <v>436</v>
          </cell>
          <cell r="C440">
            <v>1011.4400000000106</v>
          </cell>
          <cell r="D440">
            <v>1416.02</v>
          </cell>
          <cell r="F440">
            <v>623.54999999999711</v>
          </cell>
          <cell r="G440">
            <v>872.97</v>
          </cell>
        </row>
        <row r="441">
          <cell r="B441">
            <v>437</v>
          </cell>
          <cell r="C441">
            <v>1013.7600000000107</v>
          </cell>
          <cell r="D441">
            <v>1419.26</v>
          </cell>
          <cell r="F441">
            <v>624.97999999999706</v>
          </cell>
          <cell r="G441">
            <v>874.97</v>
          </cell>
        </row>
        <row r="442">
          <cell r="B442">
            <v>438</v>
          </cell>
          <cell r="C442">
            <v>1016.0800000000107</v>
          </cell>
          <cell r="D442">
            <v>1422.51</v>
          </cell>
          <cell r="F442">
            <v>626.40999999999701</v>
          </cell>
          <cell r="G442">
            <v>876.97</v>
          </cell>
        </row>
        <row r="443">
          <cell r="B443">
            <v>439</v>
          </cell>
          <cell r="C443">
            <v>1018.4000000000108</v>
          </cell>
          <cell r="D443">
            <v>1425.76</v>
          </cell>
          <cell r="F443">
            <v>627.83999999999696</v>
          </cell>
          <cell r="G443">
            <v>878.98</v>
          </cell>
        </row>
        <row r="444">
          <cell r="B444">
            <v>440</v>
          </cell>
          <cell r="C444">
            <v>1020.7200000000108</v>
          </cell>
          <cell r="D444">
            <v>1429.01</v>
          </cell>
          <cell r="F444">
            <v>629.26999999999691</v>
          </cell>
          <cell r="G444">
            <v>880.98</v>
          </cell>
        </row>
        <row r="445">
          <cell r="B445">
            <v>441</v>
          </cell>
          <cell r="C445">
            <v>1023.0400000000109</v>
          </cell>
          <cell r="D445">
            <v>1432.26</v>
          </cell>
          <cell r="F445">
            <v>630.69999999999686</v>
          </cell>
          <cell r="G445">
            <v>882.98</v>
          </cell>
        </row>
        <row r="446">
          <cell r="B446">
            <v>442</v>
          </cell>
          <cell r="C446">
            <v>1025.3600000000108</v>
          </cell>
          <cell r="D446">
            <v>1435.5</v>
          </cell>
          <cell r="F446">
            <v>632.12999999999681</v>
          </cell>
          <cell r="G446">
            <v>884.98</v>
          </cell>
        </row>
        <row r="447">
          <cell r="B447">
            <v>443</v>
          </cell>
          <cell r="C447">
            <v>1027.6800000000108</v>
          </cell>
          <cell r="D447">
            <v>1438.75</v>
          </cell>
          <cell r="F447">
            <v>633.55999999999676</v>
          </cell>
          <cell r="G447">
            <v>886.98</v>
          </cell>
        </row>
        <row r="448">
          <cell r="B448">
            <v>444</v>
          </cell>
          <cell r="C448">
            <v>1030.0000000000107</v>
          </cell>
          <cell r="D448">
            <v>1442</v>
          </cell>
          <cell r="F448">
            <v>634.98999999999671</v>
          </cell>
          <cell r="G448">
            <v>888.99</v>
          </cell>
        </row>
        <row r="449">
          <cell r="B449">
            <v>445</v>
          </cell>
          <cell r="C449">
            <v>1032.3200000000106</v>
          </cell>
          <cell r="D449">
            <v>1445.25</v>
          </cell>
          <cell r="F449">
            <v>636.41999999999666</v>
          </cell>
          <cell r="G449">
            <v>890.99</v>
          </cell>
        </row>
        <row r="450">
          <cell r="B450">
            <v>446</v>
          </cell>
          <cell r="C450">
            <v>1034.6400000000106</v>
          </cell>
          <cell r="D450">
            <v>1448.5</v>
          </cell>
          <cell r="F450">
            <v>637.84999999999661</v>
          </cell>
          <cell r="G450">
            <v>892.99</v>
          </cell>
        </row>
        <row r="451">
          <cell r="B451">
            <v>447</v>
          </cell>
          <cell r="C451">
            <v>1036.9600000000105</v>
          </cell>
          <cell r="D451">
            <v>1451.74</v>
          </cell>
          <cell r="F451">
            <v>639.27999999999656</v>
          </cell>
          <cell r="G451">
            <v>894.99</v>
          </cell>
        </row>
        <row r="452">
          <cell r="B452">
            <v>448</v>
          </cell>
          <cell r="C452">
            <v>1039.2800000000104</v>
          </cell>
          <cell r="D452">
            <v>1454.99</v>
          </cell>
          <cell r="F452">
            <v>640.70999999999651</v>
          </cell>
          <cell r="G452">
            <v>896.99</v>
          </cell>
        </row>
        <row r="453">
          <cell r="B453">
            <v>449</v>
          </cell>
          <cell r="C453">
            <v>1041.6000000000104</v>
          </cell>
          <cell r="D453">
            <v>1458.24</v>
          </cell>
          <cell r="F453">
            <v>642.13999999999646</v>
          </cell>
          <cell r="G453">
            <v>899</v>
          </cell>
        </row>
        <row r="454">
          <cell r="B454">
            <v>450</v>
          </cell>
          <cell r="C454">
            <v>1043.9200000000103</v>
          </cell>
          <cell r="D454">
            <v>1461.49</v>
          </cell>
          <cell r="F454">
            <v>643.56999999999641</v>
          </cell>
          <cell r="G454">
            <v>901</v>
          </cell>
        </row>
        <row r="455">
          <cell r="B455">
            <v>451</v>
          </cell>
          <cell r="C455">
            <v>1046.2400000000102</v>
          </cell>
          <cell r="D455">
            <v>1464.74</v>
          </cell>
          <cell r="F455">
            <v>644.99999999999636</v>
          </cell>
          <cell r="G455">
            <v>903</v>
          </cell>
        </row>
        <row r="456">
          <cell r="B456">
            <v>452</v>
          </cell>
          <cell r="C456">
            <v>1048.5600000000102</v>
          </cell>
          <cell r="D456">
            <v>1467.98</v>
          </cell>
          <cell r="F456">
            <v>646.42999999999631</v>
          </cell>
          <cell r="G456">
            <v>905</v>
          </cell>
        </row>
        <row r="457">
          <cell r="B457">
            <v>453</v>
          </cell>
          <cell r="C457">
            <v>1050.8800000000101</v>
          </cell>
          <cell r="D457">
            <v>1471.23</v>
          </cell>
          <cell r="F457">
            <v>647.85999999999626</v>
          </cell>
          <cell r="G457">
            <v>907</v>
          </cell>
        </row>
        <row r="458">
          <cell r="B458">
            <v>454</v>
          </cell>
          <cell r="C458">
            <v>1053.20000000001</v>
          </cell>
          <cell r="D458">
            <v>1474.48</v>
          </cell>
          <cell r="F458">
            <v>649.28999999999621</v>
          </cell>
          <cell r="G458">
            <v>909.01</v>
          </cell>
        </row>
        <row r="459">
          <cell r="B459">
            <v>455</v>
          </cell>
          <cell r="C459">
            <v>1055.52000000001</v>
          </cell>
          <cell r="D459">
            <v>1477.73</v>
          </cell>
          <cell r="F459">
            <v>650.71999999999616</v>
          </cell>
          <cell r="G459">
            <v>911.01</v>
          </cell>
        </row>
        <row r="460">
          <cell r="B460">
            <v>456</v>
          </cell>
          <cell r="C460">
            <v>1057.8400000000099</v>
          </cell>
          <cell r="D460">
            <v>1480.98</v>
          </cell>
          <cell r="F460">
            <v>652.14999999999611</v>
          </cell>
          <cell r="G460">
            <v>913.01</v>
          </cell>
        </row>
        <row r="461">
          <cell r="B461">
            <v>457</v>
          </cell>
          <cell r="C461">
            <v>1060.1600000000099</v>
          </cell>
          <cell r="D461">
            <v>1484.22</v>
          </cell>
          <cell r="F461">
            <v>653.57999999999606</v>
          </cell>
          <cell r="G461">
            <v>915.01</v>
          </cell>
        </row>
        <row r="462">
          <cell r="B462">
            <v>458</v>
          </cell>
          <cell r="C462">
            <v>1062.4800000000098</v>
          </cell>
          <cell r="D462">
            <v>1487.47</v>
          </cell>
          <cell r="F462">
            <v>655.00999999999601</v>
          </cell>
          <cell r="G462">
            <v>917.01</v>
          </cell>
        </row>
        <row r="463">
          <cell r="B463">
            <v>459</v>
          </cell>
          <cell r="C463">
            <v>1064.8000000000097</v>
          </cell>
          <cell r="D463">
            <v>1490.72</v>
          </cell>
          <cell r="F463">
            <v>656.43999999999596</v>
          </cell>
          <cell r="G463">
            <v>919.02</v>
          </cell>
        </row>
        <row r="464">
          <cell r="B464">
            <v>460</v>
          </cell>
          <cell r="C464">
            <v>1067.1200000000097</v>
          </cell>
          <cell r="D464">
            <v>1493.97</v>
          </cell>
          <cell r="F464">
            <v>657.86999999999591</v>
          </cell>
          <cell r="G464">
            <v>921.02</v>
          </cell>
        </row>
        <row r="465">
          <cell r="B465">
            <v>461</v>
          </cell>
          <cell r="C465">
            <v>1069.4400000000096</v>
          </cell>
          <cell r="D465">
            <v>1497.22</v>
          </cell>
          <cell r="F465">
            <v>659.29999999999586</v>
          </cell>
          <cell r="G465">
            <v>923.02</v>
          </cell>
        </row>
        <row r="466">
          <cell r="B466">
            <v>462</v>
          </cell>
          <cell r="C466">
            <v>1071.7600000000095</v>
          </cell>
          <cell r="D466">
            <v>1500.46</v>
          </cell>
          <cell r="F466">
            <v>660.72999999999581</v>
          </cell>
          <cell r="G466">
            <v>925.02</v>
          </cell>
        </row>
        <row r="467">
          <cell r="B467">
            <v>463</v>
          </cell>
          <cell r="C467">
            <v>1074.0800000000095</v>
          </cell>
          <cell r="D467">
            <v>1503.71</v>
          </cell>
          <cell r="F467">
            <v>662.15999999999576</v>
          </cell>
          <cell r="G467">
            <v>927.02</v>
          </cell>
        </row>
        <row r="468">
          <cell r="B468">
            <v>464</v>
          </cell>
          <cell r="C468">
            <v>1076.4000000000094</v>
          </cell>
          <cell r="D468">
            <v>1506.96</v>
          </cell>
          <cell r="F468">
            <v>663.58999999999571</v>
          </cell>
          <cell r="G468">
            <v>929.03</v>
          </cell>
        </row>
        <row r="469">
          <cell r="B469">
            <v>465</v>
          </cell>
          <cell r="C469">
            <v>1078.7200000000093</v>
          </cell>
          <cell r="D469">
            <v>1510.21</v>
          </cell>
          <cell r="F469">
            <v>665.01999999999566</v>
          </cell>
          <cell r="G469">
            <v>931.03</v>
          </cell>
        </row>
        <row r="470">
          <cell r="B470">
            <v>466</v>
          </cell>
          <cell r="C470">
            <v>1081.0400000000093</v>
          </cell>
          <cell r="D470">
            <v>1513.46</v>
          </cell>
          <cell r="F470">
            <v>666.44999999999561</v>
          </cell>
          <cell r="G470">
            <v>933.03</v>
          </cell>
        </row>
        <row r="471">
          <cell r="B471">
            <v>467</v>
          </cell>
          <cell r="C471">
            <v>1083.3600000000092</v>
          </cell>
          <cell r="D471">
            <v>1516.7</v>
          </cell>
          <cell r="F471">
            <v>667.87999999999556</v>
          </cell>
          <cell r="G471">
            <v>935.03</v>
          </cell>
        </row>
        <row r="472">
          <cell r="B472">
            <v>468</v>
          </cell>
          <cell r="C472">
            <v>1085.6800000000092</v>
          </cell>
          <cell r="D472">
            <v>1519.95</v>
          </cell>
          <cell r="F472">
            <v>669.30999999999551</v>
          </cell>
          <cell r="G472">
            <v>937.03</v>
          </cell>
        </row>
        <row r="473">
          <cell r="B473">
            <v>469</v>
          </cell>
          <cell r="C473">
            <v>1088.0000000000091</v>
          </cell>
          <cell r="D473">
            <v>1523.2</v>
          </cell>
          <cell r="F473">
            <v>670.73999999999546</v>
          </cell>
          <cell r="G473">
            <v>939.04</v>
          </cell>
        </row>
        <row r="474">
          <cell r="B474">
            <v>470</v>
          </cell>
          <cell r="C474">
            <v>1090.320000000009</v>
          </cell>
          <cell r="D474">
            <v>1526.45</v>
          </cell>
          <cell r="F474">
            <v>672.16999999999541</v>
          </cell>
          <cell r="G474">
            <v>941.04</v>
          </cell>
        </row>
        <row r="475">
          <cell r="B475">
            <v>471</v>
          </cell>
          <cell r="C475">
            <v>1092.640000000009</v>
          </cell>
          <cell r="D475">
            <v>1529.7</v>
          </cell>
          <cell r="F475">
            <v>673.59999999999536</v>
          </cell>
          <cell r="G475">
            <v>943.04</v>
          </cell>
        </row>
        <row r="476">
          <cell r="B476">
            <v>472</v>
          </cell>
          <cell r="C476">
            <v>1094.9600000000089</v>
          </cell>
          <cell r="D476">
            <v>1532.94</v>
          </cell>
          <cell r="F476">
            <v>675.02999999999531</v>
          </cell>
          <cell r="G476">
            <v>945.04</v>
          </cell>
        </row>
        <row r="477">
          <cell r="B477">
            <v>473</v>
          </cell>
          <cell r="C477">
            <v>1097.2800000000088</v>
          </cell>
          <cell r="D477">
            <v>1536.19</v>
          </cell>
          <cell r="F477">
            <v>676.45999999999526</v>
          </cell>
          <cell r="G477">
            <v>947.04</v>
          </cell>
        </row>
        <row r="478">
          <cell r="B478">
            <v>474</v>
          </cell>
          <cell r="C478">
            <v>1099.6000000000088</v>
          </cell>
          <cell r="D478">
            <v>1539.44</v>
          </cell>
          <cell r="F478">
            <v>677.88999999999521</v>
          </cell>
          <cell r="G478">
            <v>949.05</v>
          </cell>
        </row>
        <row r="479">
          <cell r="B479">
            <v>475</v>
          </cell>
          <cell r="C479">
            <v>1101.9200000000087</v>
          </cell>
          <cell r="D479">
            <v>1542.69</v>
          </cell>
          <cell r="F479">
            <v>679.31999999999516</v>
          </cell>
          <cell r="G479">
            <v>951.05</v>
          </cell>
        </row>
        <row r="480">
          <cell r="B480">
            <v>476</v>
          </cell>
          <cell r="C480">
            <v>1104.2400000000086</v>
          </cell>
          <cell r="D480">
            <v>1545.94</v>
          </cell>
          <cell r="F480">
            <v>680.74999999999511</v>
          </cell>
          <cell r="G480">
            <v>953.05</v>
          </cell>
        </row>
        <row r="481">
          <cell r="B481">
            <v>477</v>
          </cell>
          <cell r="C481">
            <v>1106.5600000000086</v>
          </cell>
          <cell r="D481">
            <v>1549.18</v>
          </cell>
          <cell r="F481">
            <v>682.17999999999506</v>
          </cell>
          <cell r="G481">
            <v>955.05</v>
          </cell>
        </row>
        <row r="482">
          <cell r="B482">
            <v>478</v>
          </cell>
          <cell r="C482">
            <v>1108.8800000000085</v>
          </cell>
          <cell r="D482">
            <v>1552.43</v>
          </cell>
          <cell r="F482">
            <v>683.60999999999501</v>
          </cell>
          <cell r="G482">
            <v>957.05</v>
          </cell>
        </row>
        <row r="483">
          <cell r="B483">
            <v>479</v>
          </cell>
          <cell r="C483">
            <v>1111.2000000000085</v>
          </cell>
          <cell r="D483">
            <v>1555.68</v>
          </cell>
          <cell r="F483">
            <v>685.03999999999496</v>
          </cell>
          <cell r="G483">
            <v>959.06</v>
          </cell>
        </row>
        <row r="484">
          <cell r="B484">
            <v>480</v>
          </cell>
          <cell r="C484">
            <v>1113.5200000000084</v>
          </cell>
          <cell r="D484">
            <v>1558.93</v>
          </cell>
          <cell r="F484">
            <v>686.46999999999491</v>
          </cell>
          <cell r="G484">
            <v>961.06</v>
          </cell>
        </row>
        <row r="485">
          <cell r="B485">
            <v>481</v>
          </cell>
          <cell r="C485">
            <v>1115.8400000000083</v>
          </cell>
          <cell r="D485">
            <v>1562.18</v>
          </cell>
          <cell r="F485">
            <v>687.89999999999486</v>
          </cell>
          <cell r="G485">
            <v>963.06</v>
          </cell>
        </row>
        <row r="486">
          <cell r="B486">
            <v>482</v>
          </cell>
          <cell r="C486">
            <v>1118.1600000000083</v>
          </cell>
          <cell r="D486">
            <v>1565.42</v>
          </cell>
          <cell r="F486">
            <v>689.32999999999481</v>
          </cell>
          <cell r="G486">
            <v>965.06</v>
          </cell>
        </row>
        <row r="487">
          <cell r="B487">
            <v>483</v>
          </cell>
          <cell r="C487">
            <v>1120.4800000000082</v>
          </cell>
          <cell r="D487">
            <v>1568.67</v>
          </cell>
          <cell r="F487">
            <v>690.75999999999476</v>
          </cell>
          <cell r="G487">
            <v>967.06</v>
          </cell>
        </row>
        <row r="488">
          <cell r="B488">
            <v>484</v>
          </cell>
          <cell r="C488">
            <v>1122.8000000000081</v>
          </cell>
          <cell r="D488">
            <v>1571.92</v>
          </cell>
          <cell r="F488">
            <v>692.18999999999471</v>
          </cell>
          <cell r="G488">
            <v>969.07</v>
          </cell>
        </row>
        <row r="489">
          <cell r="B489">
            <v>485</v>
          </cell>
          <cell r="C489">
            <v>1125.1200000000081</v>
          </cell>
          <cell r="D489">
            <v>1575.17</v>
          </cell>
          <cell r="F489">
            <v>693.61999999999466</v>
          </cell>
          <cell r="G489">
            <v>971.07</v>
          </cell>
        </row>
        <row r="490">
          <cell r="B490">
            <v>486</v>
          </cell>
          <cell r="C490">
            <v>1127.440000000008</v>
          </cell>
          <cell r="D490">
            <v>1578.42</v>
          </cell>
          <cell r="F490">
            <v>695.04999999999461</v>
          </cell>
          <cell r="G490">
            <v>973.07</v>
          </cell>
        </row>
        <row r="491">
          <cell r="B491">
            <v>487</v>
          </cell>
          <cell r="C491">
            <v>1129.7600000000079</v>
          </cell>
          <cell r="D491">
            <v>1581.66</v>
          </cell>
          <cell r="F491">
            <v>696.47999999999456</v>
          </cell>
          <cell r="G491">
            <v>975.07</v>
          </cell>
        </row>
        <row r="492">
          <cell r="B492">
            <v>488</v>
          </cell>
          <cell r="C492">
            <v>1132.0800000000079</v>
          </cell>
          <cell r="D492">
            <v>1584.91</v>
          </cell>
          <cell r="F492">
            <v>697.90999999999451</v>
          </cell>
          <cell r="G492">
            <v>977.07</v>
          </cell>
        </row>
        <row r="493">
          <cell r="B493">
            <v>489</v>
          </cell>
          <cell r="C493">
            <v>1134.4000000000078</v>
          </cell>
          <cell r="D493">
            <v>1588.16</v>
          </cell>
          <cell r="F493">
            <v>699.33999999999446</v>
          </cell>
          <cell r="G493">
            <v>979.08</v>
          </cell>
        </row>
        <row r="494">
          <cell r="B494">
            <v>490</v>
          </cell>
          <cell r="C494">
            <v>1136.7200000000078</v>
          </cell>
          <cell r="D494">
            <v>1591.41</v>
          </cell>
          <cell r="F494">
            <v>700.76999999999441</v>
          </cell>
          <cell r="G494">
            <v>981.08</v>
          </cell>
        </row>
        <row r="495">
          <cell r="B495">
            <v>491</v>
          </cell>
          <cell r="C495">
            <v>1139.0400000000077</v>
          </cell>
          <cell r="D495">
            <v>1594.66</v>
          </cell>
          <cell r="F495">
            <v>702.19999999999436</v>
          </cell>
          <cell r="G495">
            <v>983.08</v>
          </cell>
        </row>
        <row r="496">
          <cell r="B496">
            <v>492</v>
          </cell>
          <cell r="C496">
            <v>1141.3600000000076</v>
          </cell>
          <cell r="D496">
            <v>1597.9</v>
          </cell>
          <cell r="F496">
            <v>703.62999999999431</v>
          </cell>
          <cell r="G496">
            <v>985.08</v>
          </cell>
        </row>
        <row r="497">
          <cell r="B497">
            <v>493</v>
          </cell>
          <cell r="C497">
            <v>1143.6800000000076</v>
          </cell>
          <cell r="D497">
            <v>1601.15</v>
          </cell>
          <cell r="F497">
            <v>705.05999999999426</v>
          </cell>
          <cell r="G497">
            <v>987.08</v>
          </cell>
        </row>
        <row r="498">
          <cell r="B498">
            <v>494</v>
          </cell>
          <cell r="C498">
            <v>1146.0000000000075</v>
          </cell>
          <cell r="D498">
            <v>1604.4</v>
          </cell>
          <cell r="F498">
            <v>706.48999999999421</v>
          </cell>
          <cell r="G498">
            <v>989.09</v>
          </cell>
        </row>
        <row r="499">
          <cell r="B499">
            <v>495</v>
          </cell>
          <cell r="C499">
            <v>1148.3200000000074</v>
          </cell>
          <cell r="D499">
            <v>1607.65</v>
          </cell>
          <cell r="F499">
            <v>707.91999999999416</v>
          </cell>
          <cell r="G499">
            <v>991.09</v>
          </cell>
        </row>
        <row r="500">
          <cell r="B500">
            <v>496</v>
          </cell>
          <cell r="C500">
            <v>1150.6400000000074</v>
          </cell>
          <cell r="D500">
            <v>1610.9</v>
          </cell>
          <cell r="F500">
            <v>709.34999999999411</v>
          </cell>
          <cell r="G500">
            <v>993.09</v>
          </cell>
        </row>
        <row r="501">
          <cell r="B501">
            <v>497</v>
          </cell>
          <cell r="C501">
            <v>1152.9600000000073</v>
          </cell>
          <cell r="D501">
            <v>1614.14</v>
          </cell>
          <cell r="F501">
            <v>710.77999999999406</v>
          </cell>
          <cell r="G501">
            <v>995.09</v>
          </cell>
        </row>
        <row r="502">
          <cell r="B502">
            <v>498</v>
          </cell>
          <cell r="C502">
            <v>1155.2800000000072</v>
          </cell>
          <cell r="D502">
            <v>1617.39</v>
          </cell>
          <cell r="F502">
            <v>712.20999999999401</v>
          </cell>
          <cell r="G502">
            <v>997.09</v>
          </cell>
        </row>
        <row r="503">
          <cell r="B503">
            <v>499</v>
          </cell>
          <cell r="C503">
            <v>1157.6000000000072</v>
          </cell>
          <cell r="D503">
            <v>1620.64</v>
          </cell>
          <cell r="F503">
            <v>713.63999999999396</v>
          </cell>
          <cell r="G503">
            <v>999.1</v>
          </cell>
        </row>
        <row r="504">
          <cell r="B504">
            <v>500</v>
          </cell>
          <cell r="C504">
            <v>1159.9200000000071</v>
          </cell>
          <cell r="D504">
            <v>1623.89</v>
          </cell>
          <cell r="F504">
            <v>715.06999999999391</v>
          </cell>
          <cell r="G504">
            <v>1001.1</v>
          </cell>
        </row>
        <row r="505">
          <cell r="B505">
            <v>501</v>
          </cell>
          <cell r="C505">
            <v>1162.2400000000071</v>
          </cell>
          <cell r="D505">
            <v>1627.14</v>
          </cell>
          <cell r="F505">
            <v>716.49999999999386</v>
          </cell>
          <cell r="G505">
            <v>1003.1</v>
          </cell>
        </row>
        <row r="506">
          <cell r="B506">
            <v>502</v>
          </cell>
          <cell r="C506">
            <v>1164.560000000007</v>
          </cell>
          <cell r="D506">
            <v>1630.38</v>
          </cell>
          <cell r="F506">
            <v>717.92999999999381</v>
          </cell>
          <cell r="G506">
            <v>1005.1</v>
          </cell>
        </row>
        <row r="507">
          <cell r="B507">
            <v>503</v>
          </cell>
          <cell r="C507">
            <v>1166.8800000000069</v>
          </cell>
          <cell r="D507">
            <v>1633.63</v>
          </cell>
          <cell r="F507">
            <v>719.35999999999376</v>
          </cell>
          <cell r="G507">
            <v>1007.1</v>
          </cell>
        </row>
        <row r="508">
          <cell r="B508">
            <v>504</v>
          </cell>
          <cell r="C508">
            <v>1169.2000000000069</v>
          </cell>
          <cell r="D508">
            <v>1636.88</v>
          </cell>
          <cell r="F508">
            <v>720.78999999999371</v>
          </cell>
          <cell r="G508">
            <v>1009.11</v>
          </cell>
        </row>
        <row r="509">
          <cell r="B509">
            <v>505</v>
          </cell>
          <cell r="C509">
            <v>1171.5200000000068</v>
          </cell>
          <cell r="D509">
            <v>1640.13</v>
          </cell>
          <cell r="F509">
            <v>722.21999999999366</v>
          </cell>
          <cell r="G509">
            <v>1011.11</v>
          </cell>
        </row>
        <row r="510">
          <cell r="B510">
            <v>506</v>
          </cell>
          <cell r="C510">
            <v>1173.8400000000067</v>
          </cell>
          <cell r="D510">
            <v>1643.38</v>
          </cell>
          <cell r="F510">
            <v>723.64999999999361</v>
          </cell>
          <cell r="G510">
            <v>1013.11</v>
          </cell>
        </row>
        <row r="511">
          <cell r="B511">
            <v>507</v>
          </cell>
          <cell r="C511">
            <v>1176.1600000000067</v>
          </cell>
          <cell r="D511">
            <v>1646.62</v>
          </cell>
          <cell r="F511">
            <v>725.07999999999356</v>
          </cell>
          <cell r="G511">
            <v>1015.11</v>
          </cell>
        </row>
        <row r="512">
          <cell r="B512">
            <v>508</v>
          </cell>
          <cell r="C512">
            <v>1178.4800000000066</v>
          </cell>
          <cell r="D512">
            <v>1649.87</v>
          </cell>
          <cell r="F512">
            <v>726.50999999999351</v>
          </cell>
          <cell r="G512">
            <v>1017.11</v>
          </cell>
        </row>
        <row r="513">
          <cell r="B513">
            <v>509</v>
          </cell>
          <cell r="C513">
            <v>1180.8000000000065</v>
          </cell>
          <cell r="D513">
            <v>1653.12</v>
          </cell>
          <cell r="F513">
            <v>727.93999999999346</v>
          </cell>
          <cell r="G513">
            <v>1019.12</v>
          </cell>
        </row>
        <row r="514">
          <cell r="B514">
            <v>510</v>
          </cell>
          <cell r="C514">
            <v>1183.1200000000065</v>
          </cell>
          <cell r="D514">
            <v>1656.37</v>
          </cell>
          <cell r="F514">
            <v>729.36999999999341</v>
          </cell>
          <cell r="G514">
            <v>1021.12</v>
          </cell>
        </row>
        <row r="515">
          <cell r="B515">
            <v>511</v>
          </cell>
          <cell r="C515">
            <v>1185.4400000000064</v>
          </cell>
          <cell r="D515">
            <v>1659.62</v>
          </cell>
          <cell r="F515">
            <v>730.79999999999336</v>
          </cell>
          <cell r="G515">
            <v>1023.12</v>
          </cell>
        </row>
        <row r="516">
          <cell r="B516">
            <v>512</v>
          </cell>
          <cell r="C516">
            <v>1187.7600000000064</v>
          </cell>
          <cell r="D516">
            <v>1662.86</v>
          </cell>
          <cell r="F516">
            <v>732.22999999999331</v>
          </cell>
          <cell r="G516">
            <v>1025.1199999999999</v>
          </cell>
        </row>
        <row r="517">
          <cell r="B517">
            <v>513</v>
          </cell>
          <cell r="C517">
            <v>1190.0800000000063</v>
          </cell>
          <cell r="D517">
            <v>1666.11</v>
          </cell>
          <cell r="F517">
            <v>733.65999999999326</v>
          </cell>
          <cell r="G517">
            <v>1027.1199999999999</v>
          </cell>
        </row>
        <row r="518">
          <cell r="B518">
            <v>514</v>
          </cell>
          <cell r="C518">
            <v>1192.4000000000062</v>
          </cell>
          <cell r="D518">
            <v>1669.36</v>
          </cell>
          <cell r="F518">
            <v>735.08999999999321</v>
          </cell>
          <cell r="G518">
            <v>1029.1300000000001</v>
          </cell>
        </row>
        <row r="519">
          <cell r="B519">
            <v>515</v>
          </cell>
          <cell r="C519">
            <v>1194.7200000000062</v>
          </cell>
          <cell r="D519">
            <v>1672.61</v>
          </cell>
          <cell r="F519">
            <v>736.51999999999316</v>
          </cell>
          <cell r="G519">
            <v>1031.1300000000001</v>
          </cell>
        </row>
        <row r="520">
          <cell r="B520">
            <v>516</v>
          </cell>
          <cell r="C520">
            <v>1197.0400000000061</v>
          </cell>
          <cell r="D520">
            <v>1675.86</v>
          </cell>
          <cell r="F520">
            <v>737.94999999999311</v>
          </cell>
          <cell r="G520">
            <v>1033.1300000000001</v>
          </cell>
        </row>
        <row r="521">
          <cell r="B521">
            <v>517</v>
          </cell>
          <cell r="C521">
            <v>1199.360000000006</v>
          </cell>
          <cell r="D521">
            <v>1679.1</v>
          </cell>
          <cell r="F521">
            <v>739.37999999999306</v>
          </cell>
          <cell r="G521">
            <v>1035.1300000000001</v>
          </cell>
        </row>
        <row r="522">
          <cell r="B522">
            <v>518</v>
          </cell>
          <cell r="C522">
            <v>1201.680000000006</v>
          </cell>
          <cell r="D522">
            <v>1682.35</v>
          </cell>
          <cell r="F522">
            <v>740.80999999999301</v>
          </cell>
          <cell r="G522">
            <v>1037.1300000000001</v>
          </cell>
        </row>
        <row r="523">
          <cell r="B523">
            <v>519</v>
          </cell>
          <cell r="C523">
            <v>1204.0000000000059</v>
          </cell>
          <cell r="D523">
            <v>1685.6</v>
          </cell>
          <cell r="F523">
            <v>742.23999999999296</v>
          </cell>
          <cell r="G523">
            <v>1039.1400000000001</v>
          </cell>
        </row>
        <row r="524">
          <cell r="B524">
            <v>520</v>
          </cell>
          <cell r="C524">
            <v>1206.3200000000058</v>
          </cell>
          <cell r="D524">
            <v>1688.85</v>
          </cell>
          <cell r="F524">
            <v>743.66999999999291</v>
          </cell>
          <cell r="G524">
            <v>1041.1400000000001</v>
          </cell>
        </row>
        <row r="525">
          <cell r="B525">
            <v>521</v>
          </cell>
          <cell r="C525">
            <v>1208.6400000000058</v>
          </cell>
          <cell r="D525">
            <v>1692.1</v>
          </cell>
          <cell r="F525">
            <v>745.09999999999286</v>
          </cell>
          <cell r="G525">
            <v>1043.1400000000001</v>
          </cell>
        </row>
        <row r="526">
          <cell r="B526">
            <v>522</v>
          </cell>
          <cell r="C526">
            <v>1210.9600000000057</v>
          </cell>
          <cell r="D526">
            <v>1695.34</v>
          </cell>
          <cell r="F526">
            <v>746.52999999999281</v>
          </cell>
          <cell r="G526">
            <v>1045.1400000000001</v>
          </cell>
        </row>
        <row r="527">
          <cell r="B527">
            <v>523</v>
          </cell>
          <cell r="C527">
            <v>1213.2800000000057</v>
          </cell>
          <cell r="D527">
            <v>1698.59</v>
          </cell>
          <cell r="F527">
            <v>747.95999999999276</v>
          </cell>
          <cell r="G527">
            <v>1047.1400000000001</v>
          </cell>
        </row>
        <row r="528">
          <cell r="B528">
            <v>524</v>
          </cell>
          <cell r="C528">
            <v>1215.6000000000056</v>
          </cell>
          <cell r="D528">
            <v>1701.84</v>
          </cell>
          <cell r="F528">
            <v>749.38999999999271</v>
          </cell>
          <cell r="G528">
            <v>1049.1500000000001</v>
          </cell>
        </row>
        <row r="529">
          <cell r="B529">
            <v>525</v>
          </cell>
          <cell r="C529">
            <v>1217.9200000000055</v>
          </cell>
          <cell r="D529">
            <v>1705.09</v>
          </cell>
          <cell r="F529">
            <v>750.81999999999266</v>
          </cell>
          <cell r="G529">
            <v>1051.1500000000001</v>
          </cell>
        </row>
        <row r="530">
          <cell r="B530">
            <v>526</v>
          </cell>
          <cell r="C530">
            <v>1220.2400000000055</v>
          </cell>
          <cell r="D530">
            <v>1708.34</v>
          </cell>
          <cell r="F530">
            <v>752.24999999999261</v>
          </cell>
          <cell r="G530">
            <v>1053.1500000000001</v>
          </cell>
        </row>
        <row r="531">
          <cell r="B531">
            <v>527</v>
          </cell>
          <cell r="C531">
            <v>1222.5600000000054</v>
          </cell>
          <cell r="D531">
            <v>1711.58</v>
          </cell>
          <cell r="F531">
            <v>753.67999999999256</v>
          </cell>
          <cell r="G531">
            <v>1055.1500000000001</v>
          </cell>
        </row>
        <row r="532">
          <cell r="B532">
            <v>528</v>
          </cell>
          <cell r="C532">
            <v>1224.8800000000053</v>
          </cell>
          <cell r="D532">
            <v>1714.83</v>
          </cell>
          <cell r="F532">
            <v>755.10999999999251</v>
          </cell>
          <cell r="G532">
            <v>1057.1500000000001</v>
          </cell>
        </row>
        <row r="533">
          <cell r="B533">
            <v>529</v>
          </cell>
          <cell r="C533">
            <v>1227.2000000000053</v>
          </cell>
          <cell r="D533">
            <v>1718.08</v>
          </cell>
          <cell r="F533">
            <v>756.53999999999246</v>
          </cell>
          <cell r="G533">
            <v>1059.1600000000001</v>
          </cell>
        </row>
        <row r="534">
          <cell r="B534">
            <v>530</v>
          </cell>
          <cell r="C534">
            <v>1229.5200000000052</v>
          </cell>
          <cell r="D534">
            <v>1721.33</v>
          </cell>
          <cell r="F534">
            <v>757.96999999999241</v>
          </cell>
          <cell r="G534">
            <v>1061.1600000000001</v>
          </cell>
        </row>
        <row r="535">
          <cell r="B535">
            <v>531</v>
          </cell>
          <cell r="C535">
            <v>1231.8400000000051</v>
          </cell>
          <cell r="D535">
            <v>1724.58</v>
          </cell>
          <cell r="F535">
            <v>759.39999999999236</v>
          </cell>
          <cell r="G535">
            <v>1063.1600000000001</v>
          </cell>
        </row>
        <row r="536">
          <cell r="B536">
            <v>532</v>
          </cell>
          <cell r="C536">
            <v>1234.1600000000051</v>
          </cell>
          <cell r="D536">
            <v>1727.82</v>
          </cell>
          <cell r="F536">
            <v>760.82999999999231</v>
          </cell>
          <cell r="G536">
            <v>1065.1600000000001</v>
          </cell>
        </row>
        <row r="537">
          <cell r="B537">
            <v>533</v>
          </cell>
          <cell r="C537">
            <v>1236.480000000005</v>
          </cell>
          <cell r="D537">
            <v>1731.07</v>
          </cell>
          <cell r="F537">
            <v>762.25999999999226</v>
          </cell>
          <cell r="G537">
            <v>1067.1600000000001</v>
          </cell>
        </row>
        <row r="538">
          <cell r="B538">
            <v>534</v>
          </cell>
          <cell r="C538">
            <v>1238.800000000005</v>
          </cell>
          <cell r="D538">
            <v>1734.32</v>
          </cell>
          <cell r="F538">
            <v>763.68999999999221</v>
          </cell>
          <cell r="G538">
            <v>1069.17</v>
          </cell>
        </row>
        <row r="539">
          <cell r="B539">
            <v>535</v>
          </cell>
          <cell r="C539">
            <v>1241.1200000000049</v>
          </cell>
          <cell r="D539">
            <v>1737.57</v>
          </cell>
          <cell r="F539">
            <v>765.11999999999216</v>
          </cell>
          <cell r="G539">
            <v>1071.17</v>
          </cell>
        </row>
        <row r="540">
          <cell r="B540">
            <v>536</v>
          </cell>
          <cell r="C540">
            <v>1243.4400000000048</v>
          </cell>
          <cell r="D540">
            <v>1740.82</v>
          </cell>
          <cell r="F540">
            <v>766.54999999999211</v>
          </cell>
          <cell r="G540">
            <v>1073.17</v>
          </cell>
        </row>
        <row r="541">
          <cell r="B541">
            <v>537</v>
          </cell>
          <cell r="C541">
            <v>1245.7600000000048</v>
          </cell>
          <cell r="D541">
            <v>1744.06</v>
          </cell>
          <cell r="F541">
            <v>767.97999999999206</v>
          </cell>
          <cell r="G541">
            <v>1075.17</v>
          </cell>
        </row>
        <row r="542">
          <cell r="B542">
            <v>538</v>
          </cell>
          <cell r="C542">
            <v>1248.0800000000047</v>
          </cell>
          <cell r="D542">
            <v>1747.31</v>
          </cell>
          <cell r="F542">
            <v>769.40999999999201</v>
          </cell>
          <cell r="G542">
            <v>1077.17</v>
          </cell>
        </row>
        <row r="543">
          <cell r="B543">
            <v>539</v>
          </cell>
          <cell r="C543">
            <v>1250.4000000000046</v>
          </cell>
          <cell r="D543">
            <v>1750.56</v>
          </cell>
          <cell r="F543">
            <v>770.83999999999196</v>
          </cell>
          <cell r="G543">
            <v>1079.18</v>
          </cell>
        </row>
        <row r="544">
          <cell r="B544">
            <v>540</v>
          </cell>
          <cell r="C544">
            <v>1252.7200000000046</v>
          </cell>
          <cell r="D544">
            <v>1753.81</v>
          </cell>
          <cell r="F544">
            <v>772.26999999999191</v>
          </cell>
          <cell r="G544">
            <v>1081.18</v>
          </cell>
        </row>
        <row r="545">
          <cell r="B545">
            <v>541</v>
          </cell>
          <cell r="C545">
            <v>1255.0400000000045</v>
          </cell>
          <cell r="D545">
            <v>1757.06</v>
          </cell>
          <cell r="F545">
            <v>773.69999999999186</v>
          </cell>
          <cell r="G545">
            <v>1083.18</v>
          </cell>
        </row>
        <row r="546">
          <cell r="B546">
            <v>542</v>
          </cell>
          <cell r="C546">
            <v>1257.3600000000044</v>
          </cell>
          <cell r="D546">
            <v>1760.3</v>
          </cell>
          <cell r="F546">
            <v>775.12999999999181</v>
          </cell>
          <cell r="G546">
            <v>1085.18</v>
          </cell>
        </row>
        <row r="547">
          <cell r="B547">
            <v>543</v>
          </cell>
          <cell r="C547">
            <v>1259.6800000000044</v>
          </cell>
          <cell r="D547">
            <v>1763.55</v>
          </cell>
          <cell r="F547">
            <v>776.55999999999176</v>
          </cell>
          <cell r="G547">
            <v>1087.18</v>
          </cell>
        </row>
        <row r="548">
          <cell r="B548">
            <v>544</v>
          </cell>
          <cell r="C548">
            <v>1262.0000000000043</v>
          </cell>
          <cell r="D548">
            <v>1766.8</v>
          </cell>
          <cell r="F548">
            <v>777.98999999999171</v>
          </cell>
          <cell r="G548">
            <v>1089.19</v>
          </cell>
        </row>
        <row r="549">
          <cell r="B549">
            <v>545</v>
          </cell>
          <cell r="C549">
            <v>1264.3200000000043</v>
          </cell>
          <cell r="D549">
            <v>1770.05</v>
          </cell>
          <cell r="F549">
            <v>779.41999999999166</v>
          </cell>
          <cell r="G549">
            <v>1091.19</v>
          </cell>
        </row>
        <row r="550">
          <cell r="B550">
            <v>546</v>
          </cell>
          <cell r="C550">
            <v>1266.6400000000042</v>
          </cell>
          <cell r="D550">
            <v>1773.3</v>
          </cell>
          <cell r="F550">
            <v>780.84999999999161</v>
          </cell>
          <cell r="G550">
            <v>1093.19</v>
          </cell>
        </row>
        <row r="551">
          <cell r="B551">
            <v>547</v>
          </cell>
          <cell r="C551">
            <v>1268.9600000000041</v>
          </cell>
          <cell r="D551">
            <v>1776.54</v>
          </cell>
          <cell r="F551">
            <v>782.27999999999156</v>
          </cell>
          <cell r="G551">
            <v>1095.19</v>
          </cell>
        </row>
        <row r="552">
          <cell r="B552">
            <v>548</v>
          </cell>
          <cell r="C552">
            <v>1271.2800000000041</v>
          </cell>
          <cell r="D552">
            <v>1779.79</v>
          </cell>
          <cell r="F552">
            <v>783.70999999999151</v>
          </cell>
          <cell r="G552">
            <v>1097.19</v>
          </cell>
        </row>
        <row r="553">
          <cell r="B553">
            <v>549</v>
          </cell>
          <cell r="C553">
            <v>1273.600000000004</v>
          </cell>
          <cell r="D553">
            <v>1783.04</v>
          </cell>
          <cell r="F553">
            <v>785.13999999999146</v>
          </cell>
          <cell r="G553">
            <v>1099.2</v>
          </cell>
        </row>
        <row r="554">
          <cell r="B554">
            <v>550</v>
          </cell>
          <cell r="C554">
            <v>1275.9200000000039</v>
          </cell>
          <cell r="D554">
            <v>1786.29</v>
          </cell>
          <cell r="F554">
            <v>786.56999999999141</v>
          </cell>
          <cell r="G554">
            <v>1101.2</v>
          </cell>
        </row>
        <row r="555">
          <cell r="B555">
            <v>551</v>
          </cell>
          <cell r="C555">
            <v>1278.2400000000039</v>
          </cell>
          <cell r="D555">
            <v>1789.54</v>
          </cell>
          <cell r="F555">
            <v>787.99999999999136</v>
          </cell>
          <cell r="G555">
            <v>1103.2</v>
          </cell>
        </row>
        <row r="556">
          <cell r="B556">
            <v>552</v>
          </cell>
          <cell r="C556">
            <v>1280.5600000000038</v>
          </cell>
          <cell r="D556">
            <v>1792.78</v>
          </cell>
          <cell r="F556">
            <v>789.42999999999131</v>
          </cell>
          <cell r="G556">
            <v>1105.2</v>
          </cell>
        </row>
        <row r="557">
          <cell r="B557">
            <v>553</v>
          </cell>
          <cell r="C557">
            <v>1282.8800000000037</v>
          </cell>
          <cell r="D557">
            <v>1796.03</v>
          </cell>
          <cell r="F557">
            <v>790.85999999999126</v>
          </cell>
          <cell r="G557">
            <v>1107.2</v>
          </cell>
        </row>
        <row r="558">
          <cell r="B558">
            <v>554</v>
          </cell>
          <cell r="C558">
            <v>1285.2000000000037</v>
          </cell>
          <cell r="D558">
            <v>1799.28</v>
          </cell>
          <cell r="F558">
            <v>792.28999999999121</v>
          </cell>
          <cell r="G558">
            <v>1109.21</v>
          </cell>
        </row>
        <row r="559">
          <cell r="B559">
            <v>555</v>
          </cell>
          <cell r="C559">
            <v>1287.5200000000036</v>
          </cell>
          <cell r="D559">
            <v>1802.53</v>
          </cell>
          <cell r="F559">
            <v>793.71999999999116</v>
          </cell>
          <cell r="G559">
            <v>1111.21</v>
          </cell>
        </row>
        <row r="560">
          <cell r="B560">
            <v>556</v>
          </cell>
          <cell r="C560">
            <v>1289.8400000000036</v>
          </cell>
          <cell r="D560">
            <v>1805.78</v>
          </cell>
          <cell r="F560">
            <v>795.14999999999111</v>
          </cell>
          <cell r="G560">
            <v>1113.21</v>
          </cell>
        </row>
        <row r="561">
          <cell r="B561">
            <v>557</v>
          </cell>
          <cell r="C561">
            <v>1292.1600000000035</v>
          </cell>
          <cell r="D561">
            <v>1809.02</v>
          </cell>
          <cell r="F561">
            <v>796.57999999999106</v>
          </cell>
          <cell r="G561">
            <v>1115.21</v>
          </cell>
        </row>
        <row r="562">
          <cell r="B562">
            <v>558</v>
          </cell>
          <cell r="C562">
            <v>1294.4800000000034</v>
          </cell>
          <cell r="D562">
            <v>1812.27</v>
          </cell>
          <cell r="F562">
            <v>798.00999999999101</v>
          </cell>
          <cell r="G562">
            <v>1117.21</v>
          </cell>
        </row>
        <row r="563">
          <cell r="B563">
            <v>559</v>
          </cell>
          <cell r="C563">
            <v>1296.8000000000034</v>
          </cell>
          <cell r="D563">
            <v>1815.52</v>
          </cell>
          <cell r="F563">
            <v>799.43999999999096</v>
          </cell>
          <cell r="G563">
            <v>1119.22</v>
          </cell>
        </row>
        <row r="564">
          <cell r="B564">
            <v>560</v>
          </cell>
          <cell r="C564">
            <v>1299.1200000000033</v>
          </cell>
          <cell r="D564">
            <v>1818.77</v>
          </cell>
          <cell r="F564">
            <v>800.86999999999091</v>
          </cell>
          <cell r="G564">
            <v>1121.22</v>
          </cell>
        </row>
        <row r="565">
          <cell r="B565">
            <v>561</v>
          </cell>
          <cell r="C565">
            <v>1301.4400000000032</v>
          </cell>
          <cell r="D565">
            <v>1822.02</v>
          </cell>
          <cell r="F565">
            <v>802.29999999999086</v>
          </cell>
          <cell r="G565">
            <v>1123.22</v>
          </cell>
        </row>
        <row r="566">
          <cell r="B566">
            <v>562</v>
          </cell>
          <cell r="C566">
            <v>1303.7600000000032</v>
          </cell>
          <cell r="D566">
            <v>1825.26</v>
          </cell>
          <cell r="F566">
            <v>803.72999999999081</v>
          </cell>
          <cell r="G566">
            <v>1125.22</v>
          </cell>
        </row>
        <row r="567">
          <cell r="B567">
            <v>563</v>
          </cell>
          <cell r="C567">
            <v>1306.0800000000031</v>
          </cell>
          <cell r="D567">
            <v>1828.51</v>
          </cell>
          <cell r="F567">
            <v>805.15999999999076</v>
          </cell>
          <cell r="G567">
            <v>1127.22</v>
          </cell>
        </row>
        <row r="568">
          <cell r="B568">
            <v>564</v>
          </cell>
          <cell r="C568">
            <v>1308.400000000003</v>
          </cell>
          <cell r="D568">
            <v>1831.76</v>
          </cell>
          <cell r="F568">
            <v>806.58999999999071</v>
          </cell>
          <cell r="G568">
            <v>1129.23</v>
          </cell>
        </row>
        <row r="569">
          <cell r="B569">
            <v>565</v>
          </cell>
          <cell r="C569">
            <v>1310.720000000003</v>
          </cell>
          <cell r="D569">
            <v>1835.01</v>
          </cell>
          <cell r="F569">
            <v>808.01999999999066</v>
          </cell>
          <cell r="G569">
            <v>1131.23</v>
          </cell>
        </row>
        <row r="570">
          <cell r="B570">
            <v>566</v>
          </cell>
          <cell r="C570">
            <v>1313.0400000000029</v>
          </cell>
          <cell r="D570">
            <v>1838.26</v>
          </cell>
          <cell r="F570">
            <v>809.44999999999061</v>
          </cell>
          <cell r="G570">
            <v>1133.23</v>
          </cell>
        </row>
        <row r="571">
          <cell r="B571">
            <v>567</v>
          </cell>
          <cell r="C571">
            <v>1315.3600000000029</v>
          </cell>
          <cell r="D571">
            <v>1841.5</v>
          </cell>
          <cell r="F571">
            <v>810.87999999999056</v>
          </cell>
          <cell r="G571">
            <v>1135.23</v>
          </cell>
        </row>
        <row r="572">
          <cell r="B572">
            <v>568</v>
          </cell>
          <cell r="C572">
            <v>1317.6800000000028</v>
          </cell>
          <cell r="D572">
            <v>1844.75</v>
          </cell>
          <cell r="F572">
            <v>812.30999999999051</v>
          </cell>
          <cell r="G572">
            <v>1137.23</v>
          </cell>
        </row>
        <row r="573">
          <cell r="B573">
            <v>569</v>
          </cell>
          <cell r="C573">
            <v>1320.0000000000027</v>
          </cell>
          <cell r="D573">
            <v>1848</v>
          </cell>
          <cell r="F573">
            <v>813.73999999999046</v>
          </cell>
          <cell r="G573">
            <v>1139.24</v>
          </cell>
        </row>
        <row r="574">
          <cell r="B574">
            <v>570</v>
          </cell>
          <cell r="C574">
            <v>1322.3200000000027</v>
          </cell>
          <cell r="D574">
            <v>1851.25</v>
          </cell>
          <cell r="F574">
            <v>815.16999999999041</v>
          </cell>
          <cell r="G574">
            <v>1141.24</v>
          </cell>
        </row>
        <row r="575">
          <cell r="B575">
            <v>571</v>
          </cell>
          <cell r="C575">
            <v>1324.6400000000026</v>
          </cell>
          <cell r="D575">
            <v>1854.5</v>
          </cell>
          <cell r="F575">
            <v>816.59999999999036</v>
          </cell>
          <cell r="G575">
            <v>1143.24</v>
          </cell>
        </row>
        <row r="576">
          <cell r="B576">
            <v>572</v>
          </cell>
          <cell r="C576">
            <v>1326.9600000000025</v>
          </cell>
          <cell r="D576">
            <v>1857.74</v>
          </cell>
          <cell r="F576">
            <v>818.02999999999031</v>
          </cell>
          <cell r="G576">
            <v>1145.24</v>
          </cell>
        </row>
        <row r="577">
          <cell r="B577">
            <v>573</v>
          </cell>
          <cell r="C577">
            <v>1329.2800000000025</v>
          </cell>
          <cell r="D577">
            <v>1860.99</v>
          </cell>
          <cell r="F577">
            <v>819.45999999999026</v>
          </cell>
          <cell r="G577">
            <v>1147.24</v>
          </cell>
        </row>
        <row r="578">
          <cell r="B578">
            <v>574</v>
          </cell>
          <cell r="C578">
            <v>1331.6000000000024</v>
          </cell>
          <cell r="D578">
            <v>1864.24</v>
          </cell>
          <cell r="F578">
            <v>820.88999999999021</v>
          </cell>
          <cell r="G578">
            <v>1149.25</v>
          </cell>
        </row>
        <row r="579">
          <cell r="B579">
            <v>575</v>
          </cell>
          <cell r="C579">
            <v>1333.9200000000023</v>
          </cell>
          <cell r="D579">
            <v>1867.49</v>
          </cell>
          <cell r="F579">
            <v>822.31999999999016</v>
          </cell>
          <cell r="G579">
            <v>1151.25</v>
          </cell>
        </row>
        <row r="580">
          <cell r="B580">
            <v>576</v>
          </cell>
          <cell r="C580">
            <v>1336.2400000000023</v>
          </cell>
          <cell r="D580">
            <v>1870.74</v>
          </cell>
          <cell r="F580">
            <v>823.74999999999011</v>
          </cell>
          <cell r="G580">
            <v>1153.25</v>
          </cell>
        </row>
        <row r="581">
          <cell r="B581">
            <v>577</v>
          </cell>
          <cell r="C581">
            <v>1338.5600000000022</v>
          </cell>
          <cell r="D581">
            <v>1873.98</v>
          </cell>
          <cell r="F581">
            <v>825.17999999999006</v>
          </cell>
          <cell r="G581">
            <v>1155.25</v>
          </cell>
        </row>
        <row r="582">
          <cell r="B582">
            <v>578</v>
          </cell>
          <cell r="C582">
            <v>1340.8800000000022</v>
          </cell>
          <cell r="D582">
            <v>1877.23</v>
          </cell>
          <cell r="F582">
            <v>826.60999999999001</v>
          </cell>
          <cell r="G582">
            <v>1157.25</v>
          </cell>
        </row>
        <row r="583">
          <cell r="B583">
            <v>579</v>
          </cell>
          <cell r="C583">
            <v>1343.2000000000021</v>
          </cell>
          <cell r="D583">
            <v>1880.48</v>
          </cell>
          <cell r="F583">
            <v>828.03999999998996</v>
          </cell>
          <cell r="G583">
            <v>1159.26</v>
          </cell>
        </row>
        <row r="584">
          <cell r="B584">
            <v>580</v>
          </cell>
          <cell r="C584">
            <v>1345.520000000002</v>
          </cell>
          <cell r="D584">
            <v>1883.73</v>
          </cell>
          <cell r="F584">
            <v>829.46999999998991</v>
          </cell>
          <cell r="G584">
            <v>1161.26</v>
          </cell>
        </row>
        <row r="585">
          <cell r="B585">
            <v>581</v>
          </cell>
          <cell r="C585">
            <v>1347.840000000002</v>
          </cell>
          <cell r="D585">
            <v>1886.98</v>
          </cell>
          <cell r="F585">
            <v>830.89999999998986</v>
          </cell>
          <cell r="G585">
            <v>1163.26</v>
          </cell>
        </row>
        <row r="586">
          <cell r="B586">
            <v>582</v>
          </cell>
          <cell r="C586">
            <v>1350.1600000000019</v>
          </cell>
          <cell r="D586">
            <v>1890.22</v>
          </cell>
          <cell r="F586">
            <v>832.32999999998981</v>
          </cell>
          <cell r="G586">
            <v>1165.26</v>
          </cell>
        </row>
        <row r="587">
          <cell r="B587">
            <v>583</v>
          </cell>
          <cell r="C587">
            <v>1352.4800000000018</v>
          </cell>
          <cell r="D587">
            <v>1893.47</v>
          </cell>
          <cell r="F587">
            <v>833.75999999998976</v>
          </cell>
          <cell r="G587">
            <v>1167.26</v>
          </cell>
        </row>
        <row r="588">
          <cell r="B588">
            <v>584</v>
          </cell>
          <cell r="C588">
            <v>1354.8000000000018</v>
          </cell>
          <cell r="D588">
            <v>1896.72</v>
          </cell>
          <cell r="F588">
            <v>835.18999999998971</v>
          </cell>
          <cell r="G588">
            <v>1169.27</v>
          </cell>
        </row>
        <row r="589">
          <cell r="B589">
            <v>585</v>
          </cell>
          <cell r="C589">
            <v>1357.1200000000017</v>
          </cell>
          <cell r="D589">
            <v>1899.97</v>
          </cell>
          <cell r="F589">
            <v>836.61999999998966</v>
          </cell>
          <cell r="G589">
            <v>1171.27</v>
          </cell>
        </row>
        <row r="590">
          <cell r="B590">
            <v>586</v>
          </cell>
          <cell r="C590">
            <v>1359.4400000000016</v>
          </cell>
          <cell r="D590">
            <v>1903.22</v>
          </cell>
          <cell r="F590">
            <v>838.04999999998961</v>
          </cell>
          <cell r="G590">
            <v>1173.27</v>
          </cell>
        </row>
        <row r="591">
          <cell r="B591">
            <v>587</v>
          </cell>
          <cell r="C591">
            <v>1361.7600000000016</v>
          </cell>
          <cell r="D591">
            <v>1906.46</v>
          </cell>
          <cell r="F591">
            <v>839.47999999998956</v>
          </cell>
          <cell r="G591">
            <v>1175.27</v>
          </cell>
        </row>
        <row r="592">
          <cell r="B592">
            <v>588</v>
          </cell>
          <cell r="C592">
            <v>1364.0800000000015</v>
          </cell>
          <cell r="D592">
            <v>1909.71</v>
          </cell>
          <cell r="F592">
            <v>840.90999999998951</v>
          </cell>
          <cell r="G592">
            <v>1177.27</v>
          </cell>
        </row>
        <row r="593">
          <cell r="B593">
            <v>589</v>
          </cell>
          <cell r="C593">
            <v>1366.4000000000015</v>
          </cell>
          <cell r="D593">
            <v>1912.96</v>
          </cell>
          <cell r="F593">
            <v>842.33999999998946</v>
          </cell>
          <cell r="G593">
            <v>1179.28</v>
          </cell>
        </row>
        <row r="594">
          <cell r="B594">
            <v>590</v>
          </cell>
          <cell r="C594">
            <v>1368.7200000000014</v>
          </cell>
          <cell r="D594">
            <v>1916.21</v>
          </cell>
          <cell r="F594">
            <v>843.76999999998941</v>
          </cell>
          <cell r="G594">
            <v>1181.28</v>
          </cell>
        </row>
        <row r="595">
          <cell r="B595">
            <v>591</v>
          </cell>
          <cell r="C595">
            <v>1371.0400000000013</v>
          </cell>
          <cell r="D595">
            <v>1919.46</v>
          </cell>
          <cell r="F595">
            <v>845.19999999998936</v>
          </cell>
          <cell r="G595">
            <v>1183.28</v>
          </cell>
        </row>
        <row r="596">
          <cell r="B596">
            <v>592</v>
          </cell>
          <cell r="C596">
            <v>1373.3600000000013</v>
          </cell>
          <cell r="D596">
            <v>1922.7</v>
          </cell>
          <cell r="F596">
            <v>846.62999999998931</v>
          </cell>
          <cell r="G596">
            <v>1185.28</v>
          </cell>
        </row>
        <row r="597">
          <cell r="B597">
            <v>593</v>
          </cell>
          <cell r="C597">
            <v>1375.6800000000012</v>
          </cell>
          <cell r="D597">
            <v>1925.95</v>
          </cell>
          <cell r="F597">
            <v>848.05999999998926</v>
          </cell>
          <cell r="G597">
            <v>1187.28</v>
          </cell>
        </row>
        <row r="598">
          <cell r="B598">
            <v>594</v>
          </cell>
          <cell r="C598">
            <v>1378.0000000000011</v>
          </cell>
          <cell r="D598">
            <v>1929.2</v>
          </cell>
          <cell r="F598">
            <v>849.48999999998921</v>
          </cell>
          <cell r="G598">
            <v>1189.29</v>
          </cell>
        </row>
        <row r="599">
          <cell r="B599">
            <v>595</v>
          </cell>
          <cell r="C599">
            <v>1380.3200000000011</v>
          </cell>
          <cell r="D599">
            <v>1932.45</v>
          </cell>
          <cell r="F599">
            <v>850.91999999998916</v>
          </cell>
          <cell r="G599">
            <v>1191.29</v>
          </cell>
        </row>
        <row r="600">
          <cell r="B600">
            <v>596</v>
          </cell>
          <cell r="C600">
            <v>1382.640000000001</v>
          </cell>
          <cell r="D600">
            <v>1935.7</v>
          </cell>
          <cell r="F600">
            <v>852.34999999998911</v>
          </cell>
          <cell r="G600">
            <v>1193.29</v>
          </cell>
        </row>
        <row r="601">
          <cell r="B601">
            <v>597</v>
          </cell>
          <cell r="C601">
            <v>1384.9600000000009</v>
          </cell>
          <cell r="D601">
            <v>1938.94</v>
          </cell>
          <cell r="F601">
            <v>853.77999999998906</v>
          </cell>
          <cell r="G601">
            <v>1195.29</v>
          </cell>
        </row>
        <row r="602">
          <cell r="B602">
            <v>598</v>
          </cell>
          <cell r="C602">
            <v>1387.2800000000009</v>
          </cell>
          <cell r="D602">
            <v>1942.19</v>
          </cell>
          <cell r="F602">
            <v>855.20999999998901</v>
          </cell>
          <cell r="G602">
            <v>1197.29</v>
          </cell>
        </row>
        <row r="603">
          <cell r="B603">
            <v>599</v>
          </cell>
          <cell r="C603">
            <v>1389.6000000000008</v>
          </cell>
          <cell r="D603">
            <v>1945.44</v>
          </cell>
          <cell r="F603">
            <v>856.63999999998896</v>
          </cell>
          <cell r="G603">
            <v>1199.3</v>
          </cell>
        </row>
        <row r="604">
          <cell r="B604">
            <v>600</v>
          </cell>
          <cell r="C604">
            <v>1391.9200000000008</v>
          </cell>
          <cell r="D604">
            <v>1948.69</v>
          </cell>
          <cell r="F604">
            <v>858.06999999998891</v>
          </cell>
          <cell r="G604">
            <v>1201.3</v>
          </cell>
        </row>
        <row r="605">
          <cell r="B605">
            <v>601</v>
          </cell>
          <cell r="C605">
            <v>1394.2400000000007</v>
          </cell>
          <cell r="D605">
            <v>1951.94</v>
          </cell>
          <cell r="F605">
            <v>859.49999999998886</v>
          </cell>
          <cell r="G605">
            <v>1203.3</v>
          </cell>
        </row>
        <row r="606">
          <cell r="B606">
            <v>602</v>
          </cell>
          <cell r="C606">
            <v>1396.5600000000006</v>
          </cell>
          <cell r="D606">
            <v>1955.18</v>
          </cell>
          <cell r="F606">
            <v>860.92999999998881</v>
          </cell>
          <cell r="G606">
            <v>1205.3</v>
          </cell>
        </row>
        <row r="607">
          <cell r="B607">
            <v>603</v>
          </cell>
          <cell r="C607">
            <v>1398.8800000000006</v>
          </cell>
          <cell r="D607">
            <v>1958.43</v>
          </cell>
          <cell r="F607">
            <v>862.35999999998876</v>
          </cell>
          <cell r="G607">
            <v>1207.3</v>
          </cell>
        </row>
        <row r="608">
          <cell r="B608">
            <v>604</v>
          </cell>
          <cell r="C608">
            <v>1401.2000000000005</v>
          </cell>
          <cell r="D608">
            <v>1961.68</v>
          </cell>
          <cell r="F608">
            <v>863.78999999998871</v>
          </cell>
          <cell r="G608">
            <v>1209.31</v>
          </cell>
        </row>
        <row r="609">
          <cell r="B609">
            <v>605</v>
          </cell>
          <cell r="C609">
            <v>1403.5200000000004</v>
          </cell>
          <cell r="D609">
            <v>1964.93</v>
          </cell>
          <cell r="F609">
            <v>865.21999999998866</v>
          </cell>
          <cell r="G609">
            <v>1211.31</v>
          </cell>
        </row>
        <row r="610">
          <cell r="B610">
            <v>606</v>
          </cell>
          <cell r="C610">
            <v>1405.8400000000004</v>
          </cell>
          <cell r="D610">
            <v>1968.18</v>
          </cell>
          <cell r="F610">
            <v>866.64999999998861</v>
          </cell>
          <cell r="G610">
            <v>1213.31</v>
          </cell>
        </row>
        <row r="611">
          <cell r="B611">
            <v>607</v>
          </cell>
          <cell r="C611">
            <v>1408.1600000000003</v>
          </cell>
          <cell r="D611">
            <v>1971.42</v>
          </cell>
          <cell r="F611">
            <v>868.07999999998856</v>
          </cell>
          <cell r="G611">
            <v>1215.31</v>
          </cell>
        </row>
        <row r="612">
          <cell r="B612">
            <v>608</v>
          </cell>
          <cell r="C612">
            <v>1410.4800000000002</v>
          </cell>
          <cell r="D612">
            <v>1974.67</v>
          </cell>
          <cell r="F612">
            <v>869.50999999998851</v>
          </cell>
          <cell r="G612">
            <v>1217.31</v>
          </cell>
        </row>
        <row r="613">
          <cell r="B613">
            <v>609</v>
          </cell>
          <cell r="C613">
            <v>1412.8000000000002</v>
          </cell>
          <cell r="D613">
            <v>1977.92</v>
          </cell>
          <cell r="F613">
            <v>870.93999999998846</v>
          </cell>
          <cell r="G613">
            <v>1219.32</v>
          </cell>
        </row>
        <row r="614">
          <cell r="B614">
            <v>610</v>
          </cell>
          <cell r="C614">
            <v>1415.1200000000001</v>
          </cell>
          <cell r="D614">
            <v>1981.17</v>
          </cell>
          <cell r="F614">
            <v>872.36999999998841</v>
          </cell>
          <cell r="G614">
            <v>1221.32</v>
          </cell>
        </row>
        <row r="615">
          <cell r="B615">
            <v>611</v>
          </cell>
          <cell r="C615">
            <v>1417.44</v>
          </cell>
          <cell r="D615">
            <v>1984.42</v>
          </cell>
          <cell r="F615">
            <v>873.79999999998836</v>
          </cell>
          <cell r="G615">
            <v>1223.32</v>
          </cell>
        </row>
        <row r="616">
          <cell r="B616">
            <v>612</v>
          </cell>
          <cell r="C616">
            <v>1419.76</v>
          </cell>
          <cell r="D616">
            <v>1987.66</v>
          </cell>
          <cell r="F616">
            <v>875.22999999998831</v>
          </cell>
          <cell r="G616">
            <v>1225.32</v>
          </cell>
        </row>
        <row r="617">
          <cell r="B617">
            <v>613</v>
          </cell>
          <cell r="C617">
            <v>1422.08</v>
          </cell>
          <cell r="D617">
            <v>1990.91</v>
          </cell>
          <cell r="F617">
            <v>876.65999999998826</v>
          </cell>
          <cell r="G617">
            <v>1227.32</v>
          </cell>
        </row>
        <row r="618">
          <cell r="B618">
            <v>614</v>
          </cell>
          <cell r="C618">
            <v>1424.3999999999999</v>
          </cell>
          <cell r="D618">
            <v>1994.16</v>
          </cell>
          <cell r="F618">
            <v>878.08999999998821</v>
          </cell>
          <cell r="G618">
            <v>1229.33</v>
          </cell>
        </row>
        <row r="619">
          <cell r="B619">
            <v>615</v>
          </cell>
          <cell r="C619">
            <v>1426.7199999999998</v>
          </cell>
          <cell r="D619">
            <v>1997.41</v>
          </cell>
          <cell r="F619">
            <v>879.51999999998816</v>
          </cell>
          <cell r="G619">
            <v>1231.33</v>
          </cell>
        </row>
        <row r="620">
          <cell r="B620">
            <v>616</v>
          </cell>
          <cell r="C620">
            <v>1429.0399999999997</v>
          </cell>
          <cell r="D620">
            <v>2000.66</v>
          </cell>
          <cell r="F620">
            <v>880.94999999998811</v>
          </cell>
          <cell r="G620">
            <v>1233.33</v>
          </cell>
        </row>
        <row r="621">
          <cell r="B621">
            <v>617</v>
          </cell>
          <cell r="C621">
            <v>1431.3599999999997</v>
          </cell>
          <cell r="D621">
            <v>2003.9</v>
          </cell>
          <cell r="F621">
            <v>882.37999999998806</v>
          </cell>
          <cell r="G621">
            <v>1235.33</v>
          </cell>
        </row>
        <row r="622">
          <cell r="B622">
            <v>618</v>
          </cell>
          <cell r="C622">
            <v>1433.6799999999996</v>
          </cell>
          <cell r="D622">
            <v>2007.15</v>
          </cell>
          <cell r="F622">
            <v>883.80999999998801</v>
          </cell>
          <cell r="G622">
            <v>1237.33</v>
          </cell>
        </row>
        <row r="623">
          <cell r="B623">
            <v>619</v>
          </cell>
          <cell r="C623">
            <v>1435.9999999999995</v>
          </cell>
          <cell r="D623">
            <v>2010.4</v>
          </cell>
          <cell r="F623">
            <v>885.23999999998796</v>
          </cell>
          <cell r="G623">
            <v>1239.3399999999999</v>
          </cell>
        </row>
        <row r="624">
          <cell r="B624">
            <v>620</v>
          </cell>
          <cell r="C624">
            <v>1438.3199999999995</v>
          </cell>
          <cell r="D624">
            <v>2013.65</v>
          </cell>
          <cell r="F624">
            <v>886.66999999998791</v>
          </cell>
          <cell r="G624">
            <v>1241.3399999999999</v>
          </cell>
        </row>
        <row r="625">
          <cell r="B625">
            <v>621</v>
          </cell>
          <cell r="C625">
            <v>1440.6399999999994</v>
          </cell>
          <cell r="D625">
            <v>2016.9</v>
          </cell>
          <cell r="F625">
            <v>888.09999999998786</v>
          </cell>
          <cell r="G625">
            <v>1243.3399999999999</v>
          </cell>
        </row>
        <row r="626">
          <cell r="B626">
            <v>622</v>
          </cell>
          <cell r="C626">
            <v>1442.9599999999994</v>
          </cell>
          <cell r="D626">
            <v>2020.14</v>
          </cell>
          <cell r="F626">
            <v>889.52999999998781</v>
          </cell>
          <cell r="G626">
            <v>1245.3399999999999</v>
          </cell>
        </row>
        <row r="627">
          <cell r="B627">
            <v>623</v>
          </cell>
          <cell r="C627">
            <v>1445.2799999999993</v>
          </cell>
          <cell r="D627">
            <v>2023.39</v>
          </cell>
          <cell r="F627">
            <v>890.95999999998776</v>
          </cell>
          <cell r="G627">
            <v>1247.3399999999999</v>
          </cell>
        </row>
        <row r="628">
          <cell r="B628">
            <v>624</v>
          </cell>
          <cell r="C628">
            <v>1447.5999999999992</v>
          </cell>
          <cell r="D628">
            <v>2026.64</v>
          </cell>
          <cell r="F628">
            <v>892.38999999998771</v>
          </cell>
          <cell r="G628">
            <v>1249.3499999999999</v>
          </cell>
        </row>
        <row r="629">
          <cell r="B629">
            <v>625</v>
          </cell>
          <cell r="C629">
            <v>1449.9199999999992</v>
          </cell>
          <cell r="D629">
            <v>2029.89</v>
          </cell>
          <cell r="F629">
            <v>893.81999999998766</v>
          </cell>
          <cell r="G629">
            <v>1251.3499999999999</v>
          </cell>
        </row>
        <row r="630">
          <cell r="B630">
            <v>626</v>
          </cell>
          <cell r="C630">
            <v>1452.2399999999991</v>
          </cell>
          <cell r="D630">
            <v>2033.14</v>
          </cell>
          <cell r="F630">
            <v>895.24999999998761</v>
          </cell>
          <cell r="G630">
            <v>1253.3499999999999</v>
          </cell>
        </row>
        <row r="631">
          <cell r="B631">
            <v>627</v>
          </cell>
          <cell r="C631">
            <v>1454.559999999999</v>
          </cell>
          <cell r="D631">
            <v>2036.38</v>
          </cell>
          <cell r="F631">
            <v>896.67999999998756</v>
          </cell>
          <cell r="G631">
            <v>1255.3499999999999</v>
          </cell>
        </row>
        <row r="632">
          <cell r="B632">
            <v>628</v>
          </cell>
          <cell r="C632">
            <v>1456.879999999999</v>
          </cell>
          <cell r="D632">
            <v>2039.63</v>
          </cell>
          <cell r="F632">
            <v>898.10999999998751</v>
          </cell>
          <cell r="G632">
            <v>1257.3499999999999</v>
          </cell>
        </row>
        <row r="633">
          <cell r="B633">
            <v>629</v>
          </cell>
          <cell r="C633">
            <v>1459.1999999999989</v>
          </cell>
          <cell r="D633">
            <v>2042.88</v>
          </cell>
          <cell r="F633">
            <v>899.53999999998746</v>
          </cell>
          <cell r="G633">
            <v>1259.3599999999999</v>
          </cell>
        </row>
        <row r="634">
          <cell r="B634">
            <v>630</v>
          </cell>
          <cell r="C634">
            <v>1461.5199999999988</v>
          </cell>
          <cell r="D634">
            <v>2046.13</v>
          </cell>
          <cell r="F634">
            <v>900.96999999998741</v>
          </cell>
          <cell r="G634">
            <v>1261.3599999999999</v>
          </cell>
        </row>
        <row r="635">
          <cell r="B635">
            <v>631</v>
          </cell>
          <cell r="C635">
            <v>1463.8399999999988</v>
          </cell>
          <cell r="D635">
            <v>2049.38</v>
          </cell>
          <cell r="F635">
            <v>902.39999999998736</v>
          </cell>
          <cell r="G635">
            <v>1263.3599999999999</v>
          </cell>
        </row>
        <row r="636">
          <cell r="B636">
            <v>632</v>
          </cell>
          <cell r="C636">
            <v>1466.1599999999987</v>
          </cell>
          <cell r="D636">
            <v>2052.62</v>
          </cell>
          <cell r="F636">
            <v>903.82999999998731</v>
          </cell>
          <cell r="G636">
            <v>1265.3599999999999</v>
          </cell>
        </row>
        <row r="637">
          <cell r="B637">
            <v>633</v>
          </cell>
          <cell r="C637">
            <v>1468.4799999999987</v>
          </cell>
          <cell r="D637">
            <v>2055.87</v>
          </cell>
          <cell r="F637">
            <v>905.25999999998726</v>
          </cell>
          <cell r="G637">
            <v>1267.3599999999999</v>
          </cell>
        </row>
        <row r="638">
          <cell r="B638">
            <v>634</v>
          </cell>
          <cell r="C638">
            <v>1470.7999999999986</v>
          </cell>
          <cell r="D638">
            <v>2059.12</v>
          </cell>
          <cell r="F638">
            <v>906.68999999998721</v>
          </cell>
          <cell r="G638">
            <v>1269.3699999999999</v>
          </cell>
        </row>
        <row r="639">
          <cell r="B639">
            <v>635</v>
          </cell>
          <cell r="C639">
            <v>1473.1199999999985</v>
          </cell>
          <cell r="D639">
            <v>2062.37</v>
          </cell>
          <cell r="F639">
            <v>908.11999999998716</v>
          </cell>
          <cell r="G639">
            <v>1271.3699999999999</v>
          </cell>
        </row>
        <row r="640">
          <cell r="B640">
            <v>636</v>
          </cell>
          <cell r="C640">
            <v>1475.4399999999985</v>
          </cell>
          <cell r="D640">
            <v>2065.62</v>
          </cell>
          <cell r="F640">
            <v>909.54999999998711</v>
          </cell>
          <cell r="G640">
            <v>1273.3699999999999</v>
          </cell>
        </row>
        <row r="641">
          <cell r="B641">
            <v>637</v>
          </cell>
          <cell r="C641">
            <v>1477.7599999999984</v>
          </cell>
          <cell r="D641">
            <v>2068.86</v>
          </cell>
          <cell r="F641">
            <v>910.97999999998706</v>
          </cell>
          <cell r="G641">
            <v>1275.3699999999999</v>
          </cell>
        </row>
        <row r="642">
          <cell r="B642">
            <v>638</v>
          </cell>
          <cell r="C642">
            <v>1480.0799999999983</v>
          </cell>
          <cell r="D642">
            <v>2072.11</v>
          </cell>
          <cell r="F642">
            <v>912.40999999998701</v>
          </cell>
          <cell r="G642">
            <v>1277.3699999999999</v>
          </cell>
        </row>
        <row r="643">
          <cell r="B643">
            <v>639</v>
          </cell>
          <cell r="C643">
            <v>1482.3999999999983</v>
          </cell>
          <cell r="D643">
            <v>2075.36</v>
          </cell>
          <cell r="F643">
            <v>913.83999999998696</v>
          </cell>
          <cell r="G643">
            <v>1279.3800000000001</v>
          </cell>
        </row>
        <row r="644">
          <cell r="B644">
            <v>640</v>
          </cell>
          <cell r="C644">
            <v>1484.7199999999982</v>
          </cell>
          <cell r="D644">
            <v>2078.61</v>
          </cell>
          <cell r="F644">
            <v>915.26999999998691</v>
          </cell>
          <cell r="G644">
            <v>1281.3800000000001</v>
          </cell>
        </row>
        <row r="645">
          <cell r="B645">
            <v>641</v>
          </cell>
          <cell r="C645">
            <v>1487.0399999999981</v>
          </cell>
          <cell r="D645">
            <v>2081.86</v>
          </cell>
          <cell r="F645">
            <v>916.69999999998686</v>
          </cell>
          <cell r="G645">
            <v>1283.3800000000001</v>
          </cell>
        </row>
        <row r="646">
          <cell r="B646">
            <v>642</v>
          </cell>
          <cell r="C646">
            <v>1489.3599999999981</v>
          </cell>
          <cell r="D646">
            <v>2085.1</v>
          </cell>
          <cell r="F646">
            <v>918.12999999998681</v>
          </cell>
          <cell r="G646">
            <v>1285.3800000000001</v>
          </cell>
        </row>
        <row r="647">
          <cell r="B647">
            <v>643</v>
          </cell>
          <cell r="C647">
            <v>1491.679999999998</v>
          </cell>
          <cell r="D647">
            <v>2088.35</v>
          </cell>
          <cell r="F647">
            <v>919.55999999998676</v>
          </cell>
          <cell r="G647">
            <v>1287.3800000000001</v>
          </cell>
        </row>
        <row r="648">
          <cell r="B648">
            <v>644</v>
          </cell>
          <cell r="C648">
            <v>1493.999999999998</v>
          </cell>
          <cell r="D648">
            <v>2091.6</v>
          </cell>
          <cell r="F648">
            <v>920.98999999998671</v>
          </cell>
          <cell r="G648">
            <v>1289.3900000000001</v>
          </cell>
        </row>
        <row r="649">
          <cell r="B649">
            <v>645</v>
          </cell>
          <cell r="C649">
            <v>1496.3199999999979</v>
          </cell>
          <cell r="D649">
            <v>2094.85</v>
          </cell>
          <cell r="F649">
            <v>922.41999999998666</v>
          </cell>
          <cell r="G649">
            <v>1291.3900000000001</v>
          </cell>
        </row>
        <row r="650">
          <cell r="B650">
            <v>646</v>
          </cell>
          <cell r="C650">
            <v>1498.6399999999978</v>
          </cell>
          <cell r="D650">
            <v>2098.1</v>
          </cell>
          <cell r="F650">
            <v>923.84999999998661</v>
          </cell>
          <cell r="G650">
            <v>1293.3900000000001</v>
          </cell>
        </row>
        <row r="651">
          <cell r="B651">
            <v>647</v>
          </cell>
          <cell r="C651">
            <v>1500.9599999999978</v>
          </cell>
          <cell r="D651">
            <v>2101.34</v>
          </cell>
          <cell r="F651">
            <v>925.27999999998656</v>
          </cell>
          <cell r="G651">
            <v>1295.3900000000001</v>
          </cell>
        </row>
        <row r="652">
          <cell r="B652">
            <v>648</v>
          </cell>
          <cell r="C652">
            <v>1503.2799999999977</v>
          </cell>
          <cell r="D652">
            <v>2104.59</v>
          </cell>
          <cell r="F652">
            <v>926.70999999998651</v>
          </cell>
          <cell r="G652">
            <v>1297.3900000000001</v>
          </cell>
        </row>
        <row r="653">
          <cell r="B653">
            <v>649</v>
          </cell>
          <cell r="C653">
            <v>1505.5999999999976</v>
          </cell>
          <cell r="D653">
            <v>2107.84</v>
          </cell>
          <cell r="F653">
            <v>928.13999999998646</v>
          </cell>
          <cell r="G653">
            <v>1299.4000000000001</v>
          </cell>
        </row>
        <row r="654">
          <cell r="B654">
            <v>650</v>
          </cell>
          <cell r="C654">
            <v>1507.9199999999976</v>
          </cell>
          <cell r="D654">
            <v>2111.09</v>
          </cell>
          <cell r="F654">
            <v>929.56999999998641</v>
          </cell>
          <cell r="G654">
            <v>1301.4000000000001</v>
          </cell>
        </row>
        <row r="655">
          <cell r="B655">
            <v>651</v>
          </cell>
          <cell r="C655">
            <v>1510.2399999999975</v>
          </cell>
          <cell r="D655">
            <v>2114.34</v>
          </cell>
          <cell r="F655">
            <v>930.99999999998636</v>
          </cell>
          <cell r="G655">
            <v>1303.4000000000001</v>
          </cell>
        </row>
        <row r="656">
          <cell r="B656">
            <v>652</v>
          </cell>
          <cell r="C656">
            <v>1512.5599999999974</v>
          </cell>
          <cell r="D656">
            <v>2117.58</v>
          </cell>
          <cell r="F656">
            <v>932.42999999998631</v>
          </cell>
          <cell r="G656">
            <v>1305.4000000000001</v>
          </cell>
        </row>
        <row r="657">
          <cell r="B657">
            <v>653</v>
          </cell>
          <cell r="C657">
            <v>1514.8799999999974</v>
          </cell>
          <cell r="D657">
            <v>2120.83</v>
          </cell>
          <cell r="F657">
            <v>933.85999999998626</v>
          </cell>
          <cell r="G657">
            <v>1307.4000000000001</v>
          </cell>
        </row>
        <row r="658">
          <cell r="B658">
            <v>654</v>
          </cell>
          <cell r="C658">
            <v>1517.1999999999973</v>
          </cell>
          <cell r="D658">
            <v>2124.08</v>
          </cell>
          <cell r="F658">
            <v>935.28999999998621</v>
          </cell>
          <cell r="G658">
            <v>1309.4100000000001</v>
          </cell>
        </row>
        <row r="659">
          <cell r="B659">
            <v>655</v>
          </cell>
          <cell r="C659">
            <v>1519.5199999999973</v>
          </cell>
          <cell r="D659">
            <v>2127.33</v>
          </cell>
          <cell r="F659">
            <v>936.71999999998616</v>
          </cell>
          <cell r="G659">
            <v>1311.41</v>
          </cell>
        </row>
        <row r="660">
          <cell r="B660">
            <v>656</v>
          </cell>
          <cell r="C660">
            <v>1521.8399999999972</v>
          </cell>
          <cell r="D660">
            <v>2130.58</v>
          </cell>
          <cell r="F660">
            <v>938.14999999998611</v>
          </cell>
          <cell r="G660">
            <v>1313.41</v>
          </cell>
        </row>
        <row r="661">
          <cell r="B661">
            <v>657</v>
          </cell>
          <cell r="C661">
            <v>1524.1599999999971</v>
          </cell>
          <cell r="D661">
            <v>2133.8200000000002</v>
          </cell>
          <cell r="F661">
            <v>939.57999999998606</v>
          </cell>
          <cell r="G661">
            <v>1315.41</v>
          </cell>
        </row>
        <row r="662">
          <cell r="B662">
            <v>658</v>
          </cell>
          <cell r="C662">
            <v>1526.4799999999971</v>
          </cell>
          <cell r="D662">
            <v>2137.0700000000002</v>
          </cell>
          <cell r="F662">
            <v>941.00999999998601</v>
          </cell>
          <cell r="G662">
            <v>1317.41</v>
          </cell>
        </row>
        <row r="663">
          <cell r="B663">
            <v>659</v>
          </cell>
          <cell r="C663">
            <v>1528.799999999997</v>
          </cell>
          <cell r="D663">
            <v>2140.3200000000002</v>
          </cell>
          <cell r="F663">
            <v>942.43999999998596</v>
          </cell>
          <cell r="G663">
            <v>1319.42</v>
          </cell>
        </row>
        <row r="664">
          <cell r="B664">
            <v>660</v>
          </cell>
          <cell r="C664">
            <v>1531.1199999999969</v>
          </cell>
          <cell r="D664">
            <v>2143.5700000000002</v>
          </cell>
          <cell r="F664">
            <v>943.86999999998591</v>
          </cell>
          <cell r="G664">
            <v>1321.42</v>
          </cell>
        </row>
        <row r="665">
          <cell r="B665">
            <v>661</v>
          </cell>
          <cell r="C665">
            <v>1533.4399999999969</v>
          </cell>
          <cell r="D665">
            <v>2146.8200000000002</v>
          </cell>
          <cell r="F665">
            <v>945.29999999998586</v>
          </cell>
          <cell r="G665">
            <v>1323.42</v>
          </cell>
        </row>
        <row r="666">
          <cell r="B666">
            <v>662</v>
          </cell>
          <cell r="C666">
            <v>1535.7599999999968</v>
          </cell>
          <cell r="D666">
            <v>2150.06</v>
          </cell>
          <cell r="F666">
            <v>946.72999999998581</v>
          </cell>
          <cell r="G666">
            <v>1325.42</v>
          </cell>
        </row>
        <row r="667">
          <cell r="B667">
            <v>663</v>
          </cell>
          <cell r="C667">
            <v>1538.0799999999967</v>
          </cell>
          <cell r="D667">
            <v>2153.31</v>
          </cell>
          <cell r="F667">
            <v>948.15999999998576</v>
          </cell>
          <cell r="G667">
            <v>1327.42</v>
          </cell>
        </row>
        <row r="668">
          <cell r="B668">
            <v>664</v>
          </cell>
          <cell r="C668">
            <v>1540.3999999999967</v>
          </cell>
          <cell r="D668">
            <v>2156.56</v>
          </cell>
          <cell r="F668">
            <v>949.58999999998571</v>
          </cell>
          <cell r="G668">
            <v>1329.43</v>
          </cell>
        </row>
        <row r="669">
          <cell r="B669">
            <v>665</v>
          </cell>
          <cell r="C669">
            <v>1542.7199999999966</v>
          </cell>
          <cell r="D669">
            <v>2159.81</v>
          </cell>
          <cell r="F669">
            <v>951.01999999998566</v>
          </cell>
          <cell r="G669">
            <v>1331.43</v>
          </cell>
        </row>
        <row r="670">
          <cell r="B670">
            <v>666</v>
          </cell>
          <cell r="C670">
            <v>1545.0399999999966</v>
          </cell>
          <cell r="D670">
            <v>2163.06</v>
          </cell>
          <cell r="F670">
            <v>952.44999999998561</v>
          </cell>
          <cell r="G670">
            <v>1333.43</v>
          </cell>
        </row>
        <row r="671">
          <cell r="B671">
            <v>667</v>
          </cell>
          <cell r="C671">
            <v>1547.3599999999965</v>
          </cell>
          <cell r="D671">
            <v>2166.3000000000002</v>
          </cell>
          <cell r="F671">
            <v>953.87999999998556</v>
          </cell>
          <cell r="G671">
            <v>1335.43</v>
          </cell>
        </row>
        <row r="672">
          <cell r="B672">
            <v>668</v>
          </cell>
          <cell r="C672">
            <v>1549.6799999999964</v>
          </cell>
          <cell r="D672">
            <v>2169.5500000000002</v>
          </cell>
          <cell r="F672">
            <v>955.30999999998551</v>
          </cell>
          <cell r="G672">
            <v>1337.43</v>
          </cell>
        </row>
        <row r="673">
          <cell r="B673">
            <v>669</v>
          </cell>
          <cell r="C673">
            <v>1551.9999999999964</v>
          </cell>
          <cell r="D673">
            <v>2172.8000000000002</v>
          </cell>
          <cell r="F673">
            <v>956.73999999998546</v>
          </cell>
          <cell r="G673">
            <v>1339.44</v>
          </cell>
        </row>
        <row r="674">
          <cell r="B674">
            <v>670</v>
          </cell>
          <cell r="C674">
            <v>1554.3199999999963</v>
          </cell>
          <cell r="D674">
            <v>2176.0500000000002</v>
          </cell>
          <cell r="F674">
            <v>958.16999999998541</v>
          </cell>
          <cell r="G674">
            <v>1341.44</v>
          </cell>
        </row>
        <row r="675">
          <cell r="B675">
            <v>671</v>
          </cell>
          <cell r="C675">
            <v>1556.6399999999962</v>
          </cell>
          <cell r="D675">
            <v>2179.3000000000002</v>
          </cell>
          <cell r="F675">
            <v>959.59999999998536</v>
          </cell>
          <cell r="G675">
            <v>1343.44</v>
          </cell>
        </row>
        <row r="676">
          <cell r="B676">
            <v>672</v>
          </cell>
          <cell r="C676">
            <v>1558.9599999999962</v>
          </cell>
          <cell r="D676">
            <v>2182.54</v>
          </cell>
          <cell r="F676">
            <v>961.02999999998531</v>
          </cell>
          <cell r="G676">
            <v>1345.44</v>
          </cell>
        </row>
        <row r="677">
          <cell r="B677">
            <v>673</v>
          </cell>
          <cell r="C677">
            <v>1561.2799999999961</v>
          </cell>
          <cell r="D677">
            <v>2185.79</v>
          </cell>
          <cell r="F677">
            <v>962.45999999998526</v>
          </cell>
          <cell r="G677">
            <v>1347.44</v>
          </cell>
        </row>
        <row r="678">
          <cell r="B678">
            <v>674</v>
          </cell>
          <cell r="C678">
            <v>1563.599999999996</v>
          </cell>
          <cell r="D678">
            <v>2189.04</v>
          </cell>
          <cell r="F678">
            <v>963.88999999998521</v>
          </cell>
          <cell r="G678">
            <v>1349.45</v>
          </cell>
        </row>
        <row r="679">
          <cell r="B679">
            <v>675</v>
          </cell>
          <cell r="C679">
            <v>1565.919999999996</v>
          </cell>
          <cell r="D679">
            <v>2192.29</v>
          </cell>
          <cell r="F679">
            <v>965.31999999998516</v>
          </cell>
          <cell r="G679">
            <v>1351.45</v>
          </cell>
        </row>
        <row r="680">
          <cell r="B680">
            <v>676</v>
          </cell>
          <cell r="C680">
            <v>1568.2399999999959</v>
          </cell>
          <cell r="D680">
            <v>2195.54</v>
          </cell>
          <cell r="F680">
            <v>966.74999999998511</v>
          </cell>
          <cell r="G680">
            <v>1353.45</v>
          </cell>
        </row>
        <row r="681">
          <cell r="B681">
            <v>677</v>
          </cell>
          <cell r="C681">
            <v>1570.5599999999959</v>
          </cell>
          <cell r="D681">
            <v>2198.7800000000002</v>
          </cell>
          <cell r="F681">
            <v>968.17999999998506</v>
          </cell>
          <cell r="G681">
            <v>1355.45</v>
          </cell>
        </row>
        <row r="682">
          <cell r="B682">
            <v>678</v>
          </cell>
          <cell r="C682">
            <v>1572.8799999999958</v>
          </cell>
          <cell r="D682">
            <v>2202.0300000000002</v>
          </cell>
          <cell r="F682">
            <v>969.60999999998501</v>
          </cell>
          <cell r="G682">
            <v>1357.45</v>
          </cell>
        </row>
        <row r="683">
          <cell r="B683">
            <v>679</v>
          </cell>
          <cell r="C683">
            <v>1575.1999999999957</v>
          </cell>
          <cell r="D683">
            <v>2205.2800000000002</v>
          </cell>
          <cell r="F683">
            <v>971.03999999998496</v>
          </cell>
          <cell r="G683">
            <v>1359.46</v>
          </cell>
        </row>
        <row r="684">
          <cell r="B684">
            <v>680</v>
          </cell>
          <cell r="C684">
            <v>1577.5199999999957</v>
          </cell>
          <cell r="D684">
            <v>2208.5300000000002</v>
          </cell>
          <cell r="F684">
            <v>972.46999999998491</v>
          </cell>
          <cell r="G684">
            <v>1361.46</v>
          </cell>
        </row>
        <row r="685">
          <cell r="B685">
            <v>681</v>
          </cell>
          <cell r="C685">
            <v>1579.8399999999956</v>
          </cell>
          <cell r="D685">
            <v>2211.7800000000002</v>
          </cell>
          <cell r="F685">
            <v>973.89999999998486</v>
          </cell>
          <cell r="G685">
            <v>1363.46</v>
          </cell>
        </row>
        <row r="686">
          <cell r="B686">
            <v>682</v>
          </cell>
          <cell r="C686">
            <v>1582.1599999999955</v>
          </cell>
          <cell r="D686">
            <v>2215.02</v>
          </cell>
          <cell r="F686">
            <v>975.32999999998481</v>
          </cell>
          <cell r="G686">
            <v>1365.46</v>
          </cell>
        </row>
        <row r="687">
          <cell r="B687">
            <v>683</v>
          </cell>
          <cell r="C687">
            <v>1584.4799999999955</v>
          </cell>
          <cell r="D687">
            <v>2218.27</v>
          </cell>
          <cell r="F687">
            <v>976.75999999998476</v>
          </cell>
          <cell r="G687">
            <v>1367.46</v>
          </cell>
        </row>
        <row r="688">
          <cell r="B688">
            <v>684</v>
          </cell>
          <cell r="C688">
            <v>1586.7999999999954</v>
          </cell>
          <cell r="D688">
            <v>2221.52</v>
          </cell>
          <cell r="F688">
            <v>978.18999999998471</v>
          </cell>
          <cell r="G688">
            <v>1369.47</v>
          </cell>
        </row>
        <row r="689">
          <cell r="B689">
            <v>685</v>
          </cell>
          <cell r="C689">
            <v>1589.1199999999953</v>
          </cell>
          <cell r="D689">
            <v>2224.77</v>
          </cell>
          <cell r="F689">
            <v>979.61999999998466</v>
          </cell>
          <cell r="G689">
            <v>1371.47</v>
          </cell>
        </row>
        <row r="690">
          <cell r="B690">
            <v>686</v>
          </cell>
          <cell r="C690">
            <v>1591.4399999999953</v>
          </cell>
          <cell r="D690">
            <v>2228.02</v>
          </cell>
          <cell r="F690">
            <v>981.04999999998461</v>
          </cell>
          <cell r="G690">
            <v>1373.47</v>
          </cell>
        </row>
        <row r="691">
          <cell r="B691">
            <v>687</v>
          </cell>
          <cell r="C691">
            <v>1593.7599999999952</v>
          </cell>
          <cell r="D691">
            <v>2231.2600000000002</v>
          </cell>
          <cell r="F691">
            <v>982.47999999998456</v>
          </cell>
          <cell r="G691">
            <v>1375.47</v>
          </cell>
        </row>
        <row r="692">
          <cell r="B692">
            <v>688</v>
          </cell>
          <cell r="C692">
            <v>1596.0799999999952</v>
          </cell>
          <cell r="D692">
            <v>2234.5100000000002</v>
          </cell>
          <cell r="F692">
            <v>983.90999999998451</v>
          </cell>
          <cell r="G692">
            <v>1377.47</v>
          </cell>
        </row>
        <row r="693">
          <cell r="B693">
            <v>689</v>
          </cell>
          <cell r="C693">
            <v>1598.3999999999951</v>
          </cell>
          <cell r="D693">
            <v>2237.7600000000002</v>
          </cell>
          <cell r="F693">
            <v>985.33999999998446</v>
          </cell>
          <cell r="G693">
            <v>1379.48</v>
          </cell>
        </row>
        <row r="694">
          <cell r="B694">
            <v>690</v>
          </cell>
          <cell r="C694">
            <v>1600.719999999995</v>
          </cell>
          <cell r="D694">
            <v>2241.0100000000002</v>
          </cell>
          <cell r="F694">
            <v>986.76999999998441</v>
          </cell>
          <cell r="G694">
            <v>1381.48</v>
          </cell>
        </row>
        <row r="695">
          <cell r="B695">
            <v>691</v>
          </cell>
          <cell r="C695">
            <v>1603.039999999995</v>
          </cell>
          <cell r="D695">
            <v>2244.2600000000002</v>
          </cell>
          <cell r="F695">
            <v>988.19999999998436</v>
          </cell>
          <cell r="G695">
            <v>1383.48</v>
          </cell>
        </row>
        <row r="696">
          <cell r="B696">
            <v>692</v>
          </cell>
          <cell r="C696">
            <v>1605.3599999999949</v>
          </cell>
          <cell r="D696">
            <v>2247.5</v>
          </cell>
          <cell r="F696">
            <v>989.62999999998431</v>
          </cell>
          <cell r="G696">
            <v>1385.48</v>
          </cell>
        </row>
        <row r="697">
          <cell r="B697">
            <v>693</v>
          </cell>
          <cell r="C697">
            <v>1607.6799999999948</v>
          </cell>
          <cell r="D697">
            <v>2250.75</v>
          </cell>
          <cell r="F697">
            <v>991.05999999998426</v>
          </cell>
          <cell r="G697">
            <v>1387.48</v>
          </cell>
        </row>
        <row r="698">
          <cell r="B698">
            <v>694</v>
          </cell>
          <cell r="C698">
            <v>1609.9999999999948</v>
          </cell>
          <cell r="D698">
            <v>2254</v>
          </cell>
          <cell r="F698">
            <v>992.48999999998421</v>
          </cell>
          <cell r="G698">
            <v>1389.49</v>
          </cell>
        </row>
        <row r="699">
          <cell r="B699">
            <v>695</v>
          </cell>
          <cell r="C699">
            <v>1612.3199999999947</v>
          </cell>
          <cell r="D699">
            <v>2257.25</v>
          </cell>
          <cell r="F699">
            <v>993.91999999998416</v>
          </cell>
          <cell r="G699">
            <v>1391.49</v>
          </cell>
        </row>
        <row r="700">
          <cell r="B700">
            <v>696</v>
          </cell>
          <cell r="C700">
            <v>1614.6399999999946</v>
          </cell>
          <cell r="D700">
            <v>2260.5</v>
          </cell>
          <cell r="F700">
            <v>995.34999999998411</v>
          </cell>
          <cell r="G700">
            <v>1393.49</v>
          </cell>
        </row>
        <row r="701">
          <cell r="B701">
            <v>697</v>
          </cell>
          <cell r="C701">
            <v>1616.9599999999946</v>
          </cell>
          <cell r="D701">
            <v>2263.7399999999998</v>
          </cell>
          <cell r="F701">
            <v>996.77999999998406</v>
          </cell>
          <cell r="G701">
            <v>1395.49</v>
          </cell>
        </row>
        <row r="702">
          <cell r="B702">
            <v>698</v>
          </cell>
          <cell r="C702">
            <v>1619.2799999999945</v>
          </cell>
          <cell r="D702">
            <v>2266.9899999999998</v>
          </cell>
          <cell r="F702">
            <v>998.20999999998401</v>
          </cell>
          <cell r="G702">
            <v>1397.49</v>
          </cell>
        </row>
        <row r="703">
          <cell r="B703">
            <v>699</v>
          </cell>
          <cell r="C703">
            <v>1621.5999999999945</v>
          </cell>
          <cell r="D703">
            <v>2270.2399999999998</v>
          </cell>
          <cell r="F703">
            <v>999.63999999998396</v>
          </cell>
          <cell r="G703">
            <v>1399.5</v>
          </cell>
        </row>
        <row r="704">
          <cell r="B704">
            <v>700</v>
          </cell>
          <cell r="C704">
            <v>1623.9199999999944</v>
          </cell>
          <cell r="D704">
            <v>2273.4899999999998</v>
          </cell>
          <cell r="F704">
            <v>1001.0699999999839</v>
          </cell>
          <cell r="G704">
            <v>1401.5</v>
          </cell>
        </row>
        <row r="705">
          <cell r="B705">
            <v>701</v>
          </cell>
          <cell r="C705">
            <v>1626.2399999999943</v>
          </cell>
          <cell r="D705">
            <v>2276.7399999999998</v>
          </cell>
          <cell r="F705">
            <v>1002.4999999999839</v>
          </cell>
          <cell r="G705">
            <v>1403.5</v>
          </cell>
        </row>
        <row r="706">
          <cell r="B706">
            <v>702</v>
          </cell>
          <cell r="C706">
            <v>1628.5599999999943</v>
          </cell>
          <cell r="D706">
            <v>2279.98</v>
          </cell>
          <cell r="F706">
            <v>1003.9299999999838</v>
          </cell>
          <cell r="G706">
            <v>1405.5</v>
          </cell>
        </row>
        <row r="707">
          <cell r="B707">
            <v>703</v>
          </cell>
          <cell r="C707">
            <v>1630.8799999999942</v>
          </cell>
          <cell r="D707">
            <v>2283.23</v>
          </cell>
          <cell r="F707">
            <v>1005.3599999999838</v>
          </cell>
          <cell r="G707">
            <v>1407.5</v>
          </cell>
        </row>
        <row r="708">
          <cell r="B708">
            <v>704</v>
          </cell>
          <cell r="C708">
            <v>1633.1999999999941</v>
          </cell>
          <cell r="D708">
            <v>2286.48</v>
          </cell>
          <cell r="F708">
            <v>1006.7899999999837</v>
          </cell>
          <cell r="G708">
            <v>1409.51</v>
          </cell>
        </row>
        <row r="709">
          <cell r="B709">
            <v>705</v>
          </cell>
          <cell r="C709">
            <v>1635.5199999999941</v>
          </cell>
          <cell r="D709">
            <v>2289.73</v>
          </cell>
          <cell r="F709">
            <v>1008.2199999999837</v>
          </cell>
          <cell r="G709">
            <v>1411.51</v>
          </cell>
        </row>
        <row r="710">
          <cell r="B710">
            <v>706</v>
          </cell>
          <cell r="C710">
            <v>1637.839999999994</v>
          </cell>
          <cell r="D710">
            <v>2292.98</v>
          </cell>
          <cell r="F710">
            <v>1009.6499999999836</v>
          </cell>
          <cell r="G710">
            <v>1413.51</v>
          </cell>
        </row>
        <row r="711">
          <cell r="B711">
            <v>707</v>
          </cell>
          <cell r="C711">
            <v>1640.1599999999939</v>
          </cell>
          <cell r="D711">
            <v>2296.2199999999998</v>
          </cell>
          <cell r="F711">
            <v>1011.0799999999836</v>
          </cell>
          <cell r="G711">
            <v>1415.51</v>
          </cell>
        </row>
        <row r="712">
          <cell r="B712">
            <v>708</v>
          </cell>
          <cell r="C712">
            <v>1642.4799999999939</v>
          </cell>
          <cell r="D712">
            <v>2299.4699999999998</v>
          </cell>
          <cell r="F712">
            <v>1012.5099999999835</v>
          </cell>
          <cell r="G712">
            <v>1417.51</v>
          </cell>
        </row>
        <row r="713">
          <cell r="B713">
            <v>709</v>
          </cell>
          <cell r="C713">
            <v>1644.7999999999938</v>
          </cell>
          <cell r="D713">
            <v>2302.7199999999998</v>
          </cell>
          <cell r="F713">
            <v>1013.9399999999835</v>
          </cell>
          <cell r="G713">
            <v>1419.52</v>
          </cell>
        </row>
        <row r="714">
          <cell r="B714">
            <v>710</v>
          </cell>
          <cell r="C714">
            <v>1647.1199999999938</v>
          </cell>
          <cell r="D714">
            <v>2305.9699999999998</v>
          </cell>
          <cell r="F714">
            <v>1015.3699999999834</v>
          </cell>
          <cell r="G714">
            <v>1421.52</v>
          </cell>
        </row>
        <row r="715">
          <cell r="B715">
            <v>711</v>
          </cell>
          <cell r="C715">
            <v>1649.4399999999937</v>
          </cell>
          <cell r="D715">
            <v>2309.2199999999998</v>
          </cell>
          <cell r="F715">
            <v>1016.7999999999834</v>
          </cell>
          <cell r="G715">
            <v>1423.52</v>
          </cell>
        </row>
        <row r="716">
          <cell r="B716">
            <v>712</v>
          </cell>
          <cell r="C716">
            <v>1651.7599999999936</v>
          </cell>
          <cell r="D716">
            <v>2312.46</v>
          </cell>
          <cell r="F716">
            <v>1018.2299999999833</v>
          </cell>
          <cell r="G716">
            <v>1425.52</v>
          </cell>
        </row>
        <row r="717">
          <cell r="B717">
            <v>713</v>
          </cell>
          <cell r="C717">
            <v>1654.0799999999936</v>
          </cell>
          <cell r="D717">
            <v>2315.71</v>
          </cell>
          <cell r="F717">
            <v>1019.6599999999833</v>
          </cell>
          <cell r="G717">
            <v>1427.52</v>
          </cell>
        </row>
        <row r="718">
          <cell r="B718">
            <v>714</v>
          </cell>
          <cell r="C718">
            <v>1656.3999999999935</v>
          </cell>
          <cell r="D718">
            <v>2318.96</v>
          </cell>
          <cell r="F718">
            <v>1021.0899999999832</v>
          </cell>
          <cell r="G718">
            <v>1429.53</v>
          </cell>
        </row>
        <row r="719">
          <cell r="B719">
            <v>715</v>
          </cell>
          <cell r="C719">
            <v>1658.7199999999934</v>
          </cell>
          <cell r="D719">
            <v>2322.21</v>
          </cell>
          <cell r="F719">
            <v>1022.5199999999832</v>
          </cell>
          <cell r="G719">
            <v>1431.53</v>
          </cell>
        </row>
        <row r="720">
          <cell r="B720">
            <v>716</v>
          </cell>
          <cell r="C720">
            <v>1661.0399999999934</v>
          </cell>
          <cell r="D720">
            <v>2325.46</v>
          </cell>
          <cell r="F720">
            <v>1023.9499999999831</v>
          </cell>
          <cell r="G720">
            <v>1433.53</v>
          </cell>
        </row>
        <row r="721">
          <cell r="B721">
            <v>717</v>
          </cell>
          <cell r="C721">
            <v>1663.3599999999933</v>
          </cell>
          <cell r="D721">
            <v>2328.6999999999998</v>
          </cell>
          <cell r="F721">
            <v>1025.3799999999831</v>
          </cell>
          <cell r="G721">
            <v>1435.53</v>
          </cell>
        </row>
        <row r="722">
          <cell r="B722">
            <v>718</v>
          </cell>
          <cell r="C722">
            <v>1665.6799999999932</v>
          </cell>
          <cell r="D722">
            <v>2331.9499999999998</v>
          </cell>
          <cell r="F722">
            <v>1026.8099999999831</v>
          </cell>
          <cell r="G722">
            <v>1437.53</v>
          </cell>
        </row>
        <row r="723">
          <cell r="B723">
            <v>719</v>
          </cell>
          <cell r="C723">
            <v>1667.9999999999932</v>
          </cell>
          <cell r="D723">
            <v>2335.1999999999998</v>
          </cell>
          <cell r="F723">
            <v>1028.2399999999832</v>
          </cell>
          <cell r="G723">
            <v>1439.54</v>
          </cell>
        </row>
        <row r="724">
          <cell r="B724">
            <v>720</v>
          </cell>
          <cell r="C724">
            <v>1670.3199999999931</v>
          </cell>
          <cell r="D724">
            <v>2338.4499999999998</v>
          </cell>
          <cell r="F724">
            <v>1029.6699999999832</v>
          </cell>
          <cell r="G724">
            <v>1441.54</v>
          </cell>
        </row>
        <row r="725">
          <cell r="B725">
            <v>721</v>
          </cell>
          <cell r="C725">
            <v>1672.6399999999931</v>
          </cell>
          <cell r="D725">
            <v>2341.6999999999998</v>
          </cell>
          <cell r="F725">
            <v>1031.0999999999833</v>
          </cell>
          <cell r="G725">
            <v>1443.54</v>
          </cell>
        </row>
        <row r="726">
          <cell r="B726">
            <v>722</v>
          </cell>
          <cell r="C726">
            <v>1674.959999999993</v>
          </cell>
          <cell r="D726">
            <v>2344.94</v>
          </cell>
          <cell r="F726">
            <v>1032.5299999999834</v>
          </cell>
          <cell r="G726">
            <v>1445.54</v>
          </cell>
        </row>
        <row r="727">
          <cell r="B727">
            <v>723</v>
          </cell>
          <cell r="C727">
            <v>1677.2799999999929</v>
          </cell>
          <cell r="D727">
            <v>2348.19</v>
          </cell>
          <cell r="F727">
            <v>1033.9599999999834</v>
          </cell>
          <cell r="G727">
            <v>1447.54</v>
          </cell>
        </row>
        <row r="728">
          <cell r="B728">
            <v>724</v>
          </cell>
          <cell r="C728">
            <v>1679.5999999999929</v>
          </cell>
          <cell r="D728">
            <v>2351.44</v>
          </cell>
          <cell r="F728">
            <v>1035.3899999999835</v>
          </cell>
          <cell r="G728">
            <v>1449.55</v>
          </cell>
        </row>
        <row r="729">
          <cell r="B729">
            <v>725</v>
          </cell>
          <cell r="C729">
            <v>1681.9199999999928</v>
          </cell>
          <cell r="D729">
            <v>2354.69</v>
          </cell>
          <cell r="F729">
            <v>1036.8199999999836</v>
          </cell>
          <cell r="G729">
            <v>1451.55</v>
          </cell>
        </row>
        <row r="730">
          <cell r="B730">
            <v>726</v>
          </cell>
          <cell r="C730">
            <v>1684.2399999999927</v>
          </cell>
          <cell r="D730">
            <v>2357.94</v>
          </cell>
          <cell r="F730">
            <v>1038.2499999999836</v>
          </cell>
          <cell r="G730">
            <v>1453.55</v>
          </cell>
        </row>
        <row r="731">
          <cell r="B731">
            <v>727</v>
          </cell>
          <cell r="C731">
            <v>1686.5599999999927</v>
          </cell>
          <cell r="D731">
            <v>2361.1799999999998</v>
          </cell>
          <cell r="F731">
            <v>1039.6799999999837</v>
          </cell>
          <cell r="G731">
            <v>1455.55</v>
          </cell>
        </row>
        <row r="732">
          <cell r="B732">
            <v>728</v>
          </cell>
          <cell r="C732">
            <v>1688.8799999999926</v>
          </cell>
          <cell r="D732">
            <v>2364.4299999999998</v>
          </cell>
          <cell r="F732">
            <v>1041.1099999999838</v>
          </cell>
          <cell r="G732">
            <v>1457.55</v>
          </cell>
        </row>
        <row r="733">
          <cell r="B733">
            <v>729</v>
          </cell>
          <cell r="C733">
            <v>1691.1999999999925</v>
          </cell>
          <cell r="D733">
            <v>2367.6799999999998</v>
          </cell>
          <cell r="F733">
            <v>1042.5399999999838</v>
          </cell>
          <cell r="G733">
            <v>1459.56</v>
          </cell>
        </row>
        <row r="734">
          <cell r="B734">
            <v>730</v>
          </cell>
          <cell r="C734">
            <v>1693.5199999999925</v>
          </cell>
          <cell r="D734">
            <v>2370.9299999999998</v>
          </cell>
          <cell r="F734">
            <v>1043.9699999999839</v>
          </cell>
          <cell r="G734">
            <v>1461.56</v>
          </cell>
        </row>
        <row r="735">
          <cell r="B735">
            <v>731</v>
          </cell>
          <cell r="C735">
            <v>1695.8399999999924</v>
          </cell>
          <cell r="D735">
            <v>2374.1799999999998</v>
          </cell>
          <cell r="F735">
            <v>1045.3999999999839</v>
          </cell>
          <cell r="G735">
            <v>1463.56</v>
          </cell>
        </row>
        <row r="736">
          <cell r="B736">
            <v>732</v>
          </cell>
          <cell r="C736">
            <v>1698.1599999999924</v>
          </cell>
          <cell r="D736">
            <v>2377.42</v>
          </cell>
          <cell r="F736">
            <v>1046.829999999984</v>
          </cell>
          <cell r="G736">
            <v>1465.56</v>
          </cell>
        </row>
        <row r="737">
          <cell r="B737">
            <v>733</v>
          </cell>
          <cell r="C737">
            <v>1700.4799999999923</v>
          </cell>
          <cell r="D737">
            <v>2380.67</v>
          </cell>
          <cell r="F737">
            <v>1048.2599999999841</v>
          </cell>
          <cell r="G737">
            <v>1467.56</v>
          </cell>
        </row>
        <row r="738">
          <cell r="B738">
            <v>734</v>
          </cell>
          <cell r="C738">
            <v>1702.7999999999922</v>
          </cell>
          <cell r="D738">
            <v>2383.92</v>
          </cell>
          <cell r="F738">
            <v>1049.6899999999841</v>
          </cell>
          <cell r="G738">
            <v>1469.57</v>
          </cell>
        </row>
        <row r="739">
          <cell r="B739">
            <v>735</v>
          </cell>
          <cell r="C739">
            <v>1705.1199999999922</v>
          </cell>
          <cell r="D739">
            <v>2387.17</v>
          </cell>
          <cell r="F739">
            <v>1051.1199999999842</v>
          </cell>
          <cell r="G739">
            <v>1471.57</v>
          </cell>
        </row>
        <row r="740">
          <cell r="B740">
            <v>736</v>
          </cell>
          <cell r="C740">
            <v>1707.4399999999921</v>
          </cell>
          <cell r="D740">
            <v>2390.42</v>
          </cell>
          <cell r="F740">
            <v>1052.5499999999843</v>
          </cell>
          <cell r="G740">
            <v>1473.57</v>
          </cell>
        </row>
        <row r="741">
          <cell r="B741">
            <v>737</v>
          </cell>
          <cell r="C741">
            <v>1709.759999999992</v>
          </cell>
          <cell r="D741">
            <v>2393.66</v>
          </cell>
          <cell r="F741">
            <v>1053.9799999999843</v>
          </cell>
          <cell r="G741">
            <v>1475.57</v>
          </cell>
        </row>
        <row r="742">
          <cell r="B742">
            <v>738</v>
          </cell>
          <cell r="C742">
            <v>1712.079999999992</v>
          </cell>
          <cell r="D742">
            <v>2396.91</v>
          </cell>
          <cell r="F742">
            <v>1055.4099999999844</v>
          </cell>
          <cell r="G742">
            <v>1477.57</v>
          </cell>
        </row>
        <row r="743">
          <cell r="B743">
            <v>739</v>
          </cell>
          <cell r="C743">
            <v>1714.3999999999919</v>
          </cell>
          <cell r="D743">
            <v>2400.16</v>
          </cell>
          <cell r="F743">
            <v>1056.8399999999845</v>
          </cell>
          <cell r="G743">
            <v>1479.58</v>
          </cell>
        </row>
        <row r="744">
          <cell r="B744">
            <v>740</v>
          </cell>
          <cell r="C744">
            <v>1716.7199999999918</v>
          </cell>
          <cell r="D744">
            <v>2403.41</v>
          </cell>
          <cell r="F744">
            <v>1058.2699999999845</v>
          </cell>
          <cell r="G744">
            <v>1481.58</v>
          </cell>
        </row>
        <row r="745">
          <cell r="B745">
            <v>741</v>
          </cell>
          <cell r="C745">
            <v>1719.0399999999918</v>
          </cell>
          <cell r="D745">
            <v>2406.66</v>
          </cell>
          <cell r="F745">
            <v>1059.6999999999846</v>
          </cell>
          <cell r="G745">
            <v>1483.58</v>
          </cell>
        </row>
        <row r="746">
          <cell r="B746">
            <v>742</v>
          </cell>
          <cell r="C746">
            <v>1721.3599999999917</v>
          </cell>
          <cell r="D746">
            <v>2409.9</v>
          </cell>
          <cell r="F746">
            <v>1061.1299999999846</v>
          </cell>
          <cell r="G746">
            <v>1485.58</v>
          </cell>
        </row>
        <row r="747">
          <cell r="B747">
            <v>743</v>
          </cell>
          <cell r="C747">
            <v>1723.6799999999917</v>
          </cell>
          <cell r="D747">
            <v>2413.15</v>
          </cell>
          <cell r="F747">
            <v>1062.5599999999847</v>
          </cell>
          <cell r="G747">
            <v>1487.58</v>
          </cell>
        </row>
        <row r="748">
          <cell r="B748">
            <v>744</v>
          </cell>
          <cell r="C748">
            <v>1725.9999999999916</v>
          </cell>
          <cell r="D748">
            <v>2416.4</v>
          </cell>
          <cell r="F748">
            <v>1063.9899999999848</v>
          </cell>
          <cell r="G748">
            <v>1489.59</v>
          </cell>
        </row>
        <row r="749">
          <cell r="B749">
            <v>745</v>
          </cell>
          <cell r="C749">
            <v>1728.3199999999915</v>
          </cell>
          <cell r="D749">
            <v>2419.65</v>
          </cell>
          <cell r="F749">
            <v>1065.4199999999848</v>
          </cell>
          <cell r="G749">
            <v>1491.59</v>
          </cell>
        </row>
        <row r="750">
          <cell r="B750">
            <v>746</v>
          </cell>
          <cell r="C750">
            <v>1730.6399999999915</v>
          </cell>
          <cell r="D750">
            <v>2422.9</v>
          </cell>
          <cell r="F750">
            <v>1066.8499999999849</v>
          </cell>
          <cell r="G750">
            <v>1493.59</v>
          </cell>
        </row>
        <row r="751">
          <cell r="B751">
            <v>747</v>
          </cell>
          <cell r="C751">
            <v>1732.9599999999914</v>
          </cell>
          <cell r="D751">
            <v>2426.14</v>
          </cell>
          <cell r="F751">
            <v>1068.279999999985</v>
          </cell>
          <cell r="G751">
            <v>1495.59</v>
          </cell>
        </row>
        <row r="752">
          <cell r="B752">
            <v>748</v>
          </cell>
          <cell r="C752">
            <v>1735.2799999999913</v>
          </cell>
          <cell r="D752">
            <v>2429.39</v>
          </cell>
          <cell r="F752">
            <v>1069.709999999985</v>
          </cell>
          <cell r="G752">
            <v>1497.59</v>
          </cell>
        </row>
        <row r="753">
          <cell r="B753">
            <v>749</v>
          </cell>
          <cell r="C753">
            <v>1737.5999999999913</v>
          </cell>
          <cell r="D753">
            <v>2432.64</v>
          </cell>
          <cell r="F753">
            <v>1071.1399999999851</v>
          </cell>
          <cell r="G753">
            <v>1499.6</v>
          </cell>
        </row>
        <row r="754">
          <cell r="B754">
            <v>750</v>
          </cell>
          <cell r="C754">
            <v>1739.9199999999912</v>
          </cell>
          <cell r="D754">
            <v>2435.89</v>
          </cell>
          <cell r="F754">
            <v>1072.5699999999852</v>
          </cell>
          <cell r="G754">
            <v>1501.6</v>
          </cell>
        </row>
        <row r="755">
          <cell r="B755">
            <v>751</v>
          </cell>
          <cell r="C755">
            <v>1742.2399999999911</v>
          </cell>
          <cell r="D755">
            <v>2439.14</v>
          </cell>
          <cell r="F755">
            <v>1073.9999999999852</v>
          </cell>
          <cell r="G755">
            <v>1503.6</v>
          </cell>
        </row>
        <row r="756">
          <cell r="B756">
            <v>752</v>
          </cell>
          <cell r="C756">
            <v>1744.5599999999911</v>
          </cell>
          <cell r="D756">
            <v>2442.38</v>
          </cell>
          <cell r="F756">
            <v>1075.4299999999853</v>
          </cell>
          <cell r="G756">
            <v>1505.6</v>
          </cell>
        </row>
        <row r="757">
          <cell r="B757">
            <v>753</v>
          </cell>
          <cell r="C757">
            <v>1746.879999999991</v>
          </cell>
          <cell r="D757">
            <v>2445.63</v>
          </cell>
          <cell r="F757">
            <v>1076.8599999999853</v>
          </cell>
          <cell r="G757">
            <v>1507.6</v>
          </cell>
        </row>
        <row r="758">
          <cell r="B758">
            <v>754</v>
          </cell>
          <cell r="C758">
            <v>1749.199999999991</v>
          </cell>
          <cell r="D758">
            <v>2448.88</v>
          </cell>
          <cell r="F758">
            <v>1078.2899999999854</v>
          </cell>
          <cell r="G758">
            <v>1509.61</v>
          </cell>
        </row>
        <row r="759">
          <cell r="B759">
            <v>755</v>
          </cell>
          <cell r="C759">
            <v>1751.5199999999909</v>
          </cell>
          <cell r="D759">
            <v>2452.13</v>
          </cell>
          <cell r="F759">
            <v>1079.7199999999855</v>
          </cell>
          <cell r="G759">
            <v>1511.61</v>
          </cell>
        </row>
        <row r="760">
          <cell r="B760">
            <v>756</v>
          </cell>
          <cell r="C760">
            <v>1753.8399999999908</v>
          </cell>
          <cell r="D760">
            <v>2455.38</v>
          </cell>
          <cell r="F760">
            <v>1081.1499999999855</v>
          </cell>
          <cell r="G760">
            <v>1513.61</v>
          </cell>
        </row>
        <row r="761">
          <cell r="B761">
            <v>757</v>
          </cell>
          <cell r="C761">
            <v>1756.1599999999908</v>
          </cell>
          <cell r="D761">
            <v>2458.62</v>
          </cell>
          <cell r="F761">
            <v>1082.5799999999856</v>
          </cell>
          <cell r="G761">
            <v>1515.61</v>
          </cell>
        </row>
        <row r="762">
          <cell r="B762">
            <v>758</v>
          </cell>
          <cell r="C762">
            <v>1758.4799999999907</v>
          </cell>
          <cell r="D762">
            <v>2461.87</v>
          </cell>
          <cell r="F762">
            <v>1084.0099999999857</v>
          </cell>
          <cell r="G762">
            <v>1517.61</v>
          </cell>
        </row>
        <row r="763">
          <cell r="B763">
            <v>759</v>
          </cell>
          <cell r="C763">
            <v>1760.7999999999906</v>
          </cell>
          <cell r="D763">
            <v>2465.12</v>
          </cell>
          <cell r="F763">
            <v>1085.4399999999857</v>
          </cell>
          <cell r="G763">
            <v>1519.62</v>
          </cell>
        </row>
        <row r="764">
          <cell r="B764">
            <v>760</v>
          </cell>
          <cell r="C764">
            <v>1763.1199999999906</v>
          </cell>
          <cell r="D764">
            <v>2468.37</v>
          </cell>
          <cell r="F764">
            <v>1086.8699999999858</v>
          </cell>
          <cell r="G764">
            <v>1521.62</v>
          </cell>
        </row>
        <row r="765">
          <cell r="B765">
            <v>761</v>
          </cell>
          <cell r="C765">
            <v>1765.4399999999905</v>
          </cell>
          <cell r="D765">
            <v>2471.62</v>
          </cell>
          <cell r="F765">
            <v>1088.2999999999859</v>
          </cell>
          <cell r="G765">
            <v>1523.62</v>
          </cell>
        </row>
        <row r="766">
          <cell r="B766">
            <v>762</v>
          </cell>
          <cell r="C766">
            <v>1767.7599999999904</v>
          </cell>
          <cell r="D766">
            <v>2474.86</v>
          </cell>
          <cell r="F766">
            <v>1089.7299999999859</v>
          </cell>
          <cell r="G766">
            <v>1525.62</v>
          </cell>
        </row>
        <row r="767">
          <cell r="B767">
            <v>763</v>
          </cell>
          <cell r="C767">
            <v>1770.0799999999904</v>
          </cell>
          <cell r="D767">
            <v>2478.11</v>
          </cell>
          <cell r="F767">
            <v>1091.159999999986</v>
          </cell>
          <cell r="G767">
            <v>1527.62</v>
          </cell>
        </row>
        <row r="768">
          <cell r="B768">
            <v>764</v>
          </cell>
          <cell r="C768">
            <v>1772.3999999999903</v>
          </cell>
          <cell r="D768">
            <v>2481.36</v>
          </cell>
          <cell r="F768">
            <v>1092.589999999986</v>
          </cell>
          <cell r="G768">
            <v>1529.63</v>
          </cell>
        </row>
        <row r="769">
          <cell r="B769">
            <v>765</v>
          </cell>
          <cell r="C769">
            <v>1774.7199999999903</v>
          </cell>
          <cell r="D769">
            <v>2484.61</v>
          </cell>
          <cell r="F769">
            <v>1094.0199999999861</v>
          </cell>
          <cell r="G769">
            <v>1531.63</v>
          </cell>
        </row>
        <row r="770">
          <cell r="B770">
            <v>766</v>
          </cell>
          <cell r="C770">
            <v>1777.0399999999902</v>
          </cell>
          <cell r="D770">
            <v>2487.86</v>
          </cell>
          <cell r="F770">
            <v>1095.4499999999862</v>
          </cell>
          <cell r="G770">
            <v>1533.63</v>
          </cell>
        </row>
        <row r="771">
          <cell r="B771">
            <v>767</v>
          </cell>
          <cell r="C771">
            <v>1779.3599999999901</v>
          </cell>
          <cell r="D771">
            <v>2491.1</v>
          </cell>
          <cell r="F771">
            <v>1096.8799999999862</v>
          </cell>
          <cell r="G771">
            <v>1535.63</v>
          </cell>
        </row>
        <row r="772">
          <cell r="B772">
            <v>768</v>
          </cell>
          <cell r="C772">
            <v>1781.6799999999901</v>
          </cell>
          <cell r="D772">
            <v>2494.35</v>
          </cell>
          <cell r="F772">
            <v>1098.3099999999863</v>
          </cell>
          <cell r="G772">
            <v>1537.63</v>
          </cell>
        </row>
        <row r="773">
          <cell r="B773">
            <v>769</v>
          </cell>
          <cell r="C773">
            <v>1783.99999999999</v>
          </cell>
          <cell r="D773">
            <v>2497.6</v>
          </cell>
          <cell r="F773">
            <v>1099.7399999999864</v>
          </cell>
          <cell r="G773">
            <v>1539.64</v>
          </cell>
        </row>
        <row r="774">
          <cell r="B774">
            <v>770</v>
          </cell>
          <cell r="C774">
            <v>1786.3199999999899</v>
          </cell>
          <cell r="D774">
            <v>2500.85</v>
          </cell>
          <cell r="F774">
            <v>1101.1699999999864</v>
          </cell>
          <cell r="G774">
            <v>1541.64</v>
          </cell>
        </row>
        <row r="775">
          <cell r="B775">
            <v>771</v>
          </cell>
          <cell r="C775">
            <v>1788.6399999999899</v>
          </cell>
          <cell r="D775">
            <v>2504.1</v>
          </cell>
          <cell r="F775">
            <v>1102.5999999999865</v>
          </cell>
          <cell r="G775">
            <v>1543.64</v>
          </cell>
        </row>
        <row r="776">
          <cell r="B776">
            <v>772</v>
          </cell>
          <cell r="C776">
            <v>1790.9599999999898</v>
          </cell>
          <cell r="D776">
            <v>2507.34</v>
          </cell>
          <cell r="F776">
            <v>1104.0299999999866</v>
          </cell>
          <cell r="G776">
            <v>1545.64</v>
          </cell>
        </row>
        <row r="777">
          <cell r="B777">
            <v>773</v>
          </cell>
          <cell r="C777">
            <v>1793.2799999999897</v>
          </cell>
          <cell r="D777">
            <v>2510.59</v>
          </cell>
          <cell r="F777">
            <v>1105.4599999999866</v>
          </cell>
          <cell r="G777">
            <v>1547.64</v>
          </cell>
        </row>
        <row r="778">
          <cell r="B778">
            <v>774</v>
          </cell>
          <cell r="C778">
            <v>1795.5999999999897</v>
          </cell>
          <cell r="D778">
            <v>2513.84</v>
          </cell>
          <cell r="F778">
            <v>1106.8899999999867</v>
          </cell>
          <cell r="G778">
            <v>1549.65</v>
          </cell>
        </row>
        <row r="779">
          <cell r="B779">
            <v>775</v>
          </cell>
          <cell r="C779">
            <v>1797.9199999999896</v>
          </cell>
          <cell r="D779">
            <v>2517.09</v>
          </cell>
          <cell r="F779">
            <v>1108.3199999999867</v>
          </cell>
          <cell r="G779">
            <v>1551.65</v>
          </cell>
        </row>
        <row r="780">
          <cell r="B780">
            <v>776</v>
          </cell>
          <cell r="C780">
            <v>1800.2399999999895</v>
          </cell>
          <cell r="D780">
            <v>2520.34</v>
          </cell>
          <cell r="F780">
            <v>1109.7499999999868</v>
          </cell>
          <cell r="G780">
            <v>1553.65</v>
          </cell>
        </row>
        <row r="781">
          <cell r="B781">
            <v>777</v>
          </cell>
          <cell r="C781">
            <v>1802.5599999999895</v>
          </cell>
          <cell r="D781">
            <v>2523.58</v>
          </cell>
          <cell r="F781">
            <v>1111.1799999999869</v>
          </cell>
          <cell r="G781">
            <v>1555.65</v>
          </cell>
        </row>
        <row r="782">
          <cell r="B782">
            <v>778</v>
          </cell>
          <cell r="C782">
            <v>1804.8799999999894</v>
          </cell>
          <cell r="D782">
            <v>2526.83</v>
          </cell>
          <cell r="F782">
            <v>1112.6099999999869</v>
          </cell>
          <cell r="G782">
            <v>1557.65</v>
          </cell>
        </row>
        <row r="783">
          <cell r="B783">
            <v>779</v>
          </cell>
          <cell r="C783">
            <v>1807.1999999999894</v>
          </cell>
          <cell r="D783">
            <v>2530.08</v>
          </cell>
          <cell r="F783">
            <v>1114.039999999987</v>
          </cell>
          <cell r="G783">
            <v>1559.66</v>
          </cell>
        </row>
        <row r="784">
          <cell r="B784">
            <v>780</v>
          </cell>
          <cell r="C784">
            <v>1809.5199999999893</v>
          </cell>
          <cell r="D784">
            <v>2533.33</v>
          </cell>
          <cell r="F784">
            <v>1115.4699999999871</v>
          </cell>
          <cell r="G784">
            <v>1561.66</v>
          </cell>
        </row>
        <row r="785">
          <cell r="B785">
            <v>781</v>
          </cell>
          <cell r="C785">
            <v>1811.8399999999892</v>
          </cell>
          <cell r="D785">
            <v>2536.58</v>
          </cell>
          <cell r="F785">
            <v>1116.8999999999871</v>
          </cell>
          <cell r="G785">
            <v>1563.66</v>
          </cell>
        </row>
        <row r="786">
          <cell r="B786">
            <v>782</v>
          </cell>
          <cell r="C786">
            <v>1814.1599999999892</v>
          </cell>
          <cell r="D786">
            <v>2539.8200000000002</v>
          </cell>
          <cell r="F786">
            <v>1118.3299999999872</v>
          </cell>
          <cell r="G786">
            <v>1565.66</v>
          </cell>
        </row>
        <row r="787">
          <cell r="B787">
            <v>783</v>
          </cell>
          <cell r="C787">
            <v>1816.4799999999891</v>
          </cell>
          <cell r="D787">
            <v>2543.0700000000002</v>
          </cell>
          <cell r="F787">
            <v>1119.7599999999873</v>
          </cell>
          <cell r="G787">
            <v>1567.66</v>
          </cell>
        </row>
        <row r="788">
          <cell r="B788">
            <v>784</v>
          </cell>
          <cell r="C788">
            <v>1818.799999999989</v>
          </cell>
          <cell r="D788">
            <v>2546.3200000000002</v>
          </cell>
          <cell r="F788">
            <v>1121.1899999999873</v>
          </cell>
          <cell r="G788">
            <v>1569.67</v>
          </cell>
        </row>
        <row r="789">
          <cell r="B789">
            <v>785</v>
          </cell>
          <cell r="C789">
            <v>1821.119999999989</v>
          </cell>
          <cell r="D789">
            <v>2549.5700000000002</v>
          </cell>
          <cell r="F789">
            <v>1122.6199999999874</v>
          </cell>
          <cell r="G789">
            <v>1571.67</v>
          </cell>
        </row>
        <row r="790">
          <cell r="B790">
            <v>786</v>
          </cell>
          <cell r="C790">
            <v>1823.4399999999889</v>
          </cell>
          <cell r="D790">
            <v>2552.8200000000002</v>
          </cell>
          <cell r="F790">
            <v>1124.0499999999874</v>
          </cell>
          <cell r="G790">
            <v>1573.67</v>
          </cell>
        </row>
        <row r="791">
          <cell r="B791">
            <v>787</v>
          </cell>
          <cell r="C791">
            <v>1825.7599999999888</v>
          </cell>
          <cell r="D791">
            <v>2556.06</v>
          </cell>
          <cell r="F791">
            <v>1125.4799999999875</v>
          </cell>
          <cell r="G791">
            <v>1575.67</v>
          </cell>
        </row>
        <row r="792">
          <cell r="B792">
            <v>788</v>
          </cell>
          <cell r="C792">
            <v>1828.0799999999888</v>
          </cell>
          <cell r="D792">
            <v>2559.31</v>
          </cell>
          <cell r="F792">
            <v>1126.9099999999876</v>
          </cell>
          <cell r="G792">
            <v>1577.67</v>
          </cell>
        </row>
        <row r="793">
          <cell r="B793">
            <v>789</v>
          </cell>
          <cell r="C793">
            <v>1830.3999999999887</v>
          </cell>
          <cell r="D793">
            <v>2562.56</v>
          </cell>
          <cell r="F793">
            <v>1128.3399999999876</v>
          </cell>
          <cell r="G793">
            <v>1579.68</v>
          </cell>
        </row>
        <row r="794">
          <cell r="B794">
            <v>790</v>
          </cell>
          <cell r="C794">
            <v>1832.7199999999887</v>
          </cell>
          <cell r="D794">
            <v>2565.81</v>
          </cell>
          <cell r="F794">
            <v>1129.7699999999877</v>
          </cell>
          <cell r="G794">
            <v>1581.68</v>
          </cell>
        </row>
        <row r="795">
          <cell r="B795">
            <v>791</v>
          </cell>
          <cell r="C795">
            <v>1835.0399999999886</v>
          </cell>
          <cell r="D795">
            <v>2569.06</v>
          </cell>
          <cell r="F795">
            <v>1131.1999999999878</v>
          </cell>
          <cell r="G795">
            <v>1583.68</v>
          </cell>
        </row>
        <row r="796">
          <cell r="B796">
            <v>792</v>
          </cell>
          <cell r="C796">
            <v>1837.3599999999885</v>
          </cell>
          <cell r="D796">
            <v>2572.3000000000002</v>
          </cell>
          <cell r="F796">
            <v>1132.6299999999878</v>
          </cell>
          <cell r="G796">
            <v>1585.68</v>
          </cell>
        </row>
        <row r="797">
          <cell r="B797">
            <v>793</v>
          </cell>
          <cell r="C797">
            <v>1839.6799999999885</v>
          </cell>
          <cell r="D797">
            <v>2575.5500000000002</v>
          </cell>
          <cell r="F797">
            <v>1134.0599999999879</v>
          </cell>
          <cell r="G797">
            <v>1587.68</v>
          </cell>
        </row>
        <row r="798">
          <cell r="B798">
            <v>794</v>
          </cell>
          <cell r="C798">
            <v>1841.9999999999884</v>
          </cell>
          <cell r="D798">
            <v>2578.8000000000002</v>
          </cell>
          <cell r="F798">
            <v>1135.489999999988</v>
          </cell>
          <cell r="G798">
            <v>1589.69</v>
          </cell>
        </row>
        <row r="799">
          <cell r="B799">
            <v>795</v>
          </cell>
          <cell r="C799">
            <v>1844.3199999999883</v>
          </cell>
          <cell r="D799">
            <v>2582.0500000000002</v>
          </cell>
          <cell r="F799">
            <v>1136.919999999988</v>
          </cell>
          <cell r="G799">
            <v>1591.69</v>
          </cell>
        </row>
        <row r="800">
          <cell r="B800">
            <v>796</v>
          </cell>
          <cell r="C800">
            <v>1846.6399999999883</v>
          </cell>
          <cell r="D800">
            <v>2585.3000000000002</v>
          </cell>
          <cell r="F800">
            <v>1138.3499999999881</v>
          </cell>
          <cell r="G800">
            <v>1593.69</v>
          </cell>
        </row>
        <row r="801">
          <cell r="B801">
            <v>797</v>
          </cell>
          <cell r="C801">
            <v>1848.9599999999882</v>
          </cell>
          <cell r="D801">
            <v>2588.54</v>
          </cell>
          <cell r="F801">
            <v>1139.7799999999881</v>
          </cell>
          <cell r="G801">
            <v>1595.69</v>
          </cell>
        </row>
        <row r="802">
          <cell r="B802">
            <v>798</v>
          </cell>
          <cell r="C802">
            <v>1851.2799999999881</v>
          </cell>
          <cell r="D802">
            <v>2591.79</v>
          </cell>
          <cell r="F802">
            <v>1141.2099999999882</v>
          </cell>
          <cell r="G802">
            <v>1597.69</v>
          </cell>
        </row>
        <row r="803">
          <cell r="B803">
            <v>799</v>
          </cell>
          <cell r="C803">
            <v>1853.5999999999881</v>
          </cell>
          <cell r="D803">
            <v>2595.04</v>
          </cell>
          <cell r="F803">
            <v>1142.6399999999883</v>
          </cell>
          <cell r="G803">
            <v>1599.7</v>
          </cell>
        </row>
        <row r="804">
          <cell r="B804">
            <v>800</v>
          </cell>
          <cell r="C804">
            <v>1855.919999999988</v>
          </cell>
          <cell r="D804">
            <v>2598.29</v>
          </cell>
          <cell r="F804">
            <v>1144.0699999999883</v>
          </cell>
          <cell r="G804">
            <v>1601.7</v>
          </cell>
        </row>
        <row r="805">
          <cell r="B805">
            <v>801</v>
          </cell>
          <cell r="C805">
            <v>1858.239999999988</v>
          </cell>
          <cell r="D805">
            <v>2601.54</v>
          </cell>
          <cell r="F805">
            <v>1145.4999999999884</v>
          </cell>
          <cell r="G805">
            <v>1603.7</v>
          </cell>
        </row>
        <row r="806">
          <cell r="B806">
            <v>802</v>
          </cell>
          <cell r="C806">
            <v>1860.5599999999879</v>
          </cell>
          <cell r="D806">
            <v>2604.7800000000002</v>
          </cell>
          <cell r="F806">
            <v>1146.9299999999885</v>
          </cell>
          <cell r="G806">
            <v>1605.7</v>
          </cell>
        </row>
        <row r="807">
          <cell r="B807">
            <v>803</v>
          </cell>
          <cell r="C807">
            <v>1862.8799999999878</v>
          </cell>
          <cell r="D807">
            <v>2608.0300000000002</v>
          </cell>
          <cell r="F807">
            <v>1148.3599999999885</v>
          </cell>
          <cell r="G807">
            <v>1607.7</v>
          </cell>
        </row>
        <row r="808">
          <cell r="B808">
            <v>804</v>
          </cell>
          <cell r="C808">
            <v>1865.1999999999878</v>
          </cell>
          <cell r="D808">
            <v>2611.2800000000002</v>
          </cell>
          <cell r="F808">
            <v>1149.7899999999886</v>
          </cell>
          <cell r="G808">
            <v>1609.71</v>
          </cell>
        </row>
        <row r="809">
          <cell r="B809">
            <v>805</v>
          </cell>
          <cell r="C809">
            <v>1867.5199999999877</v>
          </cell>
          <cell r="D809">
            <v>2614.5300000000002</v>
          </cell>
          <cell r="F809">
            <v>1151.2199999999887</v>
          </cell>
          <cell r="G809">
            <v>1611.71</v>
          </cell>
        </row>
        <row r="810">
          <cell r="B810">
            <v>806</v>
          </cell>
          <cell r="C810">
            <v>1869.8399999999876</v>
          </cell>
          <cell r="D810">
            <v>2617.7800000000002</v>
          </cell>
          <cell r="F810">
            <v>1152.6499999999887</v>
          </cell>
          <cell r="G810">
            <v>1613.71</v>
          </cell>
        </row>
        <row r="811">
          <cell r="B811">
            <v>807</v>
          </cell>
          <cell r="C811">
            <v>1872.1599999999876</v>
          </cell>
          <cell r="D811">
            <v>2621.02</v>
          </cell>
          <cell r="F811">
            <v>1154.0799999999888</v>
          </cell>
          <cell r="G811">
            <v>1615.71</v>
          </cell>
        </row>
        <row r="812">
          <cell r="B812">
            <v>808</v>
          </cell>
          <cell r="C812">
            <v>1874.4799999999875</v>
          </cell>
          <cell r="D812">
            <v>2624.27</v>
          </cell>
          <cell r="F812">
            <v>1155.5099999999888</v>
          </cell>
          <cell r="G812">
            <v>1617.71</v>
          </cell>
        </row>
        <row r="813">
          <cell r="B813">
            <v>809</v>
          </cell>
          <cell r="C813">
            <v>1876.7999999999874</v>
          </cell>
          <cell r="D813">
            <v>2627.52</v>
          </cell>
          <cell r="F813">
            <v>1156.9399999999889</v>
          </cell>
          <cell r="G813">
            <v>1619.72</v>
          </cell>
        </row>
        <row r="814">
          <cell r="B814">
            <v>810</v>
          </cell>
          <cell r="C814">
            <v>1879.1199999999874</v>
          </cell>
          <cell r="D814">
            <v>2630.77</v>
          </cell>
          <cell r="F814">
            <v>1158.369999999989</v>
          </cell>
          <cell r="G814">
            <v>1621.72</v>
          </cell>
        </row>
        <row r="815">
          <cell r="B815">
            <v>811</v>
          </cell>
          <cell r="C815">
            <v>1881.4399999999873</v>
          </cell>
          <cell r="D815">
            <v>2634.02</v>
          </cell>
          <cell r="F815">
            <v>1159.799999999989</v>
          </cell>
          <cell r="G815">
            <v>1623.72</v>
          </cell>
        </row>
        <row r="816">
          <cell r="B816">
            <v>812</v>
          </cell>
          <cell r="C816">
            <v>1883.7599999999873</v>
          </cell>
          <cell r="D816">
            <v>2637.26</v>
          </cell>
          <cell r="F816">
            <v>1161.2299999999891</v>
          </cell>
          <cell r="G816">
            <v>1625.72</v>
          </cell>
        </row>
        <row r="817">
          <cell r="B817">
            <v>813</v>
          </cell>
          <cell r="C817">
            <v>1886.0799999999872</v>
          </cell>
          <cell r="D817">
            <v>2640.51</v>
          </cell>
          <cell r="F817">
            <v>1162.6599999999892</v>
          </cell>
          <cell r="G817">
            <v>1627.72</v>
          </cell>
        </row>
        <row r="818">
          <cell r="B818">
            <v>814</v>
          </cell>
          <cell r="C818">
            <v>1888.3999999999871</v>
          </cell>
          <cell r="D818">
            <v>2643.76</v>
          </cell>
          <cell r="F818">
            <v>1164.0899999999892</v>
          </cell>
          <cell r="G818">
            <v>1629.73</v>
          </cell>
        </row>
        <row r="819">
          <cell r="B819">
            <v>815</v>
          </cell>
          <cell r="C819">
            <v>1890.7199999999871</v>
          </cell>
          <cell r="D819">
            <v>2647.01</v>
          </cell>
          <cell r="F819">
            <v>1165.5199999999893</v>
          </cell>
          <cell r="G819">
            <v>1631.73</v>
          </cell>
        </row>
        <row r="820">
          <cell r="B820">
            <v>816</v>
          </cell>
          <cell r="C820">
            <v>1893.039999999987</v>
          </cell>
          <cell r="D820">
            <v>2650.26</v>
          </cell>
          <cell r="F820">
            <v>1166.9499999999894</v>
          </cell>
          <cell r="G820">
            <v>1633.73</v>
          </cell>
        </row>
        <row r="821">
          <cell r="B821">
            <v>817</v>
          </cell>
          <cell r="C821">
            <v>1895.3599999999869</v>
          </cell>
          <cell r="D821">
            <v>2653.5</v>
          </cell>
          <cell r="F821">
            <v>1168.3799999999894</v>
          </cell>
          <cell r="G821">
            <v>1635.73</v>
          </cell>
        </row>
        <row r="822">
          <cell r="B822">
            <v>818</v>
          </cell>
          <cell r="C822">
            <v>1897.6799999999869</v>
          </cell>
          <cell r="D822">
            <v>2656.75</v>
          </cell>
          <cell r="F822">
            <v>1169.8099999999895</v>
          </cell>
          <cell r="G822">
            <v>1637.73</v>
          </cell>
        </row>
        <row r="823">
          <cell r="B823">
            <v>819</v>
          </cell>
          <cell r="C823">
            <v>1899.9999999999868</v>
          </cell>
          <cell r="D823">
            <v>2660</v>
          </cell>
          <cell r="F823">
            <v>1171.2399999999895</v>
          </cell>
          <cell r="G823">
            <v>1639.74</v>
          </cell>
        </row>
        <row r="824">
          <cell r="B824">
            <v>820</v>
          </cell>
          <cell r="C824">
            <v>1902.3199999999867</v>
          </cell>
          <cell r="D824">
            <v>2663.25</v>
          </cell>
          <cell r="F824">
            <v>1172.6699999999896</v>
          </cell>
          <cell r="G824">
            <v>1641.74</v>
          </cell>
        </row>
        <row r="825">
          <cell r="B825">
            <v>821</v>
          </cell>
          <cell r="C825">
            <v>1904.6399999999867</v>
          </cell>
          <cell r="D825">
            <v>2666.5</v>
          </cell>
          <cell r="F825">
            <v>1174.0999999999897</v>
          </cell>
          <cell r="G825">
            <v>1643.74</v>
          </cell>
        </row>
        <row r="826">
          <cell r="B826">
            <v>822</v>
          </cell>
          <cell r="C826">
            <v>1906.9599999999866</v>
          </cell>
          <cell r="D826">
            <v>2669.74</v>
          </cell>
          <cell r="F826">
            <v>1175.5299999999897</v>
          </cell>
          <cell r="G826">
            <v>1645.74</v>
          </cell>
        </row>
        <row r="827">
          <cell r="B827">
            <v>823</v>
          </cell>
          <cell r="C827">
            <v>1909.2799999999866</v>
          </cell>
          <cell r="D827">
            <v>2672.99</v>
          </cell>
          <cell r="F827">
            <v>1176.9599999999898</v>
          </cell>
          <cell r="G827">
            <v>1647.74</v>
          </cell>
        </row>
        <row r="828">
          <cell r="B828">
            <v>824</v>
          </cell>
          <cell r="C828">
            <v>1911.5999999999865</v>
          </cell>
          <cell r="D828">
            <v>2676.24</v>
          </cell>
          <cell r="F828">
            <v>1178.3899999999899</v>
          </cell>
          <cell r="G828">
            <v>1649.75</v>
          </cell>
        </row>
        <row r="829">
          <cell r="B829">
            <v>825</v>
          </cell>
          <cell r="C829">
            <v>1913.9199999999864</v>
          </cell>
          <cell r="D829">
            <v>2679.49</v>
          </cell>
          <cell r="F829">
            <v>1179.8199999999899</v>
          </cell>
          <cell r="G829">
            <v>1651.75</v>
          </cell>
        </row>
        <row r="830">
          <cell r="B830">
            <v>826</v>
          </cell>
          <cell r="C830">
            <v>1916.2399999999864</v>
          </cell>
          <cell r="D830">
            <v>2682.74</v>
          </cell>
          <cell r="F830">
            <v>1181.24999999999</v>
          </cell>
          <cell r="G830">
            <v>1653.75</v>
          </cell>
        </row>
        <row r="831">
          <cell r="B831">
            <v>827</v>
          </cell>
          <cell r="C831">
            <v>1918.5599999999863</v>
          </cell>
          <cell r="D831">
            <v>2685.98</v>
          </cell>
          <cell r="F831">
            <v>1182.6799999999901</v>
          </cell>
          <cell r="G831">
            <v>1655.75</v>
          </cell>
        </row>
        <row r="832">
          <cell r="B832">
            <v>828</v>
          </cell>
          <cell r="C832">
            <v>1920.8799999999862</v>
          </cell>
          <cell r="D832">
            <v>2689.23</v>
          </cell>
          <cell r="F832">
            <v>1184.1099999999901</v>
          </cell>
          <cell r="G832">
            <v>1657.75</v>
          </cell>
        </row>
        <row r="833">
          <cell r="B833">
            <v>829</v>
          </cell>
          <cell r="C833">
            <v>1923.1999999999862</v>
          </cell>
          <cell r="D833">
            <v>2692.48</v>
          </cell>
          <cell r="F833">
            <v>1185.5399999999902</v>
          </cell>
          <cell r="G833">
            <v>1659.76</v>
          </cell>
        </row>
        <row r="834">
          <cell r="B834">
            <v>830</v>
          </cell>
          <cell r="C834">
            <v>1925.5199999999861</v>
          </cell>
          <cell r="D834">
            <v>2695.73</v>
          </cell>
          <cell r="F834">
            <v>1186.9699999999903</v>
          </cell>
          <cell r="G834">
            <v>1661.76</v>
          </cell>
        </row>
        <row r="835">
          <cell r="B835">
            <v>831</v>
          </cell>
          <cell r="C835">
            <v>1927.839999999986</v>
          </cell>
          <cell r="D835">
            <v>2698.98</v>
          </cell>
          <cell r="F835">
            <v>1188.3999999999903</v>
          </cell>
          <cell r="G835">
            <v>1663.76</v>
          </cell>
        </row>
        <row r="836">
          <cell r="B836">
            <v>832</v>
          </cell>
          <cell r="C836">
            <v>1930.159999999986</v>
          </cell>
          <cell r="D836">
            <v>2702.22</v>
          </cell>
          <cell r="F836">
            <v>1189.8299999999904</v>
          </cell>
          <cell r="G836">
            <v>1665.76</v>
          </cell>
        </row>
        <row r="837">
          <cell r="B837">
            <v>833</v>
          </cell>
          <cell r="C837">
            <v>1932.4799999999859</v>
          </cell>
          <cell r="D837">
            <v>2705.47</v>
          </cell>
          <cell r="F837">
            <v>1191.2599999999904</v>
          </cell>
          <cell r="G837">
            <v>1667.76</v>
          </cell>
        </row>
        <row r="838">
          <cell r="B838">
            <v>834</v>
          </cell>
          <cell r="C838">
            <v>1934.7999999999859</v>
          </cell>
          <cell r="D838">
            <v>2708.72</v>
          </cell>
          <cell r="F838">
            <v>1192.6899999999905</v>
          </cell>
          <cell r="G838">
            <v>1669.77</v>
          </cell>
        </row>
        <row r="839">
          <cell r="B839">
            <v>835</v>
          </cell>
          <cell r="C839">
            <v>1937.1199999999858</v>
          </cell>
          <cell r="D839">
            <v>2711.97</v>
          </cell>
          <cell r="F839">
            <v>1194.1199999999906</v>
          </cell>
          <cell r="G839">
            <v>1671.77</v>
          </cell>
        </row>
        <row r="840">
          <cell r="B840">
            <v>836</v>
          </cell>
          <cell r="C840">
            <v>1939.4399999999857</v>
          </cell>
          <cell r="D840">
            <v>2715.22</v>
          </cell>
          <cell r="F840">
            <v>1195.5499999999906</v>
          </cell>
          <cell r="G840">
            <v>1673.77</v>
          </cell>
        </row>
        <row r="841">
          <cell r="B841">
            <v>837</v>
          </cell>
          <cell r="C841">
            <v>1941.7599999999857</v>
          </cell>
          <cell r="D841">
            <v>2718.46</v>
          </cell>
          <cell r="F841">
            <v>1196.9799999999907</v>
          </cell>
          <cell r="G841">
            <v>1675.77</v>
          </cell>
        </row>
        <row r="842">
          <cell r="B842">
            <v>838</v>
          </cell>
          <cell r="C842">
            <v>1944.0799999999856</v>
          </cell>
          <cell r="D842">
            <v>2721.71</v>
          </cell>
          <cell r="F842">
            <v>1198.4099999999908</v>
          </cell>
          <cell r="G842">
            <v>1677.77</v>
          </cell>
        </row>
        <row r="843">
          <cell r="B843">
            <v>839</v>
          </cell>
          <cell r="C843">
            <v>1946.3999999999855</v>
          </cell>
          <cell r="D843">
            <v>2724.96</v>
          </cell>
          <cell r="F843">
            <v>1199.8399999999908</v>
          </cell>
          <cell r="G843">
            <v>1679.78</v>
          </cell>
        </row>
        <row r="844">
          <cell r="B844">
            <v>840</v>
          </cell>
          <cell r="C844">
            <v>1948.7199999999855</v>
          </cell>
          <cell r="D844">
            <v>2728.21</v>
          </cell>
          <cell r="F844">
            <v>1201.2699999999909</v>
          </cell>
          <cell r="G844">
            <v>1681.78</v>
          </cell>
        </row>
        <row r="845">
          <cell r="B845">
            <v>841</v>
          </cell>
          <cell r="C845">
            <v>1951.0399999999854</v>
          </cell>
          <cell r="D845">
            <v>2731.46</v>
          </cell>
          <cell r="F845">
            <v>1202.699999999991</v>
          </cell>
          <cell r="G845">
            <v>1683.78</v>
          </cell>
        </row>
        <row r="846">
          <cell r="B846">
            <v>842</v>
          </cell>
          <cell r="C846">
            <v>1953.3599999999853</v>
          </cell>
          <cell r="D846">
            <v>2734.7</v>
          </cell>
          <cell r="F846">
            <v>1204.129999999991</v>
          </cell>
          <cell r="G846">
            <v>1685.78</v>
          </cell>
        </row>
        <row r="847">
          <cell r="B847">
            <v>843</v>
          </cell>
          <cell r="C847">
            <v>1955.6799999999853</v>
          </cell>
          <cell r="D847">
            <v>2737.95</v>
          </cell>
          <cell r="F847">
            <v>1205.5599999999911</v>
          </cell>
          <cell r="G847">
            <v>1687.78</v>
          </cell>
        </row>
        <row r="848">
          <cell r="B848">
            <v>844</v>
          </cell>
          <cell r="C848">
            <v>1957.9999999999852</v>
          </cell>
          <cell r="D848">
            <v>2741.2</v>
          </cell>
          <cell r="F848">
            <v>1206.9899999999911</v>
          </cell>
          <cell r="G848">
            <v>1689.79</v>
          </cell>
        </row>
        <row r="849">
          <cell r="B849">
            <v>845</v>
          </cell>
          <cell r="C849">
            <v>1960.3199999999852</v>
          </cell>
          <cell r="D849">
            <v>2744.45</v>
          </cell>
          <cell r="F849">
            <v>1208.4199999999912</v>
          </cell>
          <cell r="G849">
            <v>1691.79</v>
          </cell>
        </row>
        <row r="850">
          <cell r="B850">
            <v>846</v>
          </cell>
          <cell r="C850">
            <v>1962.6399999999851</v>
          </cell>
          <cell r="D850">
            <v>2747.7</v>
          </cell>
          <cell r="F850">
            <v>1209.8499999999913</v>
          </cell>
          <cell r="G850">
            <v>1693.79</v>
          </cell>
        </row>
        <row r="851">
          <cell r="B851">
            <v>847</v>
          </cell>
          <cell r="C851">
            <v>1964.959999999985</v>
          </cell>
          <cell r="D851">
            <v>2750.94</v>
          </cell>
          <cell r="F851">
            <v>1211.2799999999913</v>
          </cell>
          <cell r="G851">
            <v>1695.79</v>
          </cell>
        </row>
        <row r="852">
          <cell r="B852">
            <v>848</v>
          </cell>
          <cell r="C852">
            <v>1967.279999999985</v>
          </cell>
          <cell r="D852">
            <v>2754.19</v>
          </cell>
          <cell r="F852">
            <v>1212.7099999999914</v>
          </cell>
          <cell r="G852">
            <v>1697.79</v>
          </cell>
        </row>
        <row r="853">
          <cell r="B853">
            <v>849</v>
          </cell>
          <cell r="C853">
            <v>1969.5999999999849</v>
          </cell>
          <cell r="D853">
            <v>2757.44</v>
          </cell>
          <cell r="F853">
            <v>1214.1399999999915</v>
          </cell>
          <cell r="G853">
            <v>1699.8</v>
          </cell>
        </row>
        <row r="854">
          <cell r="B854">
            <v>850</v>
          </cell>
          <cell r="C854">
            <v>1971.9199999999848</v>
          </cell>
          <cell r="D854">
            <v>2760.69</v>
          </cell>
          <cell r="F854">
            <v>1215.5699999999915</v>
          </cell>
          <cell r="G854">
            <v>1701.8</v>
          </cell>
        </row>
        <row r="855">
          <cell r="B855">
            <v>851</v>
          </cell>
          <cell r="C855">
            <v>1974.2399999999848</v>
          </cell>
          <cell r="D855">
            <v>2763.94</v>
          </cell>
          <cell r="F855">
            <v>1216.9999999999916</v>
          </cell>
          <cell r="G855">
            <v>1703.8</v>
          </cell>
        </row>
        <row r="856">
          <cell r="B856">
            <v>852</v>
          </cell>
          <cell r="C856">
            <v>1976.5599999999847</v>
          </cell>
          <cell r="D856">
            <v>2767.18</v>
          </cell>
          <cell r="F856">
            <v>1218.4299999999917</v>
          </cell>
          <cell r="G856">
            <v>1705.8</v>
          </cell>
        </row>
        <row r="857">
          <cell r="B857">
            <v>853</v>
          </cell>
          <cell r="C857">
            <v>1978.8799999999846</v>
          </cell>
          <cell r="D857">
            <v>2770.43</v>
          </cell>
          <cell r="F857">
            <v>1219.8599999999917</v>
          </cell>
          <cell r="G857">
            <v>1707.8</v>
          </cell>
        </row>
        <row r="858">
          <cell r="B858">
            <v>854</v>
          </cell>
          <cell r="C858">
            <v>1981.1999999999846</v>
          </cell>
          <cell r="D858">
            <v>2773.68</v>
          </cell>
          <cell r="F858">
            <v>1221.2899999999918</v>
          </cell>
          <cell r="G858">
            <v>1709.81</v>
          </cell>
        </row>
        <row r="859">
          <cell r="B859">
            <v>855</v>
          </cell>
          <cell r="C859">
            <v>1983.5199999999845</v>
          </cell>
          <cell r="D859">
            <v>2776.93</v>
          </cell>
          <cell r="F859">
            <v>1222.7199999999918</v>
          </cell>
          <cell r="G859">
            <v>1711.81</v>
          </cell>
        </row>
        <row r="860">
          <cell r="B860">
            <v>856</v>
          </cell>
          <cell r="C860">
            <v>1985.8399999999845</v>
          </cell>
          <cell r="D860">
            <v>2780.18</v>
          </cell>
          <cell r="F860">
            <v>1224.1499999999919</v>
          </cell>
          <cell r="G860">
            <v>1713.81</v>
          </cell>
        </row>
        <row r="861">
          <cell r="B861">
            <v>857</v>
          </cell>
          <cell r="C861">
            <v>1988.1599999999844</v>
          </cell>
          <cell r="D861">
            <v>2783.42</v>
          </cell>
          <cell r="F861">
            <v>1225.579999999992</v>
          </cell>
          <cell r="G861">
            <v>1715.81</v>
          </cell>
        </row>
        <row r="862">
          <cell r="B862">
            <v>858</v>
          </cell>
          <cell r="C862">
            <v>1990.4799999999843</v>
          </cell>
          <cell r="D862">
            <v>2786.67</v>
          </cell>
          <cell r="F862">
            <v>1227.009999999992</v>
          </cell>
          <cell r="G862">
            <v>1717.81</v>
          </cell>
        </row>
        <row r="863">
          <cell r="B863">
            <v>859</v>
          </cell>
          <cell r="C863">
            <v>1992.7999999999843</v>
          </cell>
          <cell r="D863">
            <v>2789.92</v>
          </cell>
          <cell r="F863">
            <v>1228.4399999999921</v>
          </cell>
          <cell r="G863">
            <v>1719.82</v>
          </cell>
        </row>
        <row r="864">
          <cell r="B864">
            <v>860</v>
          </cell>
          <cell r="C864">
            <v>1995.1199999999842</v>
          </cell>
          <cell r="D864">
            <v>2793.17</v>
          </cell>
          <cell r="F864">
            <v>1229.8699999999922</v>
          </cell>
          <cell r="G864">
            <v>1721.82</v>
          </cell>
        </row>
        <row r="865">
          <cell r="B865">
            <v>861</v>
          </cell>
          <cell r="C865">
            <v>1997.4399999999841</v>
          </cell>
          <cell r="D865">
            <v>2796.42</v>
          </cell>
          <cell r="F865">
            <v>1231.2999999999922</v>
          </cell>
          <cell r="G865">
            <v>1723.82</v>
          </cell>
        </row>
        <row r="866">
          <cell r="B866">
            <v>862</v>
          </cell>
          <cell r="C866">
            <v>1999.7599999999841</v>
          </cell>
          <cell r="D866">
            <v>2799.66</v>
          </cell>
          <cell r="F866">
            <v>1232.7299999999923</v>
          </cell>
          <cell r="G866">
            <v>1725.82</v>
          </cell>
        </row>
        <row r="867">
          <cell r="B867">
            <v>863</v>
          </cell>
          <cell r="C867">
            <v>2002.079999999984</v>
          </cell>
          <cell r="D867">
            <v>2802.91</v>
          </cell>
          <cell r="F867">
            <v>1234.1599999999924</v>
          </cell>
          <cell r="G867">
            <v>1727.82</v>
          </cell>
        </row>
        <row r="868">
          <cell r="B868">
            <v>864</v>
          </cell>
          <cell r="C868">
            <v>2004.3999999999839</v>
          </cell>
          <cell r="D868">
            <v>2806.16</v>
          </cell>
          <cell r="F868">
            <v>1235.5899999999924</v>
          </cell>
          <cell r="G868">
            <v>1729.83</v>
          </cell>
        </row>
        <row r="869">
          <cell r="B869">
            <v>865</v>
          </cell>
          <cell r="C869">
            <v>2006.7199999999839</v>
          </cell>
          <cell r="D869">
            <v>2809.41</v>
          </cell>
          <cell r="F869">
            <v>1237.0199999999925</v>
          </cell>
          <cell r="G869">
            <v>1731.83</v>
          </cell>
        </row>
        <row r="870">
          <cell r="B870">
            <v>866</v>
          </cell>
          <cell r="C870">
            <v>2009.0399999999838</v>
          </cell>
          <cell r="D870">
            <v>2812.66</v>
          </cell>
          <cell r="F870">
            <v>1238.4499999999925</v>
          </cell>
          <cell r="G870">
            <v>1733.83</v>
          </cell>
        </row>
        <row r="871">
          <cell r="B871">
            <v>867</v>
          </cell>
          <cell r="C871">
            <v>2011.3599999999838</v>
          </cell>
          <cell r="D871">
            <v>2815.9</v>
          </cell>
          <cell r="F871">
            <v>1239.8799999999926</v>
          </cell>
          <cell r="G871">
            <v>1735.83</v>
          </cell>
        </row>
        <row r="872">
          <cell r="B872">
            <v>868</v>
          </cell>
          <cell r="C872">
            <v>2013.6799999999837</v>
          </cell>
          <cell r="D872">
            <v>2819.15</v>
          </cell>
          <cell r="F872">
            <v>1241.3099999999927</v>
          </cell>
          <cell r="G872">
            <v>1737.83</v>
          </cell>
        </row>
        <row r="873">
          <cell r="B873">
            <v>869</v>
          </cell>
          <cell r="C873">
            <v>2015.9999999999836</v>
          </cell>
          <cell r="D873">
            <v>2822.4</v>
          </cell>
          <cell r="F873">
            <v>1242.7399999999927</v>
          </cell>
          <cell r="G873">
            <v>1739.84</v>
          </cell>
        </row>
        <row r="874">
          <cell r="B874">
            <v>870</v>
          </cell>
          <cell r="C874">
            <v>2018.3199999999836</v>
          </cell>
          <cell r="D874">
            <v>2825.65</v>
          </cell>
          <cell r="F874">
            <v>1244.1699999999928</v>
          </cell>
          <cell r="G874">
            <v>1741.84</v>
          </cell>
        </row>
        <row r="875">
          <cell r="B875">
            <v>871</v>
          </cell>
          <cell r="C875">
            <v>2020.6399999999835</v>
          </cell>
          <cell r="D875">
            <v>2828.9</v>
          </cell>
          <cell r="F875">
            <v>1245.5999999999929</v>
          </cell>
          <cell r="G875">
            <v>1743.84</v>
          </cell>
        </row>
        <row r="876">
          <cell r="B876">
            <v>872</v>
          </cell>
          <cell r="C876">
            <v>2022.9599999999834</v>
          </cell>
          <cell r="D876">
            <v>2832.14</v>
          </cell>
          <cell r="F876">
            <v>1247.0299999999929</v>
          </cell>
          <cell r="G876">
            <v>1745.84</v>
          </cell>
        </row>
        <row r="877">
          <cell r="B877">
            <v>873</v>
          </cell>
          <cell r="C877">
            <v>2025.2799999999834</v>
          </cell>
          <cell r="D877">
            <v>2835.39</v>
          </cell>
          <cell r="F877">
            <v>1248.459999999993</v>
          </cell>
          <cell r="G877">
            <v>1747.84</v>
          </cell>
        </row>
        <row r="878">
          <cell r="B878">
            <v>874</v>
          </cell>
          <cell r="C878">
            <v>2027.5999999999833</v>
          </cell>
          <cell r="D878">
            <v>2838.64</v>
          </cell>
          <cell r="F878">
            <v>1249.8899999999931</v>
          </cell>
          <cell r="G878">
            <v>1749.85</v>
          </cell>
        </row>
        <row r="879">
          <cell r="B879">
            <v>875</v>
          </cell>
          <cell r="C879">
            <v>2029.9199999999832</v>
          </cell>
          <cell r="D879">
            <v>2841.89</v>
          </cell>
          <cell r="F879">
            <v>1251.3199999999931</v>
          </cell>
          <cell r="G879">
            <v>1751.85</v>
          </cell>
        </row>
        <row r="880">
          <cell r="B880">
            <v>876</v>
          </cell>
          <cell r="C880">
            <v>2032.2399999999832</v>
          </cell>
          <cell r="D880">
            <v>2845.14</v>
          </cell>
          <cell r="F880">
            <v>1252.7499999999932</v>
          </cell>
          <cell r="G880">
            <v>1753.85</v>
          </cell>
        </row>
        <row r="881">
          <cell r="B881">
            <v>877</v>
          </cell>
          <cell r="C881">
            <v>2034.5599999999831</v>
          </cell>
          <cell r="D881">
            <v>2848.38</v>
          </cell>
          <cell r="F881">
            <v>1254.1799999999932</v>
          </cell>
          <cell r="G881">
            <v>1755.85</v>
          </cell>
        </row>
        <row r="882">
          <cell r="B882">
            <v>878</v>
          </cell>
          <cell r="C882">
            <v>2036.8799999999831</v>
          </cell>
          <cell r="D882">
            <v>2851.63</v>
          </cell>
          <cell r="F882">
            <v>1255.6099999999933</v>
          </cell>
          <cell r="G882">
            <v>1757.85</v>
          </cell>
        </row>
        <row r="883">
          <cell r="B883">
            <v>879</v>
          </cell>
          <cell r="C883">
            <v>2039.199999999983</v>
          </cell>
          <cell r="D883">
            <v>2854.88</v>
          </cell>
          <cell r="F883">
            <v>1257.0399999999934</v>
          </cell>
          <cell r="G883">
            <v>1759.86</v>
          </cell>
        </row>
        <row r="884">
          <cell r="B884">
            <v>880</v>
          </cell>
          <cell r="C884">
            <v>2041.5199999999829</v>
          </cell>
          <cell r="D884">
            <v>2858.13</v>
          </cell>
          <cell r="F884">
            <v>1258.4699999999934</v>
          </cell>
          <cell r="G884">
            <v>1761.86</v>
          </cell>
        </row>
        <row r="885">
          <cell r="B885">
            <v>881</v>
          </cell>
          <cell r="C885">
            <v>2043.8399999999829</v>
          </cell>
          <cell r="D885">
            <v>2861.38</v>
          </cell>
          <cell r="F885">
            <v>1259.8999999999935</v>
          </cell>
          <cell r="G885">
            <v>1763.86</v>
          </cell>
        </row>
        <row r="886">
          <cell r="B886">
            <v>882</v>
          </cell>
          <cell r="C886">
            <v>2046.1599999999828</v>
          </cell>
          <cell r="D886">
            <v>2864.62</v>
          </cell>
          <cell r="F886">
            <v>1261.3299999999936</v>
          </cell>
          <cell r="G886">
            <v>1765.86</v>
          </cell>
        </row>
        <row r="887">
          <cell r="B887">
            <v>883</v>
          </cell>
          <cell r="C887">
            <v>2048.4799999999827</v>
          </cell>
          <cell r="D887">
            <v>2867.87</v>
          </cell>
          <cell r="F887">
            <v>1262.7599999999936</v>
          </cell>
          <cell r="G887">
            <v>1767.86</v>
          </cell>
        </row>
        <row r="888">
          <cell r="B888">
            <v>884</v>
          </cell>
          <cell r="C888">
            <v>2050.7999999999829</v>
          </cell>
          <cell r="D888">
            <v>2871.12</v>
          </cell>
          <cell r="F888">
            <v>1264.1899999999937</v>
          </cell>
          <cell r="G888">
            <v>1769.87</v>
          </cell>
        </row>
        <row r="889">
          <cell r="B889">
            <v>885</v>
          </cell>
          <cell r="C889">
            <v>2053.1199999999831</v>
          </cell>
          <cell r="D889">
            <v>2874.37</v>
          </cell>
          <cell r="F889">
            <v>1265.6199999999938</v>
          </cell>
          <cell r="G889">
            <v>1771.87</v>
          </cell>
        </row>
        <row r="890">
          <cell r="B890">
            <v>886</v>
          </cell>
          <cell r="C890">
            <v>2055.4399999999832</v>
          </cell>
          <cell r="D890">
            <v>2877.62</v>
          </cell>
          <cell r="F890">
            <v>1267.0499999999938</v>
          </cell>
          <cell r="G890">
            <v>1773.87</v>
          </cell>
        </row>
        <row r="891">
          <cell r="B891">
            <v>887</v>
          </cell>
          <cell r="C891">
            <v>2057.7599999999834</v>
          </cell>
          <cell r="D891">
            <v>2880.86</v>
          </cell>
          <cell r="F891">
            <v>1268.4799999999939</v>
          </cell>
          <cell r="G891">
            <v>1775.87</v>
          </cell>
        </row>
        <row r="892">
          <cell r="B892">
            <v>888</v>
          </cell>
          <cell r="C892">
            <v>2060.0799999999836</v>
          </cell>
          <cell r="D892">
            <v>2884.11</v>
          </cell>
          <cell r="F892">
            <v>1269.9099999999939</v>
          </cell>
          <cell r="G892">
            <v>1777.87</v>
          </cell>
        </row>
        <row r="893">
          <cell r="B893">
            <v>889</v>
          </cell>
          <cell r="C893">
            <v>2062.3999999999837</v>
          </cell>
          <cell r="D893">
            <v>2887.36</v>
          </cell>
          <cell r="F893">
            <v>1271.339999999994</v>
          </cell>
          <cell r="G893">
            <v>1779.88</v>
          </cell>
        </row>
        <row r="894">
          <cell r="B894">
            <v>890</v>
          </cell>
          <cell r="C894">
            <v>2064.7199999999839</v>
          </cell>
          <cell r="D894">
            <v>2890.61</v>
          </cell>
          <cell r="F894">
            <v>1272.7699999999941</v>
          </cell>
          <cell r="G894">
            <v>1781.88</v>
          </cell>
        </row>
        <row r="895">
          <cell r="B895">
            <v>891</v>
          </cell>
          <cell r="C895">
            <v>2067.039999999984</v>
          </cell>
          <cell r="D895">
            <v>2893.86</v>
          </cell>
          <cell r="F895">
            <v>1274.1999999999941</v>
          </cell>
          <cell r="G895">
            <v>1783.88</v>
          </cell>
        </row>
        <row r="896">
          <cell r="B896">
            <v>892</v>
          </cell>
          <cell r="C896">
            <v>2069.3599999999842</v>
          </cell>
          <cell r="D896">
            <v>2897.1</v>
          </cell>
          <cell r="F896">
            <v>1275.6299999999942</v>
          </cell>
          <cell r="G896">
            <v>1785.88</v>
          </cell>
        </row>
        <row r="897">
          <cell r="B897">
            <v>893</v>
          </cell>
          <cell r="C897">
            <v>2071.6799999999844</v>
          </cell>
          <cell r="D897">
            <v>2900.35</v>
          </cell>
          <cell r="F897">
            <v>1277.0599999999943</v>
          </cell>
          <cell r="G897">
            <v>1787.88</v>
          </cell>
        </row>
        <row r="898">
          <cell r="B898">
            <v>894</v>
          </cell>
          <cell r="C898">
            <v>2073.9999999999845</v>
          </cell>
          <cell r="D898">
            <v>2903.6</v>
          </cell>
          <cell r="F898">
            <v>1278.4899999999943</v>
          </cell>
          <cell r="G898">
            <v>1789.89</v>
          </cell>
        </row>
        <row r="899">
          <cell r="B899">
            <v>895</v>
          </cell>
          <cell r="C899">
            <v>2076.3199999999847</v>
          </cell>
          <cell r="D899">
            <v>2906.85</v>
          </cell>
          <cell r="F899">
            <v>1279.9199999999944</v>
          </cell>
          <cell r="G899">
            <v>1791.89</v>
          </cell>
        </row>
        <row r="900">
          <cell r="B900">
            <v>896</v>
          </cell>
          <cell r="C900">
            <v>2078.6399999999849</v>
          </cell>
          <cell r="D900">
            <v>2910.1</v>
          </cell>
          <cell r="F900">
            <v>1281.3499999999945</v>
          </cell>
          <cell r="G900">
            <v>1793.89</v>
          </cell>
        </row>
        <row r="901">
          <cell r="B901">
            <v>897</v>
          </cell>
          <cell r="C901">
            <v>2080.959999999985</v>
          </cell>
          <cell r="D901">
            <v>2913.34</v>
          </cell>
          <cell r="F901">
            <v>1282.7799999999945</v>
          </cell>
          <cell r="G901">
            <v>1795.89</v>
          </cell>
        </row>
        <row r="902">
          <cell r="B902">
            <v>898</v>
          </cell>
          <cell r="C902">
            <v>2083.2799999999852</v>
          </cell>
          <cell r="D902">
            <v>2916.59</v>
          </cell>
          <cell r="F902">
            <v>1284.2099999999946</v>
          </cell>
          <cell r="G902">
            <v>1797.89</v>
          </cell>
        </row>
        <row r="903">
          <cell r="B903">
            <v>899</v>
          </cell>
          <cell r="C903">
            <v>2085.5999999999854</v>
          </cell>
          <cell r="D903">
            <v>2919.84</v>
          </cell>
          <cell r="F903">
            <v>1285.6399999999946</v>
          </cell>
          <cell r="G903">
            <v>1799.9</v>
          </cell>
        </row>
        <row r="904">
          <cell r="B904">
            <v>900</v>
          </cell>
          <cell r="C904">
            <v>2087.9199999999855</v>
          </cell>
          <cell r="D904">
            <v>2923.09</v>
          </cell>
          <cell r="F904">
            <v>1287.0699999999947</v>
          </cell>
          <cell r="G904">
            <v>1801.9</v>
          </cell>
        </row>
        <row r="905">
          <cell r="B905">
            <v>901</v>
          </cell>
          <cell r="C905">
            <v>2090.2399999999857</v>
          </cell>
          <cell r="D905">
            <v>2926.34</v>
          </cell>
          <cell r="F905">
            <v>1288.4999999999948</v>
          </cell>
          <cell r="G905">
            <v>1803.9</v>
          </cell>
        </row>
        <row r="906">
          <cell r="B906">
            <v>902</v>
          </cell>
          <cell r="C906">
            <v>2092.5599999999858</v>
          </cell>
          <cell r="D906">
            <v>2929.58</v>
          </cell>
          <cell r="F906">
            <v>1289.9299999999948</v>
          </cell>
          <cell r="G906">
            <v>1805.9</v>
          </cell>
        </row>
        <row r="907">
          <cell r="B907">
            <v>903</v>
          </cell>
          <cell r="C907">
            <v>2094.879999999986</v>
          </cell>
          <cell r="D907">
            <v>2932.83</v>
          </cell>
          <cell r="F907">
            <v>1291.3599999999949</v>
          </cell>
          <cell r="G907">
            <v>1807.9</v>
          </cell>
        </row>
        <row r="908">
          <cell r="B908">
            <v>904</v>
          </cell>
          <cell r="C908">
            <v>2097.1999999999862</v>
          </cell>
          <cell r="D908">
            <v>2936.08</v>
          </cell>
          <cell r="F908">
            <v>1292.789999999995</v>
          </cell>
          <cell r="G908">
            <v>1809.91</v>
          </cell>
        </row>
        <row r="909">
          <cell r="B909">
            <v>905</v>
          </cell>
          <cell r="C909">
            <v>2099.5199999999863</v>
          </cell>
          <cell r="D909">
            <v>2939.33</v>
          </cell>
          <cell r="F909">
            <v>1294.219999999995</v>
          </cell>
          <cell r="G909">
            <v>1811.91</v>
          </cell>
        </row>
        <row r="910">
          <cell r="B910">
            <v>906</v>
          </cell>
          <cell r="C910">
            <v>2101.8399999999865</v>
          </cell>
          <cell r="D910">
            <v>2942.58</v>
          </cell>
          <cell r="F910">
            <v>1295.6499999999951</v>
          </cell>
          <cell r="G910">
            <v>1813.91</v>
          </cell>
        </row>
        <row r="911">
          <cell r="B911">
            <v>907</v>
          </cell>
          <cell r="C911">
            <v>2104.1599999999867</v>
          </cell>
          <cell r="D911">
            <v>2945.82</v>
          </cell>
          <cell r="F911">
            <v>1297.0799999999952</v>
          </cell>
          <cell r="G911">
            <v>1815.91</v>
          </cell>
        </row>
        <row r="912">
          <cell r="B912">
            <v>908</v>
          </cell>
          <cell r="C912">
            <v>2106.4799999999868</v>
          </cell>
          <cell r="D912">
            <v>2949.07</v>
          </cell>
          <cell r="F912">
            <v>1298.5099999999952</v>
          </cell>
          <cell r="G912">
            <v>1817.91</v>
          </cell>
        </row>
        <row r="913">
          <cell r="B913">
            <v>909</v>
          </cell>
          <cell r="C913">
            <v>2108.799999999987</v>
          </cell>
          <cell r="D913">
            <v>2952.32</v>
          </cell>
          <cell r="F913">
            <v>1299.9399999999953</v>
          </cell>
          <cell r="G913">
            <v>1819.92</v>
          </cell>
        </row>
        <row r="914">
          <cell r="B914">
            <v>910</v>
          </cell>
          <cell r="C914">
            <v>2111.1199999999872</v>
          </cell>
          <cell r="D914">
            <v>2955.57</v>
          </cell>
          <cell r="F914">
            <v>1301.3699999999953</v>
          </cell>
          <cell r="G914">
            <v>1821.92</v>
          </cell>
        </row>
        <row r="915">
          <cell r="B915">
            <v>911</v>
          </cell>
          <cell r="C915">
            <v>2113.4399999999873</v>
          </cell>
          <cell r="D915">
            <v>2958.82</v>
          </cell>
          <cell r="F915">
            <v>1302.7999999999954</v>
          </cell>
          <cell r="G915">
            <v>1823.92</v>
          </cell>
        </row>
        <row r="916">
          <cell r="B916">
            <v>912</v>
          </cell>
          <cell r="C916">
            <v>2115.7599999999875</v>
          </cell>
          <cell r="D916">
            <v>2962.06</v>
          </cell>
          <cell r="F916">
            <v>1304.2299999999955</v>
          </cell>
          <cell r="G916">
            <v>1825.92</v>
          </cell>
        </row>
        <row r="917">
          <cell r="B917">
            <v>913</v>
          </cell>
          <cell r="C917">
            <v>2118.0799999999876</v>
          </cell>
          <cell r="D917">
            <v>2965.31</v>
          </cell>
          <cell r="F917">
            <v>1305.6599999999955</v>
          </cell>
          <cell r="G917">
            <v>1827.92</v>
          </cell>
        </row>
        <row r="918">
          <cell r="B918">
            <v>914</v>
          </cell>
          <cell r="C918">
            <v>2120.3999999999878</v>
          </cell>
          <cell r="D918">
            <v>2968.56</v>
          </cell>
          <cell r="F918">
            <v>1307.0899999999956</v>
          </cell>
          <cell r="G918">
            <v>1829.93</v>
          </cell>
        </row>
        <row r="919">
          <cell r="B919">
            <v>915</v>
          </cell>
          <cell r="C919">
            <v>2122.719999999988</v>
          </cell>
          <cell r="D919">
            <v>2971.81</v>
          </cell>
          <cell r="F919">
            <v>1308.5199999999957</v>
          </cell>
          <cell r="G919">
            <v>1831.93</v>
          </cell>
        </row>
        <row r="920">
          <cell r="B920">
            <v>916</v>
          </cell>
          <cell r="C920">
            <v>2125.0399999999881</v>
          </cell>
          <cell r="D920">
            <v>2975.06</v>
          </cell>
          <cell r="F920">
            <v>1309.9499999999957</v>
          </cell>
          <cell r="G920">
            <v>1833.93</v>
          </cell>
        </row>
        <row r="921">
          <cell r="B921">
            <v>917</v>
          </cell>
          <cell r="C921">
            <v>2127.3599999999883</v>
          </cell>
          <cell r="D921">
            <v>2978.3</v>
          </cell>
          <cell r="F921">
            <v>1311.3799999999958</v>
          </cell>
          <cell r="G921">
            <v>1835.93</v>
          </cell>
        </row>
        <row r="922">
          <cell r="B922">
            <v>918</v>
          </cell>
          <cell r="C922">
            <v>2129.6799999999885</v>
          </cell>
          <cell r="D922">
            <v>2981.55</v>
          </cell>
          <cell r="F922">
            <v>1312.8099999999959</v>
          </cell>
          <cell r="G922">
            <v>1837.93</v>
          </cell>
        </row>
        <row r="923">
          <cell r="B923">
            <v>919</v>
          </cell>
          <cell r="C923">
            <v>2131.9999999999886</v>
          </cell>
          <cell r="D923">
            <v>2984.8</v>
          </cell>
          <cell r="F923">
            <v>1314.2399999999959</v>
          </cell>
          <cell r="G923">
            <v>1839.94</v>
          </cell>
        </row>
        <row r="924">
          <cell r="B924">
            <v>920</v>
          </cell>
          <cell r="C924">
            <v>2134.3199999999888</v>
          </cell>
          <cell r="D924">
            <v>2988.05</v>
          </cell>
          <cell r="F924">
            <v>1315.669999999996</v>
          </cell>
          <cell r="G924">
            <v>1841.94</v>
          </cell>
        </row>
        <row r="925">
          <cell r="B925">
            <v>921</v>
          </cell>
          <cell r="C925">
            <v>2136.639999999989</v>
          </cell>
          <cell r="D925">
            <v>2991.3</v>
          </cell>
          <cell r="F925">
            <v>1317.099999999996</v>
          </cell>
          <cell r="G925">
            <v>1843.94</v>
          </cell>
        </row>
        <row r="926">
          <cell r="B926">
            <v>922</v>
          </cell>
          <cell r="C926">
            <v>2138.9599999999891</v>
          </cell>
          <cell r="D926">
            <v>2994.54</v>
          </cell>
          <cell r="F926">
            <v>1318.5299999999961</v>
          </cell>
          <cell r="G926">
            <v>1845.94</v>
          </cell>
        </row>
        <row r="927">
          <cell r="B927">
            <v>923</v>
          </cell>
          <cell r="C927">
            <v>2141.2799999999893</v>
          </cell>
          <cell r="D927">
            <v>2997.79</v>
          </cell>
          <cell r="F927">
            <v>1319.9599999999962</v>
          </cell>
          <cell r="G927">
            <v>1847.94</v>
          </cell>
        </row>
        <row r="928">
          <cell r="B928">
            <v>924</v>
          </cell>
          <cell r="C928">
            <v>2143.5999999999894</v>
          </cell>
          <cell r="D928">
            <v>3001.04</v>
          </cell>
          <cell r="F928">
            <v>1321.3899999999962</v>
          </cell>
          <cell r="G928">
            <v>1849.95</v>
          </cell>
        </row>
        <row r="929">
          <cell r="B929">
            <v>925</v>
          </cell>
          <cell r="C929">
            <v>2145.9199999999896</v>
          </cell>
          <cell r="D929">
            <v>3004.29</v>
          </cell>
          <cell r="F929">
            <v>1322.8199999999963</v>
          </cell>
          <cell r="G929">
            <v>1851.95</v>
          </cell>
        </row>
        <row r="930">
          <cell r="B930">
            <v>926</v>
          </cell>
          <cell r="C930">
            <v>2148.2399999999898</v>
          </cell>
          <cell r="D930">
            <v>3007.54</v>
          </cell>
          <cell r="F930">
            <v>1324.2499999999964</v>
          </cell>
          <cell r="G930">
            <v>1853.95</v>
          </cell>
        </row>
        <row r="931">
          <cell r="B931">
            <v>927</v>
          </cell>
          <cell r="C931">
            <v>2150.5599999999899</v>
          </cell>
          <cell r="D931">
            <v>3010.78</v>
          </cell>
          <cell r="F931">
            <v>1325.6799999999964</v>
          </cell>
          <cell r="G931">
            <v>1855.95</v>
          </cell>
        </row>
        <row r="932">
          <cell r="B932">
            <v>928</v>
          </cell>
          <cell r="C932">
            <v>2152.8799999999901</v>
          </cell>
          <cell r="D932">
            <v>3014.03</v>
          </cell>
          <cell r="F932">
            <v>1327.1099999999965</v>
          </cell>
          <cell r="G932">
            <v>1857.95</v>
          </cell>
        </row>
        <row r="933">
          <cell r="B933">
            <v>929</v>
          </cell>
          <cell r="C933">
            <v>2155.1999999999903</v>
          </cell>
          <cell r="D933">
            <v>3017.28</v>
          </cell>
          <cell r="F933">
            <v>1328.5399999999966</v>
          </cell>
          <cell r="G933">
            <v>1859.96</v>
          </cell>
        </row>
        <row r="934">
          <cell r="B934">
            <v>930</v>
          </cell>
          <cell r="C934">
            <v>2157.5199999999904</v>
          </cell>
          <cell r="D934">
            <v>3020.53</v>
          </cell>
          <cell r="F934">
            <v>1329.9699999999966</v>
          </cell>
          <cell r="G934">
            <v>1861.96</v>
          </cell>
        </row>
        <row r="935">
          <cell r="B935">
            <v>931</v>
          </cell>
          <cell r="C935">
            <v>2159.8399999999906</v>
          </cell>
          <cell r="D935">
            <v>3023.78</v>
          </cell>
          <cell r="F935">
            <v>1331.3999999999967</v>
          </cell>
          <cell r="G935">
            <v>1863.96</v>
          </cell>
        </row>
        <row r="936">
          <cell r="B936">
            <v>932</v>
          </cell>
          <cell r="C936">
            <v>2162.1599999999908</v>
          </cell>
          <cell r="D936">
            <v>3027.02</v>
          </cell>
          <cell r="F936">
            <v>1332.8299999999967</v>
          </cell>
          <cell r="G936">
            <v>1865.96</v>
          </cell>
        </row>
        <row r="937">
          <cell r="B937">
            <v>933</v>
          </cell>
          <cell r="C937">
            <v>2164.4799999999909</v>
          </cell>
          <cell r="D937">
            <v>3030.27</v>
          </cell>
          <cell r="F937">
            <v>1334.2599999999968</v>
          </cell>
          <cell r="G937">
            <v>1867.96</v>
          </cell>
        </row>
        <row r="938">
          <cell r="B938">
            <v>934</v>
          </cell>
          <cell r="C938">
            <v>2166.7999999999911</v>
          </cell>
          <cell r="D938">
            <v>3033.52</v>
          </cell>
          <cell r="F938">
            <v>1335.6899999999969</v>
          </cell>
          <cell r="G938">
            <v>1869.97</v>
          </cell>
        </row>
        <row r="939">
          <cell r="B939">
            <v>935</v>
          </cell>
          <cell r="C939">
            <v>2169.1199999999913</v>
          </cell>
          <cell r="D939">
            <v>3036.77</v>
          </cell>
          <cell r="F939">
            <v>1337.1199999999969</v>
          </cell>
          <cell r="G939">
            <v>1871.97</v>
          </cell>
        </row>
        <row r="940">
          <cell r="B940">
            <v>936</v>
          </cell>
          <cell r="C940">
            <v>2171.4399999999914</v>
          </cell>
          <cell r="D940">
            <v>3040.02</v>
          </cell>
          <cell r="F940">
            <v>1338.549999999997</v>
          </cell>
          <cell r="G940">
            <v>1873.97</v>
          </cell>
        </row>
        <row r="941">
          <cell r="B941">
            <v>937</v>
          </cell>
          <cell r="C941">
            <v>2173.7599999999916</v>
          </cell>
          <cell r="D941">
            <v>3043.26</v>
          </cell>
          <cell r="F941">
            <v>1339.9799999999971</v>
          </cell>
          <cell r="G941">
            <v>1875.97</v>
          </cell>
        </row>
        <row r="942">
          <cell r="B942">
            <v>938</v>
          </cell>
          <cell r="C942">
            <v>2176.0799999999917</v>
          </cell>
          <cell r="D942">
            <v>3046.51</v>
          </cell>
          <cell r="F942">
            <v>1341.4099999999971</v>
          </cell>
          <cell r="G942">
            <v>1877.97</v>
          </cell>
        </row>
        <row r="943">
          <cell r="B943">
            <v>939</v>
          </cell>
          <cell r="C943">
            <v>2178.3999999999919</v>
          </cell>
          <cell r="D943">
            <v>3049.76</v>
          </cell>
          <cell r="F943">
            <v>1342.8399999999972</v>
          </cell>
          <cell r="G943">
            <v>1879.98</v>
          </cell>
        </row>
        <row r="944">
          <cell r="B944">
            <v>940</v>
          </cell>
          <cell r="C944">
            <v>2180.7199999999921</v>
          </cell>
          <cell r="D944">
            <v>3053.01</v>
          </cell>
          <cell r="F944">
            <v>1344.2699999999973</v>
          </cell>
          <cell r="G944">
            <v>1881.98</v>
          </cell>
        </row>
        <row r="945">
          <cell r="B945">
            <v>941</v>
          </cell>
          <cell r="C945">
            <v>2183.0399999999922</v>
          </cell>
          <cell r="D945">
            <v>3056.26</v>
          </cell>
          <cell r="F945">
            <v>1345.6999999999973</v>
          </cell>
          <cell r="G945">
            <v>1883.98</v>
          </cell>
        </row>
        <row r="946">
          <cell r="B946">
            <v>942</v>
          </cell>
          <cell r="C946">
            <v>2185.3599999999924</v>
          </cell>
          <cell r="D946">
            <v>3059.5</v>
          </cell>
          <cell r="F946">
            <v>1347.1299999999974</v>
          </cell>
          <cell r="G946">
            <v>1885.98</v>
          </cell>
        </row>
        <row r="947">
          <cell r="B947">
            <v>943</v>
          </cell>
          <cell r="C947">
            <v>2187.6799999999926</v>
          </cell>
          <cell r="D947">
            <v>3062.75</v>
          </cell>
          <cell r="F947">
            <v>1348.5599999999974</v>
          </cell>
          <cell r="G947">
            <v>1887.98</v>
          </cell>
        </row>
        <row r="948">
          <cell r="B948">
            <v>944</v>
          </cell>
          <cell r="C948">
            <v>2189.9999999999927</v>
          </cell>
          <cell r="D948">
            <v>3066</v>
          </cell>
          <cell r="F948">
            <v>1349.9899999999975</v>
          </cell>
          <cell r="G948">
            <v>1889.99</v>
          </cell>
        </row>
        <row r="949">
          <cell r="B949">
            <v>945</v>
          </cell>
          <cell r="C949">
            <v>2192.3199999999929</v>
          </cell>
          <cell r="D949">
            <v>3069.25</v>
          </cell>
          <cell r="F949">
            <v>1351.4199999999976</v>
          </cell>
          <cell r="G949">
            <v>1891.99</v>
          </cell>
        </row>
        <row r="950">
          <cell r="B950">
            <v>946</v>
          </cell>
          <cell r="C950">
            <v>2194.6399999999931</v>
          </cell>
          <cell r="D950">
            <v>3072.5</v>
          </cell>
          <cell r="F950">
            <v>1352.8499999999976</v>
          </cell>
          <cell r="G950">
            <v>1893.99</v>
          </cell>
        </row>
        <row r="951">
          <cell r="B951">
            <v>947</v>
          </cell>
          <cell r="C951">
            <v>2196.9599999999932</v>
          </cell>
          <cell r="D951">
            <v>3075.74</v>
          </cell>
          <cell r="F951">
            <v>1354.2799999999977</v>
          </cell>
          <cell r="G951">
            <v>1895.99</v>
          </cell>
        </row>
        <row r="952">
          <cell r="B952">
            <v>948</v>
          </cell>
          <cell r="C952">
            <v>2199.2799999999934</v>
          </cell>
          <cell r="D952">
            <v>3078.99</v>
          </cell>
          <cell r="F952">
            <v>1355.7099999999978</v>
          </cell>
          <cell r="G952">
            <v>1897.99</v>
          </cell>
        </row>
        <row r="953">
          <cell r="B953">
            <v>949</v>
          </cell>
          <cell r="C953">
            <v>2201.5999999999935</v>
          </cell>
          <cell r="D953">
            <v>3082.24</v>
          </cell>
          <cell r="F953">
            <v>1357.1399999999978</v>
          </cell>
          <cell r="G953">
            <v>1900</v>
          </cell>
        </row>
        <row r="954">
          <cell r="B954">
            <v>950</v>
          </cell>
          <cell r="C954">
            <v>2203.9199999999937</v>
          </cell>
          <cell r="D954">
            <v>3085.49</v>
          </cell>
          <cell r="F954">
            <v>1358.5699999999979</v>
          </cell>
          <cell r="G954">
            <v>1902</v>
          </cell>
        </row>
        <row r="955">
          <cell r="B955">
            <v>951</v>
          </cell>
          <cell r="C955">
            <v>2206.2399999999939</v>
          </cell>
          <cell r="D955">
            <v>3088.74</v>
          </cell>
          <cell r="F955">
            <v>1359.999999999998</v>
          </cell>
          <cell r="G955">
            <v>1904</v>
          </cell>
        </row>
        <row r="956">
          <cell r="B956">
            <v>952</v>
          </cell>
          <cell r="C956">
            <v>2208.559999999994</v>
          </cell>
          <cell r="D956">
            <v>3091.98</v>
          </cell>
          <cell r="F956">
            <v>1361.429999999998</v>
          </cell>
          <cell r="G956">
            <v>1906</v>
          </cell>
        </row>
        <row r="957">
          <cell r="B957">
            <v>953</v>
          </cell>
          <cell r="C957">
            <v>2210.8799999999942</v>
          </cell>
          <cell r="D957">
            <v>3095.23</v>
          </cell>
          <cell r="F957">
            <v>1362.8599999999981</v>
          </cell>
          <cell r="G957">
            <v>1908</v>
          </cell>
        </row>
        <row r="958">
          <cell r="B958">
            <v>954</v>
          </cell>
          <cell r="C958">
            <v>2213.1999999999944</v>
          </cell>
          <cell r="D958">
            <v>3098.48</v>
          </cell>
          <cell r="F958">
            <v>1364.2899999999981</v>
          </cell>
          <cell r="G958">
            <v>1910.01</v>
          </cell>
        </row>
        <row r="959">
          <cell r="B959">
            <v>955</v>
          </cell>
          <cell r="C959">
            <v>2215.5199999999945</v>
          </cell>
          <cell r="D959">
            <v>3101.73</v>
          </cell>
          <cell r="F959">
            <v>1365.7199999999982</v>
          </cell>
          <cell r="G959">
            <v>1912.01</v>
          </cell>
        </row>
        <row r="960">
          <cell r="B960">
            <v>956</v>
          </cell>
          <cell r="C960">
            <v>2217.8399999999947</v>
          </cell>
          <cell r="D960">
            <v>3104.98</v>
          </cell>
          <cell r="F960">
            <v>1367.1499999999983</v>
          </cell>
          <cell r="G960">
            <v>1914.01</v>
          </cell>
        </row>
        <row r="961">
          <cell r="B961">
            <v>957</v>
          </cell>
          <cell r="C961">
            <v>2220.1599999999949</v>
          </cell>
          <cell r="D961">
            <v>3108.22</v>
          </cell>
          <cell r="F961">
            <v>1368.5799999999983</v>
          </cell>
          <cell r="G961">
            <v>1916.01</v>
          </cell>
        </row>
        <row r="962">
          <cell r="B962">
            <v>958</v>
          </cell>
          <cell r="C962">
            <v>2222.479999999995</v>
          </cell>
          <cell r="D962">
            <v>3111.47</v>
          </cell>
          <cell r="F962">
            <v>1370.0099999999984</v>
          </cell>
          <cell r="G962">
            <v>1918.01</v>
          </cell>
        </row>
        <row r="963">
          <cell r="B963">
            <v>959</v>
          </cell>
          <cell r="C963">
            <v>2224.7999999999952</v>
          </cell>
          <cell r="D963">
            <v>3114.72</v>
          </cell>
          <cell r="F963">
            <v>1371.4399999999985</v>
          </cell>
          <cell r="G963">
            <v>1920.02</v>
          </cell>
        </row>
        <row r="964">
          <cell r="B964">
            <v>960</v>
          </cell>
          <cell r="C964">
            <v>2227.1199999999953</v>
          </cell>
          <cell r="D964">
            <v>3117.97</v>
          </cell>
          <cell r="F964">
            <v>1372.8699999999985</v>
          </cell>
          <cell r="G964">
            <v>1922.02</v>
          </cell>
        </row>
        <row r="965">
          <cell r="B965">
            <v>961</v>
          </cell>
          <cell r="C965">
            <v>2229.4399999999955</v>
          </cell>
          <cell r="D965">
            <v>3121.22</v>
          </cell>
          <cell r="F965">
            <v>1374.2999999999986</v>
          </cell>
          <cell r="G965">
            <v>1924.02</v>
          </cell>
        </row>
        <row r="966">
          <cell r="B966">
            <v>962</v>
          </cell>
          <cell r="C966">
            <v>2231.7599999999957</v>
          </cell>
          <cell r="D966">
            <v>3124.46</v>
          </cell>
          <cell r="F966">
            <v>1375.7299999999987</v>
          </cell>
          <cell r="G966">
            <v>1926.02</v>
          </cell>
        </row>
        <row r="967">
          <cell r="B967">
            <v>963</v>
          </cell>
          <cell r="C967">
            <v>2234.0799999999958</v>
          </cell>
          <cell r="D967">
            <v>3127.71</v>
          </cell>
          <cell r="F967">
            <v>1377.1599999999987</v>
          </cell>
          <cell r="G967">
            <v>1928.02</v>
          </cell>
        </row>
        <row r="968">
          <cell r="B968">
            <v>964</v>
          </cell>
          <cell r="C968">
            <v>2236.399999999996</v>
          </cell>
          <cell r="D968">
            <v>3130.96</v>
          </cell>
          <cell r="F968">
            <v>1378.5899999999988</v>
          </cell>
          <cell r="G968">
            <v>1930.03</v>
          </cell>
        </row>
        <row r="969">
          <cell r="B969">
            <v>965</v>
          </cell>
          <cell r="C969">
            <v>2238.7199999999962</v>
          </cell>
          <cell r="D969">
            <v>3134.21</v>
          </cell>
          <cell r="F969">
            <v>1380.0199999999988</v>
          </cell>
          <cell r="G969">
            <v>1932.03</v>
          </cell>
        </row>
        <row r="970">
          <cell r="B970">
            <v>966</v>
          </cell>
          <cell r="C970">
            <v>2241.0399999999963</v>
          </cell>
          <cell r="D970">
            <v>3137.46</v>
          </cell>
          <cell r="F970">
            <v>1381.4499999999989</v>
          </cell>
          <cell r="G970">
            <v>1934.03</v>
          </cell>
        </row>
        <row r="971">
          <cell r="B971">
            <v>967</v>
          </cell>
          <cell r="C971">
            <v>2243.3599999999965</v>
          </cell>
          <cell r="D971">
            <v>3140.7</v>
          </cell>
          <cell r="F971">
            <v>1382.879999999999</v>
          </cell>
          <cell r="G971">
            <v>1936.03</v>
          </cell>
        </row>
        <row r="972">
          <cell r="B972">
            <v>968</v>
          </cell>
          <cell r="C972">
            <v>2245.6799999999967</v>
          </cell>
          <cell r="D972">
            <v>3143.95</v>
          </cell>
          <cell r="F972">
            <v>1384.309999999999</v>
          </cell>
          <cell r="G972">
            <v>1938.03</v>
          </cell>
        </row>
        <row r="973">
          <cell r="B973">
            <v>969</v>
          </cell>
          <cell r="C973">
            <v>2247.9999999999968</v>
          </cell>
          <cell r="D973">
            <v>3147.2</v>
          </cell>
          <cell r="F973">
            <v>1385.7399999999991</v>
          </cell>
          <cell r="G973">
            <v>1940.04</v>
          </cell>
        </row>
        <row r="974">
          <cell r="B974">
            <v>970</v>
          </cell>
          <cell r="C974">
            <v>2250.319999999997</v>
          </cell>
          <cell r="D974">
            <v>3150.45</v>
          </cell>
          <cell r="F974">
            <v>1387.1699999999992</v>
          </cell>
          <cell r="G974">
            <v>1942.04</v>
          </cell>
        </row>
        <row r="975">
          <cell r="B975">
            <v>971</v>
          </cell>
          <cell r="C975">
            <v>2252.6399999999971</v>
          </cell>
          <cell r="D975">
            <v>3153.7</v>
          </cell>
          <cell r="F975">
            <v>1388.5999999999992</v>
          </cell>
          <cell r="G975">
            <v>1944.04</v>
          </cell>
        </row>
        <row r="976">
          <cell r="B976">
            <v>972</v>
          </cell>
          <cell r="C976">
            <v>2254.9599999999973</v>
          </cell>
          <cell r="D976">
            <v>3156.94</v>
          </cell>
          <cell r="F976">
            <v>1390.0299999999993</v>
          </cell>
          <cell r="G976">
            <v>1946.04</v>
          </cell>
        </row>
        <row r="977">
          <cell r="B977">
            <v>973</v>
          </cell>
          <cell r="C977">
            <v>2257.2799999999975</v>
          </cell>
          <cell r="D977">
            <v>3160.19</v>
          </cell>
          <cell r="F977">
            <v>1391.4599999999994</v>
          </cell>
          <cell r="G977">
            <v>1948.04</v>
          </cell>
        </row>
        <row r="978">
          <cell r="B978">
            <v>974</v>
          </cell>
          <cell r="C978">
            <v>2259.5999999999976</v>
          </cell>
          <cell r="D978">
            <v>3163.44</v>
          </cell>
          <cell r="F978">
            <v>1392.8899999999994</v>
          </cell>
          <cell r="G978">
            <v>1950.05</v>
          </cell>
        </row>
        <row r="979">
          <cell r="B979">
            <v>975</v>
          </cell>
          <cell r="C979">
            <v>2261.9199999999978</v>
          </cell>
          <cell r="D979">
            <v>3166.69</v>
          </cell>
          <cell r="F979">
            <v>1394.3199999999995</v>
          </cell>
          <cell r="G979">
            <v>1952.05</v>
          </cell>
        </row>
        <row r="980">
          <cell r="B980">
            <v>976</v>
          </cell>
          <cell r="C980">
            <v>2264.239999999998</v>
          </cell>
          <cell r="D980">
            <v>3169.94</v>
          </cell>
          <cell r="F980">
            <v>1395.7499999999995</v>
          </cell>
          <cell r="G980">
            <v>1954.05</v>
          </cell>
        </row>
        <row r="981">
          <cell r="B981">
            <v>977</v>
          </cell>
          <cell r="C981">
            <v>2266.5599999999981</v>
          </cell>
          <cell r="D981">
            <v>3173.18</v>
          </cell>
          <cell r="F981">
            <v>1397.1799999999996</v>
          </cell>
          <cell r="G981">
            <v>1956.05</v>
          </cell>
        </row>
        <row r="982">
          <cell r="B982">
            <v>978</v>
          </cell>
          <cell r="C982">
            <v>2268.8799999999983</v>
          </cell>
          <cell r="D982">
            <v>3176.43</v>
          </cell>
          <cell r="F982">
            <v>1398.6099999999997</v>
          </cell>
          <cell r="G982">
            <v>1958.05</v>
          </cell>
        </row>
        <row r="983">
          <cell r="B983">
            <v>979</v>
          </cell>
          <cell r="C983">
            <v>2271.1999999999985</v>
          </cell>
          <cell r="D983">
            <v>3179.68</v>
          </cell>
          <cell r="F983">
            <v>1400.0399999999997</v>
          </cell>
          <cell r="G983">
            <v>1960.06</v>
          </cell>
        </row>
        <row r="984">
          <cell r="B984">
            <v>980</v>
          </cell>
          <cell r="C984">
            <v>2273.5199999999986</v>
          </cell>
          <cell r="D984">
            <v>3182.93</v>
          </cell>
          <cell r="F984">
            <v>1401.4699999999998</v>
          </cell>
          <cell r="G984">
            <v>1962.06</v>
          </cell>
        </row>
        <row r="985">
          <cell r="B985">
            <v>981</v>
          </cell>
          <cell r="C985">
            <v>2275.8399999999988</v>
          </cell>
          <cell r="D985">
            <v>3186.18</v>
          </cell>
          <cell r="F985">
            <v>1402.8999999999999</v>
          </cell>
          <cell r="G985">
            <v>1964.06</v>
          </cell>
        </row>
        <row r="986">
          <cell r="B986">
            <v>982</v>
          </cell>
          <cell r="C986">
            <v>2278.1599999999989</v>
          </cell>
          <cell r="D986">
            <v>3189.42</v>
          </cell>
          <cell r="F986">
            <v>1404.33</v>
          </cell>
          <cell r="G986">
            <v>1966.06</v>
          </cell>
        </row>
        <row r="987">
          <cell r="B987">
            <v>983</v>
          </cell>
          <cell r="C987">
            <v>2280.4799999999991</v>
          </cell>
          <cell r="D987">
            <v>3192.67</v>
          </cell>
          <cell r="F987">
            <v>1405.76</v>
          </cell>
          <cell r="G987">
            <v>1968.06</v>
          </cell>
        </row>
        <row r="988">
          <cell r="B988">
            <v>984</v>
          </cell>
          <cell r="C988">
            <v>2282.7999999999993</v>
          </cell>
          <cell r="D988">
            <v>3195.92</v>
          </cell>
          <cell r="F988">
            <v>1407.19</v>
          </cell>
          <cell r="G988">
            <v>1970.07</v>
          </cell>
        </row>
        <row r="989">
          <cell r="B989">
            <v>985</v>
          </cell>
          <cell r="C989">
            <v>2285.1199999999994</v>
          </cell>
          <cell r="D989">
            <v>3199.17</v>
          </cell>
          <cell r="F989">
            <v>1408.6200000000001</v>
          </cell>
          <cell r="G989">
            <v>1972.07</v>
          </cell>
        </row>
        <row r="990">
          <cell r="B990">
            <v>986</v>
          </cell>
          <cell r="C990">
            <v>2287.4399999999996</v>
          </cell>
          <cell r="D990">
            <v>3202.42</v>
          </cell>
          <cell r="F990">
            <v>1410.0500000000002</v>
          </cell>
          <cell r="G990">
            <v>1974.07</v>
          </cell>
        </row>
        <row r="991">
          <cell r="B991">
            <v>987</v>
          </cell>
          <cell r="C991">
            <v>2289.7599999999998</v>
          </cell>
          <cell r="D991">
            <v>3205.66</v>
          </cell>
          <cell r="F991">
            <v>1411.4800000000002</v>
          </cell>
          <cell r="G991">
            <v>1976.07</v>
          </cell>
        </row>
        <row r="992">
          <cell r="B992">
            <v>988</v>
          </cell>
          <cell r="C992">
            <v>2292.08</v>
          </cell>
          <cell r="D992">
            <v>3208.91</v>
          </cell>
          <cell r="F992">
            <v>1412.9100000000003</v>
          </cell>
          <cell r="G992">
            <v>1978.07</v>
          </cell>
        </row>
        <row r="993">
          <cell r="B993">
            <v>989</v>
          </cell>
          <cell r="C993">
            <v>2294.4</v>
          </cell>
          <cell r="D993">
            <v>3212.16</v>
          </cell>
          <cell r="F993">
            <v>1414.3400000000004</v>
          </cell>
          <cell r="G993">
            <v>1980.08</v>
          </cell>
        </row>
        <row r="994">
          <cell r="B994">
            <v>990</v>
          </cell>
          <cell r="C994">
            <v>2296.7200000000003</v>
          </cell>
          <cell r="D994">
            <v>3215.41</v>
          </cell>
          <cell r="F994">
            <v>1415.7700000000004</v>
          </cell>
          <cell r="G994">
            <v>1982.08</v>
          </cell>
        </row>
        <row r="995">
          <cell r="B995">
            <v>991</v>
          </cell>
          <cell r="C995">
            <v>2299.0400000000004</v>
          </cell>
          <cell r="D995">
            <v>3218.66</v>
          </cell>
          <cell r="F995">
            <v>1417.2000000000005</v>
          </cell>
          <cell r="G995">
            <v>1984.08</v>
          </cell>
        </row>
        <row r="996">
          <cell r="B996">
            <v>992</v>
          </cell>
          <cell r="C996">
            <v>2301.3600000000006</v>
          </cell>
          <cell r="D996">
            <v>3221.9</v>
          </cell>
          <cell r="F996">
            <v>1418.6300000000006</v>
          </cell>
          <cell r="G996">
            <v>1986.08</v>
          </cell>
        </row>
        <row r="997">
          <cell r="B997">
            <v>993</v>
          </cell>
          <cell r="C997">
            <v>2303.6800000000007</v>
          </cell>
          <cell r="D997">
            <v>3225.15</v>
          </cell>
          <cell r="F997">
            <v>1420.0600000000006</v>
          </cell>
          <cell r="G997">
            <v>1988.08</v>
          </cell>
        </row>
        <row r="998">
          <cell r="B998">
            <v>994</v>
          </cell>
          <cell r="C998">
            <v>2306.0000000000009</v>
          </cell>
          <cell r="D998">
            <v>3228.4</v>
          </cell>
          <cell r="F998">
            <v>1421.4900000000007</v>
          </cell>
          <cell r="G998">
            <v>1990.09</v>
          </cell>
        </row>
        <row r="999">
          <cell r="B999">
            <v>995</v>
          </cell>
          <cell r="C999">
            <v>2308.3200000000011</v>
          </cell>
          <cell r="D999">
            <v>3231.65</v>
          </cell>
          <cell r="F999">
            <v>1422.9200000000008</v>
          </cell>
          <cell r="G999">
            <v>1992.09</v>
          </cell>
        </row>
        <row r="1000">
          <cell r="B1000">
            <v>996</v>
          </cell>
          <cell r="C1000">
            <v>2310.6400000000012</v>
          </cell>
          <cell r="D1000">
            <v>3234.9</v>
          </cell>
          <cell r="F1000">
            <v>1424.3500000000008</v>
          </cell>
          <cell r="G1000">
            <v>1994.09</v>
          </cell>
        </row>
        <row r="1001">
          <cell r="B1001">
            <v>997</v>
          </cell>
          <cell r="C1001">
            <v>2312.9600000000014</v>
          </cell>
          <cell r="D1001">
            <v>3238.14</v>
          </cell>
          <cell r="F1001">
            <v>1425.7800000000009</v>
          </cell>
          <cell r="G1001">
            <v>1996.09</v>
          </cell>
        </row>
        <row r="1002">
          <cell r="B1002">
            <v>998</v>
          </cell>
          <cell r="C1002">
            <v>2315.2800000000016</v>
          </cell>
          <cell r="D1002">
            <v>3241.39</v>
          </cell>
          <cell r="F1002">
            <v>1427.2100000000009</v>
          </cell>
          <cell r="G1002">
            <v>1998.09</v>
          </cell>
        </row>
        <row r="1003">
          <cell r="B1003">
            <v>999</v>
          </cell>
          <cell r="C1003">
            <v>2317.6000000000017</v>
          </cell>
          <cell r="D1003">
            <v>3244.64</v>
          </cell>
          <cell r="F1003">
            <v>1428.640000000001</v>
          </cell>
          <cell r="G1003">
            <v>2000.1</v>
          </cell>
        </row>
        <row r="1004">
          <cell r="B1004">
            <v>1000</v>
          </cell>
          <cell r="C1004">
            <v>2319.9200000000019</v>
          </cell>
          <cell r="D1004">
            <v>3247.89</v>
          </cell>
          <cell r="F1004">
            <v>1430.0700000000011</v>
          </cell>
          <cell r="G1004">
            <v>2002.1</v>
          </cell>
        </row>
        <row r="1006">
          <cell r="C1006" t="str">
            <v>2.32</v>
          </cell>
          <cell r="F1006" t="str">
            <v>1.43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อกข้อมูล"/>
      <sheetName val="กรอกราคาวัสดุ"/>
      <sheetName val="ค่างานต้นทุน"/>
      <sheetName val="ปร.5 road"/>
      <sheetName val="ปร.4 road"/>
      <sheetName val="แผนที่ขนส่ง1"/>
      <sheetName val="ราคาป้าย"/>
      <sheetName val="ราคากลาง"/>
      <sheetName val="แบบสรุปราคากลางงานทางสะพานและท่"/>
      <sheetName val="บัญชี"/>
      <sheetName val="ต่อรอง"/>
      <sheetName val="สรุปงวด"/>
      <sheetName val="งวดเงิน%"/>
      <sheetName val="งานกำแพงปากท่อ"/>
      <sheetName val="รายระบายน้ำ-2"/>
      <sheetName val="อำนวยการ(Bridge)"/>
      <sheetName val="ดอกเบี้ย(Bridge)"/>
      <sheetName val="ดอกเบี้ย(Road)"/>
      <sheetName val="รางระบายน้ำ"/>
      <sheetName val="บ่อพัก"/>
      <sheetName val="ขนาด ท่อ"/>
      <sheetName val="งวดเงิน% (2)"/>
      <sheetName val="(F Road)"/>
      <sheetName val="F(Bridge)"/>
      <sheetName val="Oil(แก้ไขล่าสุด 6 มิย.60)"/>
      <sheetName val="ค่าเสื่อมราคา(แก้ไขล่าสุด 6 มิย"/>
      <sheetName val="บัญชี (2)"/>
      <sheetName val="1.ป้ายจราจร "/>
      <sheetName val="2.สำนักงาน"/>
      <sheetName val="3.ค่าเช่ารถ"/>
      <sheetName val="4.ส่วนร่วม"/>
      <sheetName val="อำนวยการ(Road)"/>
      <sheetName val="Sheet1"/>
      <sheetName val="Sheet2"/>
    </sheetNames>
    <sheetDataSet>
      <sheetData sheetId="0"/>
      <sheetData sheetId="1"/>
      <sheetData sheetId="2">
        <row r="208">
          <cell r="I208">
            <v>1</v>
          </cell>
        </row>
        <row r="210">
          <cell r="I210">
            <v>11.09</v>
          </cell>
        </row>
        <row r="211">
          <cell r="I211">
            <v>11.09</v>
          </cell>
        </row>
        <row r="295">
          <cell r="I295">
            <v>1465.46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1</v>
          </cell>
          <cell r="C5" t="str">
            <v>7.92</v>
          </cell>
          <cell r="D5">
            <v>11.09</v>
          </cell>
          <cell r="E5">
            <v>0</v>
          </cell>
          <cell r="F5" t="str">
            <v>4.35</v>
          </cell>
          <cell r="G5">
            <v>6.09</v>
          </cell>
        </row>
        <row r="6">
          <cell r="B6">
            <v>2</v>
          </cell>
          <cell r="C6" t="str">
            <v>9.54</v>
          </cell>
          <cell r="D6">
            <v>13.36</v>
          </cell>
          <cell r="E6">
            <v>0</v>
          </cell>
          <cell r="F6" t="str">
            <v>5.58</v>
          </cell>
          <cell r="G6">
            <v>7.81</v>
          </cell>
        </row>
        <row r="7">
          <cell r="B7">
            <v>3</v>
          </cell>
          <cell r="C7" t="str">
            <v>11.15</v>
          </cell>
          <cell r="D7">
            <v>15.61</v>
          </cell>
          <cell r="E7">
            <v>0</v>
          </cell>
          <cell r="F7" t="str">
            <v>6.81</v>
          </cell>
          <cell r="G7">
            <v>9.5299999999999994</v>
          </cell>
        </row>
        <row r="8">
          <cell r="B8">
            <v>4</v>
          </cell>
          <cell r="C8" t="str">
            <v>12.77</v>
          </cell>
          <cell r="D8">
            <v>17.88</v>
          </cell>
          <cell r="E8">
            <v>0</v>
          </cell>
          <cell r="F8" t="str">
            <v>8.04</v>
          </cell>
          <cell r="G8">
            <v>11.26</v>
          </cell>
        </row>
        <row r="9">
          <cell r="B9">
            <v>5</v>
          </cell>
          <cell r="C9" t="str">
            <v>14.38</v>
          </cell>
          <cell r="D9">
            <v>20.13</v>
          </cell>
          <cell r="E9">
            <v>0</v>
          </cell>
          <cell r="F9" t="str">
            <v>9.27</v>
          </cell>
          <cell r="G9">
            <v>12.98</v>
          </cell>
        </row>
        <row r="10">
          <cell r="B10">
            <v>6</v>
          </cell>
          <cell r="C10" t="str">
            <v>16</v>
          </cell>
          <cell r="D10">
            <v>22.4</v>
          </cell>
          <cell r="E10">
            <v>0</v>
          </cell>
          <cell r="F10" t="str">
            <v>10.5</v>
          </cell>
          <cell r="G10">
            <v>14.7</v>
          </cell>
        </row>
        <row r="11">
          <cell r="B11">
            <v>7</v>
          </cell>
          <cell r="C11" t="str">
            <v>17.61</v>
          </cell>
          <cell r="D11">
            <v>24.65</v>
          </cell>
          <cell r="E11">
            <v>0</v>
          </cell>
          <cell r="F11" t="str">
            <v>11.73</v>
          </cell>
          <cell r="G11">
            <v>16.420000000000002</v>
          </cell>
        </row>
        <row r="12">
          <cell r="B12">
            <v>8</v>
          </cell>
          <cell r="C12" t="str">
            <v>19.46</v>
          </cell>
          <cell r="D12">
            <v>27.24</v>
          </cell>
          <cell r="E12">
            <v>0</v>
          </cell>
          <cell r="F12" t="str">
            <v>12.96</v>
          </cell>
          <cell r="G12">
            <v>18.14</v>
          </cell>
        </row>
        <row r="13">
          <cell r="B13">
            <v>9</v>
          </cell>
          <cell r="C13" t="str">
            <v>21.74</v>
          </cell>
          <cell r="D13">
            <v>30.44</v>
          </cell>
          <cell r="E13">
            <v>0</v>
          </cell>
          <cell r="F13" t="str">
            <v>14.19</v>
          </cell>
          <cell r="G13">
            <v>19.87</v>
          </cell>
        </row>
        <row r="14">
          <cell r="B14">
            <v>10</v>
          </cell>
          <cell r="C14" t="str">
            <v>24.01</v>
          </cell>
          <cell r="D14">
            <v>33.61</v>
          </cell>
          <cell r="E14">
            <v>0</v>
          </cell>
          <cell r="F14" t="str">
            <v>15.42</v>
          </cell>
          <cell r="G14">
            <v>21.59</v>
          </cell>
        </row>
        <row r="15">
          <cell r="B15">
            <v>11</v>
          </cell>
          <cell r="C15" t="str">
            <v>26.29</v>
          </cell>
          <cell r="D15">
            <v>36.81</v>
          </cell>
          <cell r="E15">
            <v>0</v>
          </cell>
          <cell r="F15" t="str">
            <v>16.65</v>
          </cell>
          <cell r="G15">
            <v>23.31</v>
          </cell>
        </row>
        <row r="16">
          <cell r="B16">
            <v>12</v>
          </cell>
          <cell r="C16" t="str">
            <v>28.56</v>
          </cell>
          <cell r="D16">
            <v>39.979999999999997</v>
          </cell>
          <cell r="E16">
            <v>0</v>
          </cell>
          <cell r="F16" t="str">
            <v>17.89</v>
          </cell>
          <cell r="G16">
            <v>25.05</v>
          </cell>
        </row>
        <row r="17">
          <cell r="B17">
            <v>13</v>
          </cell>
          <cell r="C17" t="str">
            <v>30.84</v>
          </cell>
          <cell r="D17">
            <v>43.18</v>
          </cell>
          <cell r="E17">
            <v>0</v>
          </cell>
          <cell r="F17" t="str">
            <v>19.12</v>
          </cell>
          <cell r="G17">
            <v>26.77</v>
          </cell>
        </row>
        <row r="18">
          <cell r="B18">
            <v>14</v>
          </cell>
          <cell r="C18" t="str">
            <v>33.11</v>
          </cell>
          <cell r="D18">
            <v>46.35</v>
          </cell>
          <cell r="E18">
            <v>0</v>
          </cell>
          <cell r="F18" t="str">
            <v>20.35</v>
          </cell>
          <cell r="G18">
            <v>28.49</v>
          </cell>
        </row>
        <row r="19">
          <cell r="B19">
            <v>15</v>
          </cell>
          <cell r="C19" t="str">
            <v>35.39</v>
          </cell>
          <cell r="D19">
            <v>49.55</v>
          </cell>
          <cell r="E19">
            <v>0</v>
          </cell>
          <cell r="F19" t="str">
            <v>21.64</v>
          </cell>
          <cell r="G19">
            <v>30.3</v>
          </cell>
        </row>
        <row r="20">
          <cell r="B20">
            <v>16</v>
          </cell>
          <cell r="C20" t="str">
            <v>37.67</v>
          </cell>
          <cell r="D20">
            <v>52.74</v>
          </cell>
          <cell r="E20">
            <v>0</v>
          </cell>
          <cell r="F20" t="str">
            <v>23.04</v>
          </cell>
          <cell r="G20">
            <v>32.26</v>
          </cell>
        </row>
        <row r="21">
          <cell r="B21">
            <v>17</v>
          </cell>
          <cell r="C21" t="str">
            <v>39.94</v>
          </cell>
          <cell r="D21">
            <v>55.92</v>
          </cell>
          <cell r="E21">
            <v>0</v>
          </cell>
          <cell r="F21" t="str">
            <v>24.44</v>
          </cell>
          <cell r="G21">
            <v>34.22</v>
          </cell>
        </row>
        <row r="22">
          <cell r="B22">
            <v>18</v>
          </cell>
          <cell r="C22" t="str">
            <v>42.21</v>
          </cell>
          <cell r="D22">
            <v>59.09</v>
          </cell>
          <cell r="E22">
            <v>0</v>
          </cell>
          <cell r="F22" t="str">
            <v>25.84</v>
          </cell>
          <cell r="G22">
            <v>36.18</v>
          </cell>
        </row>
        <row r="23">
          <cell r="B23">
            <v>19</v>
          </cell>
          <cell r="C23" t="str">
            <v>44.49</v>
          </cell>
          <cell r="D23">
            <v>62.29</v>
          </cell>
          <cell r="E23">
            <v>0</v>
          </cell>
          <cell r="F23" t="str">
            <v>27.24</v>
          </cell>
          <cell r="G23">
            <v>38.14</v>
          </cell>
        </row>
        <row r="24">
          <cell r="B24">
            <v>20</v>
          </cell>
          <cell r="C24" t="str">
            <v>46.77</v>
          </cell>
          <cell r="D24">
            <v>65.48</v>
          </cell>
          <cell r="E24">
            <v>0</v>
          </cell>
          <cell r="F24" t="str">
            <v>28.64</v>
          </cell>
          <cell r="G24">
            <v>40.1</v>
          </cell>
        </row>
        <row r="25">
          <cell r="B25">
            <v>21</v>
          </cell>
          <cell r="C25" t="str">
            <v>49.04</v>
          </cell>
          <cell r="D25">
            <v>68.66</v>
          </cell>
          <cell r="E25">
            <v>0</v>
          </cell>
          <cell r="F25" t="str">
            <v>30.04</v>
          </cell>
          <cell r="G25">
            <v>42.06</v>
          </cell>
        </row>
        <row r="26">
          <cell r="B26">
            <v>22</v>
          </cell>
          <cell r="C26" t="str">
            <v>51.32</v>
          </cell>
          <cell r="D26">
            <v>71.849999999999994</v>
          </cell>
          <cell r="E26">
            <v>0</v>
          </cell>
          <cell r="F26" t="str">
            <v>31.44</v>
          </cell>
          <cell r="G26">
            <v>44.02</v>
          </cell>
        </row>
        <row r="27">
          <cell r="B27">
            <v>23</v>
          </cell>
          <cell r="C27" t="str">
            <v>53.59</v>
          </cell>
          <cell r="D27">
            <v>75.03</v>
          </cell>
          <cell r="E27">
            <v>0</v>
          </cell>
          <cell r="F27" t="str">
            <v>32.85</v>
          </cell>
          <cell r="G27">
            <v>45.99</v>
          </cell>
        </row>
        <row r="28">
          <cell r="B28">
            <v>24</v>
          </cell>
          <cell r="C28" t="str">
            <v>55.87</v>
          </cell>
          <cell r="D28">
            <v>78.22</v>
          </cell>
          <cell r="E28">
            <v>0</v>
          </cell>
          <cell r="F28" t="str">
            <v>34.24</v>
          </cell>
          <cell r="G28">
            <v>47.94</v>
          </cell>
        </row>
        <row r="29">
          <cell r="B29">
            <v>25</v>
          </cell>
          <cell r="C29" t="str">
            <v>58.15</v>
          </cell>
          <cell r="D29">
            <v>81.41</v>
          </cell>
          <cell r="E29">
            <v>0</v>
          </cell>
          <cell r="F29" t="str">
            <v>35.65</v>
          </cell>
          <cell r="G29">
            <v>49.91</v>
          </cell>
        </row>
        <row r="30">
          <cell r="B30">
            <v>26</v>
          </cell>
          <cell r="C30" t="str">
            <v>60.42</v>
          </cell>
          <cell r="D30">
            <v>84.59</v>
          </cell>
          <cell r="E30">
            <v>0</v>
          </cell>
          <cell r="F30" t="str">
            <v>37.04</v>
          </cell>
          <cell r="G30">
            <v>51.86</v>
          </cell>
        </row>
        <row r="31">
          <cell r="B31">
            <v>27</v>
          </cell>
          <cell r="C31" t="str">
            <v>62.7</v>
          </cell>
          <cell r="D31">
            <v>87.78</v>
          </cell>
          <cell r="E31">
            <v>0</v>
          </cell>
          <cell r="F31" t="str">
            <v>38.45</v>
          </cell>
          <cell r="G31">
            <v>53.83</v>
          </cell>
        </row>
        <row r="32">
          <cell r="B32">
            <v>28</v>
          </cell>
          <cell r="C32" t="str">
            <v>64.98</v>
          </cell>
          <cell r="D32">
            <v>90.97</v>
          </cell>
          <cell r="E32">
            <v>0</v>
          </cell>
          <cell r="F32" t="str">
            <v>39.85</v>
          </cell>
          <cell r="G32">
            <v>55.79</v>
          </cell>
        </row>
        <row r="33">
          <cell r="B33">
            <v>29</v>
          </cell>
          <cell r="C33" t="str">
            <v>67.24</v>
          </cell>
          <cell r="D33">
            <v>94.14</v>
          </cell>
          <cell r="E33">
            <v>0</v>
          </cell>
          <cell r="F33" t="str">
            <v>41.25</v>
          </cell>
          <cell r="G33">
            <v>57.75</v>
          </cell>
        </row>
        <row r="34">
          <cell r="B34">
            <v>30</v>
          </cell>
          <cell r="C34" t="str">
            <v>69.53</v>
          </cell>
          <cell r="D34">
            <v>97.34</v>
          </cell>
          <cell r="E34">
            <v>0</v>
          </cell>
          <cell r="F34" t="str">
            <v>42.65</v>
          </cell>
          <cell r="G34">
            <v>59.71</v>
          </cell>
        </row>
        <row r="35">
          <cell r="B35">
            <v>31</v>
          </cell>
          <cell r="C35" t="str">
            <v>71.79</v>
          </cell>
          <cell r="D35">
            <v>100.51</v>
          </cell>
          <cell r="E35">
            <v>0</v>
          </cell>
          <cell r="F35" t="str">
            <v>44.05</v>
          </cell>
          <cell r="G35">
            <v>61.67</v>
          </cell>
        </row>
        <row r="36">
          <cell r="B36">
            <v>32</v>
          </cell>
          <cell r="C36" t="str">
            <v>74.08</v>
          </cell>
          <cell r="D36">
            <v>103.71</v>
          </cell>
          <cell r="E36">
            <v>0</v>
          </cell>
          <cell r="F36" t="str">
            <v>45.45</v>
          </cell>
          <cell r="G36">
            <v>63.63</v>
          </cell>
        </row>
        <row r="37">
          <cell r="B37">
            <v>33</v>
          </cell>
          <cell r="C37" t="str">
            <v>76.35</v>
          </cell>
          <cell r="D37">
            <v>106.89</v>
          </cell>
          <cell r="E37">
            <v>0</v>
          </cell>
          <cell r="F37" t="str">
            <v>46.85</v>
          </cell>
          <cell r="G37">
            <v>65.59</v>
          </cell>
        </row>
        <row r="38">
          <cell r="B38">
            <v>34</v>
          </cell>
          <cell r="C38" t="str">
            <v>78.63</v>
          </cell>
          <cell r="D38">
            <v>110.08</v>
          </cell>
          <cell r="E38">
            <v>0</v>
          </cell>
          <cell r="F38" t="str">
            <v>48.25</v>
          </cell>
          <cell r="G38">
            <v>67.55</v>
          </cell>
        </row>
        <row r="39">
          <cell r="B39">
            <v>35</v>
          </cell>
          <cell r="C39" t="str">
            <v>80.89</v>
          </cell>
          <cell r="D39">
            <v>113.25</v>
          </cell>
          <cell r="E39">
            <v>0</v>
          </cell>
          <cell r="F39" t="str">
            <v>49.65</v>
          </cell>
          <cell r="G39">
            <v>69.510000000000005</v>
          </cell>
        </row>
        <row r="40">
          <cell r="B40">
            <v>36</v>
          </cell>
          <cell r="C40" t="str">
            <v>83.18</v>
          </cell>
          <cell r="D40">
            <v>116.45</v>
          </cell>
          <cell r="E40">
            <v>0</v>
          </cell>
          <cell r="F40" t="str">
            <v>51.06</v>
          </cell>
          <cell r="G40">
            <v>71.48</v>
          </cell>
        </row>
        <row r="41">
          <cell r="B41">
            <v>37</v>
          </cell>
          <cell r="C41" t="str">
            <v>85.46</v>
          </cell>
          <cell r="D41">
            <v>119.64</v>
          </cell>
          <cell r="E41">
            <v>0</v>
          </cell>
          <cell r="F41" t="str">
            <v>52.45</v>
          </cell>
          <cell r="G41">
            <v>73.430000000000007</v>
          </cell>
        </row>
        <row r="42">
          <cell r="B42">
            <v>38</v>
          </cell>
          <cell r="C42" t="str">
            <v>87.74</v>
          </cell>
          <cell r="D42">
            <v>122.84</v>
          </cell>
          <cell r="E42">
            <v>0</v>
          </cell>
          <cell r="F42" t="str">
            <v>53.86</v>
          </cell>
          <cell r="G42">
            <v>75.400000000000006</v>
          </cell>
        </row>
        <row r="43">
          <cell r="B43">
            <v>39</v>
          </cell>
          <cell r="C43" t="str">
            <v>90.01</v>
          </cell>
          <cell r="D43">
            <v>126.01</v>
          </cell>
          <cell r="E43">
            <v>0</v>
          </cell>
          <cell r="F43" t="str">
            <v>55.26</v>
          </cell>
          <cell r="G43">
            <v>77.36</v>
          </cell>
        </row>
        <row r="44">
          <cell r="B44">
            <v>40</v>
          </cell>
          <cell r="C44" t="str">
            <v>92.28</v>
          </cell>
          <cell r="D44">
            <v>129.19</v>
          </cell>
          <cell r="E44">
            <v>0</v>
          </cell>
          <cell r="F44" t="str">
            <v>56.66</v>
          </cell>
          <cell r="G44">
            <v>79.319999999999993</v>
          </cell>
        </row>
        <row r="45">
          <cell r="B45">
            <v>41</v>
          </cell>
          <cell r="C45" t="str">
            <v>94.57</v>
          </cell>
          <cell r="D45">
            <v>132.4</v>
          </cell>
          <cell r="E45">
            <v>0</v>
          </cell>
          <cell r="F45" t="str">
            <v>58.06</v>
          </cell>
          <cell r="G45">
            <v>81.28</v>
          </cell>
        </row>
        <row r="46">
          <cell r="B46">
            <v>42</v>
          </cell>
          <cell r="C46" t="str">
            <v>96.84</v>
          </cell>
          <cell r="D46">
            <v>135.58000000000001</v>
          </cell>
          <cell r="E46">
            <v>0</v>
          </cell>
          <cell r="F46" t="str">
            <v>59.47</v>
          </cell>
          <cell r="G46">
            <v>83.26</v>
          </cell>
        </row>
        <row r="47">
          <cell r="B47">
            <v>43</v>
          </cell>
          <cell r="C47" t="str">
            <v>99.11</v>
          </cell>
          <cell r="D47">
            <v>138.75</v>
          </cell>
          <cell r="E47">
            <v>0</v>
          </cell>
          <cell r="F47" t="str">
            <v>60.86</v>
          </cell>
          <cell r="G47">
            <v>85.2</v>
          </cell>
        </row>
        <row r="48">
          <cell r="B48">
            <v>44</v>
          </cell>
          <cell r="C48" t="str">
            <v>101.39</v>
          </cell>
          <cell r="D48">
            <v>141.94999999999999</v>
          </cell>
          <cell r="E48">
            <v>0</v>
          </cell>
          <cell r="F48" t="str">
            <v>62.27</v>
          </cell>
          <cell r="G48">
            <v>87.18</v>
          </cell>
        </row>
        <row r="49">
          <cell r="B49">
            <v>45</v>
          </cell>
          <cell r="C49" t="str">
            <v>103.66</v>
          </cell>
          <cell r="D49">
            <v>145.12</v>
          </cell>
          <cell r="E49">
            <v>0</v>
          </cell>
          <cell r="F49" t="str">
            <v>63.67</v>
          </cell>
          <cell r="G49">
            <v>89.14</v>
          </cell>
        </row>
        <row r="50">
          <cell r="B50">
            <v>46</v>
          </cell>
          <cell r="C50" t="str">
            <v>105.94</v>
          </cell>
          <cell r="D50">
            <v>148.32</v>
          </cell>
          <cell r="E50">
            <v>0</v>
          </cell>
          <cell r="F50" t="str">
            <v>65.07</v>
          </cell>
          <cell r="G50">
            <v>91.1</v>
          </cell>
        </row>
        <row r="51">
          <cell r="B51">
            <v>47</v>
          </cell>
          <cell r="C51" t="str">
            <v>108.21</v>
          </cell>
          <cell r="D51">
            <v>151.49</v>
          </cell>
          <cell r="E51">
            <v>0</v>
          </cell>
          <cell r="F51" t="str">
            <v>66.47</v>
          </cell>
          <cell r="G51">
            <v>93.06</v>
          </cell>
        </row>
        <row r="52">
          <cell r="B52">
            <v>48</v>
          </cell>
          <cell r="C52" t="str">
            <v>110.49</v>
          </cell>
          <cell r="D52">
            <v>154.69</v>
          </cell>
          <cell r="E52">
            <v>0</v>
          </cell>
          <cell r="F52" t="str">
            <v>67.86</v>
          </cell>
          <cell r="G52">
            <v>95</v>
          </cell>
        </row>
        <row r="53">
          <cell r="B53">
            <v>49</v>
          </cell>
          <cell r="C53" t="str">
            <v>112.75</v>
          </cell>
          <cell r="D53">
            <v>157.85</v>
          </cell>
          <cell r="E53">
            <v>0</v>
          </cell>
          <cell r="F53" t="str">
            <v>69.27</v>
          </cell>
          <cell r="G53">
            <v>96.98</v>
          </cell>
        </row>
        <row r="54">
          <cell r="B54">
            <v>50</v>
          </cell>
          <cell r="C54" t="str">
            <v>115.02</v>
          </cell>
          <cell r="D54">
            <v>161.03</v>
          </cell>
          <cell r="E54">
            <v>0</v>
          </cell>
          <cell r="F54" t="str">
            <v>70.67</v>
          </cell>
          <cell r="G54">
            <v>98.94</v>
          </cell>
        </row>
        <row r="55">
          <cell r="B55">
            <v>51</v>
          </cell>
          <cell r="C55" t="str">
            <v>117.31</v>
          </cell>
          <cell r="D55">
            <v>164.23</v>
          </cell>
          <cell r="E55">
            <v>0</v>
          </cell>
          <cell r="F55" t="str">
            <v>72.08</v>
          </cell>
          <cell r="G55">
            <v>100.91</v>
          </cell>
        </row>
        <row r="56">
          <cell r="B56">
            <v>52</v>
          </cell>
          <cell r="C56" t="str">
            <v>119.57</v>
          </cell>
          <cell r="D56">
            <v>167.4</v>
          </cell>
          <cell r="E56">
            <v>0</v>
          </cell>
          <cell r="F56" t="str">
            <v>73.47</v>
          </cell>
          <cell r="G56">
            <v>102.86</v>
          </cell>
        </row>
        <row r="57">
          <cell r="B57">
            <v>53</v>
          </cell>
          <cell r="C57" t="str">
            <v>121.85</v>
          </cell>
          <cell r="D57">
            <v>170.59</v>
          </cell>
          <cell r="E57">
            <v>0</v>
          </cell>
          <cell r="F57" t="str">
            <v>74.87</v>
          </cell>
          <cell r="G57">
            <v>104.82</v>
          </cell>
        </row>
        <row r="58">
          <cell r="B58">
            <v>54</v>
          </cell>
          <cell r="C58" t="str">
            <v>124.14</v>
          </cell>
          <cell r="D58">
            <v>173.8</v>
          </cell>
          <cell r="E58">
            <v>0</v>
          </cell>
          <cell r="F58" t="str">
            <v>76.27</v>
          </cell>
          <cell r="G58">
            <v>106.78</v>
          </cell>
        </row>
        <row r="59">
          <cell r="B59">
            <v>55</v>
          </cell>
          <cell r="C59" t="str">
            <v>126.4</v>
          </cell>
          <cell r="D59">
            <v>176.96</v>
          </cell>
          <cell r="E59">
            <v>0</v>
          </cell>
          <cell r="F59" t="str">
            <v>77.68</v>
          </cell>
          <cell r="G59">
            <v>108.75</v>
          </cell>
        </row>
        <row r="60">
          <cell r="B60">
            <v>56</v>
          </cell>
          <cell r="C60" t="str">
            <v>128.67</v>
          </cell>
          <cell r="D60">
            <v>180.14</v>
          </cell>
          <cell r="E60">
            <v>0</v>
          </cell>
          <cell r="F60" t="str">
            <v>79.07</v>
          </cell>
          <cell r="G60">
            <v>110.7</v>
          </cell>
        </row>
        <row r="61">
          <cell r="B61">
            <v>57</v>
          </cell>
          <cell r="C61" t="str">
            <v>130.96</v>
          </cell>
          <cell r="D61">
            <v>183.34</v>
          </cell>
          <cell r="E61">
            <v>0</v>
          </cell>
          <cell r="F61" t="str">
            <v>80.47</v>
          </cell>
          <cell r="G61">
            <v>112.66</v>
          </cell>
        </row>
        <row r="62">
          <cell r="B62">
            <v>58</v>
          </cell>
          <cell r="C62" t="str">
            <v>133.26</v>
          </cell>
          <cell r="D62">
            <v>186.56</v>
          </cell>
          <cell r="E62">
            <v>0</v>
          </cell>
          <cell r="F62" t="str">
            <v>81.87</v>
          </cell>
          <cell r="G62">
            <v>114.62</v>
          </cell>
        </row>
        <row r="63">
          <cell r="B63">
            <v>59</v>
          </cell>
          <cell r="C63" t="str">
            <v>135.52</v>
          </cell>
          <cell r="D63">
            <v>189.73</v>
          </cell>
          <cell r="E63">
            <v>0</v>
          </cell>
          <cell r="F63" t="str">
            <v>83.28</v>
          </cell>
          <cell r="G63">
            <v>116.59</v>
          </cell>
        </row>
        <row r="64">
          <cell r="B64">
            <v>60</v>
          </cell>
          <cell r="C64" t="str">
            <v>137.79</v>
          </cell>
          <cell r="D64">
            <v>192.91</v>
          </cell>
          <cell r="E64">
            <v>0</v>
          </cell>
          <cell r="F64" t="str">
            <v>84.69</v>
          </cell>
          <cell r="G64">
            <v>118.57</v>
          </cell>
        </row>
        <row r="65">
          <cell r="B65">
            <v>61</v>
          </cell>
          <cell r="C65" t="str">
            <v>140.08</v>
          </cell>
          <cell r="D65">
            <v>196.11</v>
          </cell>
          <cell r="E65">
            <v>0</v>
          </cell>
          <cell r="F65" t="str">
            <v>86.08</v>
          </cell>
          <cell r="G65">
            <v>120.51</v>
          </cell>
        </row>
        <row r="66">
          <cell r="B66">
            <v>62</v>
          </cell>
          <cell r="C66" t="str">
            <v>142.38</v>
          </cell>
          <cell r="D66">
            <v>199.33</v>
          </cell>
          <cell r="E66">
            <v>0</v>
          </cell>
          <cell r="F66" t="str">
            <v>87.48</v>
          </cell>
          <cell r="G66">
            <v>122.47</v>
          </cell>
        </row>
        <row r="67">
          <cell r="B67">
            <v>63</v>
          </cell>
          <cell r="C67" t="str">
            <v>144.62</v>
          </cell>
          <cell r="D67">
            <v>202.47</v>
          </cell>
          <cell r="E67">
            <v>0</v>
          </cell>
          <cell r="F67" t="str">
            <v>88.88</v>
          </cell>
          <cell r="G67">
            <v>124.43</v>
          </cell>
        </row>
        <row r="68">
          <cell r="B68">
            <v>64</v>
          </cell>
          <cell r="C68" t="str">
            <v>146.88</v>
          </cell>
          <cell r="D68">
            <v>205.63</v>
          </cell>
          <cell r="E68">
            <v>0</v>
          </cell>
          <cell r="F68" t="str">
            <v>90.29</v>
          </cell>
          <cell r="G68">
            <v>126.41</v>
          </cell>
        </row>
        <row r="69">
          <cell r="B69">
            <v>65</v>
          </cell>
          <cell r="C69" t="str">
            <v>149.15</v>
          </cell>
          <cell r="D69">
            <v>208.81</v>
          </cell>
          <cell r="E69">
            <v>0</v>
          </cell>
          <cell r="F69" t="str">
            <v>91.68</v>
          </cell>
          <cell r="G69">
            <v>128.35</v>
          </cell>
        </row>
        <row r="70">
          <cell r="B70">
            <v>66</v>
          </cell>
          <cell r="C70" t="str">
            <v>151.44</v>
          </cell>
          <cell r="D70">
            <v>212.02</v>
          </cell>
          <cell r="E70">
            <v>0</v>
          </cell>
          <cell r="F70" t="str">
            <v>93.09</v>
          </cell>
          <cell r="G70">
            <v>130.33000000000001</v>
          </cell>
        </row>
        <row r="71">
          <cell r="B71">
            <v>67</v>
          </cell>
          <cell r="C71" t="str">
            <v>153.74</v>
          </cell>
          <cell r="D71">
            <v>215.24</v>
          </cell>
          <cell r="E71">
            <v>0</v>
          </cell>
          <cell r="F71" t="str">
            <v>94.49</v>
          </cell>
          <cell r="G71">
            <v>132.29</v>
          </cell>
        </row>
        <row r="72">
          <cell r="B72">
            <v>68</v>
          </cell>
          <cell r="C72" t="str">
            <v>155.97</v>
          </cell>
          <cell r="D72">
            <v>218.36</v>
          </cell>
          <cell r="E72">
            <v>0</v>
          </cell>
          <cell r="F72" t="str">
            <v>95.88</v>
          </cell>
          <cell r="G72">
            <v>134.22999999999999</v>
          </cell>
        </row>
        <row r="73">
          <cell r="B73">
            <v>69</v>
          </cell>
          <cell r="C73" t="str">
            <v>158.29</v>
          </cell>
          <cell r="D73">
            <v>221.61</v>
          </cell>
          <cell r="E73">
            <v>0</v>
          </cell>
          <cell r="F73" t="str">
            <v>97.28</v>
          </cell>
          <cell r="G73">
            <v>136.19</v>
          </cell>
        </row>
        <row r="74">
          <cell r="B74">
            <v>70</v>
          </cell>
          <cell r="C74" t="str">
            <v>160.55</v>
          </cell>
          <cell r="D74">
            <v>224.77</v>
          </cell>
          <cell r="E74">
            <v>0</v>
          </cell>
          <cell r="F74" t="str">
            <v>98.69</v>
          </cell>
          <cell r="G74">
            <v>138.16999999999999</v>
          </cell>
        </row>
        <row r="75">
          <cell r="B75">
            <v>71</v>
          </cell>
          <cell r="C75" t="str">
            <v>162.82</v>
          </cell>
          <cell r="D75">
            <v>227.95</v>
          </cell>
          <cell r="E75">
            <v>0</v>
          </cell>
          <cell r="F75" t="str">
            <v>100.09</v>
          </cell>
          <cell r="G75">
            <v>140.13</v>
          </cell>
        </row>
        <row r="76">
          <cell r="B76">
            <v>72</v>
          </cell>
          <cell r="C76" t="str">
            <v>165.09</v>
          </cell>
          <cell r="D76">
            <v>231.13</v>
          </cell>
          <cell r="E76">
            <v>0</v>
          </cell>
          <cell r="F76" t="str">
            <v>101.5</v>
          </cell>
          <cell r="G76">
            <v>142.1</v>
          </cell>
        </row>
        <row r="77">
          <cell r="B77">
            <v>73</v>
          </cell>
          <cell r="C77" t="str">
            <v>167.38</v>
          </cell>
          <cell r="D77">
            <v>234.33</v>
          </cell>
          <cell r="E77">
            <v>0</v>
          </cell>
          <cell r="F77" t="str">
            <v>102.89</v>
          </cell>
          <cell r="G77">
            <v>144.05000000000001</v>
          </cell>
        </row>
        <row r="78">
          <cell r="B78">
            <v>74</v>
          </cell>
          <cell r="C78" t="str">
            <v>169.69</v>
          </cell>
          <cell r="D78">
            <v>237.57</v>
          </cell>
          <cell r="E78">
            <v>0</v>
          </cell>
          <cell r="F78" t="str">
            <v>104.31</v>
          </cell>
          <cell r="G78">
            <v>146.03</v>
          </cell>
        </row>
        <row r="79">
          <cell r="B79">
            <v>75</v>
          </cell>
          <cell r="C79" t="str">
            <v>171.91</v>
          </cell>
          <cell r="D79">
            <v>240.67</v>
          </cell>
          <cell r="E79">
            <v>0</v>
          </cell>
          <cell r="F79" t="str">
            <v>105.7</v>
          </cell>
          <cell r="G79">
            <v>147.97999999999999</v>
          </cell>
        </row>
        <row r="80">
          <cell r="B80">
            <v>76</v>
          </cell>
          <cell r="C80" t="str">
            <v>174.23</v>
          </cell>
          <cell r="D80">
            <v>243.92</v>
          </cell>
          <cell r="E80">
            <v>0</v>
          </cell>
          <cell r="F80" t="str">
            <v>107.1</v>
          </cell>
          <cell r="G80">
            <v>149.94</v>
          </cell>
        </row>
        <row r="81">
          <cell r="B81">
            <v>77</v>
          </cell>
          <cell r="C81" t="str">
            <v>176.47</v>
          </cell>
          <cell r="D81">
            <v>247.06</v>
          </cell>
          <cell r="E81">
            <v>0</v>
          </cell>
          <cell r="F81" t="str">
            <v>108.5</v>
          </cell>
          <cell r="G81">
            <v>151.9</v>
          </cell>
        </row>
        <row r="82">
          <cell r="B82">
            <v>78</v>
          </cell>
          <cell r="C82" t="str">
            <v>178.72</v>
          </cell>
          <cell r="D82">
            <v>250.21</v>
          </cell>
          <cell r="E82">
            <v>0</v>
          </cell>
          <cell r="F82" t="str">
            <v>109.9</v>
          </cell>
          <cell r="G82">
            <v>153.86000000000001</v>
          </cell>
        </row>
        <row r="83">
          <cell r="B83">
            <v>79</v>
          </cell>
          <cell r="C83" t="str">
            <v>181.09</v>
          </cell>
          <cell r="D83">
            <v>253.53</v>
          </cell>
          <cell r="E83">
            <v>0</v>
          </cell>
          <cell r="F83" t="str">
            <v>111.3</v>
          </cell>
          <cell r="G83">
            <v>155.82</v>
          </cell>
        </row>
        <row r="84">
          <cell r="B84">
            <v>80</v>
          </cell>
          <cell r="C84" t="str">
            <v>183.36</v>
          </cell>
          <cell r="D84">
            <v>256.7</v>
          </cell>
          <cell r="E84">
            <v>0</v>
          </cell>
          <cell r="F84" t="str">
            <v>112.71</v>
          </cell>
          <cell r="G84">
            <v>157.79</v>
          </cell>
        </row>
        <row r="85">
          <cell r="B85">
            <v>81</v>
          </cell>
          <cell r="C85" t="str">
            <v>185.64</v>
          </cell>
          <cell r="D85">
            <v>259.89999999999998</v>
          </cell>
          <cell r="E85">
            <v>0</v>
          </cell>
          <cell r="F85" t="str">
            <v>114.12</v>
          </cell>
          <cell r="G85">
            <v>159.77000000000001</v>
          </cell>
        </row>
        <row r="86">
          <cell r="B86">
            <v>82</v>
          </cell>
          <cell r="C86" t="str">
            <v>187.82</v>
          </cell>
          <cell r="D86">
            <v>262.95</v>
          </cell>
          <cell r="E86">
            <v>0</v>
          </cell>
          <cell r="F86" t="str">
            <v>115.5</v>
          </cell>
          <cell r="G86">
            <v>161.69999999999999</v>
          </cell>
        </row>
        <row r="87">
          <cell r="B87">
            <v>83</v>
          </cell>
          <cell r="C87" t="str">
            <v>190.12</v>
          </cell>
          <cell r="D87">
            <v>266.17</v>
          </cell>
          <cell r="E87">
            <v>0</v>
          </cell>
          <cell r="F87" t="str">
            <v>116.92</v>
          </cell>
          <cell r="G87">
            <v>163.69</v>
          </cell>
        </row>
        <row r="88">
          <cell r="B88">
            <v>84</v>
          </cell>
          <cell r="C88" t="str">
            <v>192.43</v>
          </cell>
          <cell r="D88">
            <v>269.39999999999998</v>
          </cell>
          <cell r="E88">
            <v>0</v>
          </cell>
          <cell r="F88" t="str">
            <v>118.3</v>
          </cell>
          <cell r="G88">
            <v>165.62</v>
          </cell>
        </row>
        <row r="89">
          <cell r="B89">
            <v>85</v>
          </cell>
          <cell r="C89" t="str">
            <v>194.76</v>
          </cell>
          <cell r="D89">
            <v>272.66000000000003</v>
          </cell>
          <cell r="E89">
            <v>0</v>
          </cell>
          <cell r="F89" t="str">
            <v>119.72</v>
          </cell>
          <cell r="G89">
            <v>167.61</v>
          </cell>
        </row>
        <row r="90">
          <cell r="B90">
            <v>86</v>
          </cell>
          <cell r="C90" t="str">
            <v>196.97</v>
          </cell>
          <cell r="D90">
            <v>275.76</v>
          </cell>
          <cell r="E90">
            <v>0</v>
          </cell>
          <cell r="F90" t="str">
            <v>121.11</v>
          </cell>
          <cell r="G90">
            <v>169.55</v>
          </cell>
        </row>
        <row r="91">
          <cell r="B91">
            <v>87</v>
          </cell>
          <cell r="C91" t="str">
            <v>199.19</v>
          </cell>
          <cell r="D91">
            <v>278.87</v>
          </cell>
          <cell r="E91">
            <v>0</v>
          </cell>
          <cell r="F91" t="str">
            <v>122.51</v>
          </cell>
          <cell r="G91">
            <v>171.51</v>
          </cell>
        </row>
        <row r="92">
          <cell r="B92">
            <v>88</v>
          </cell>
          <cell r="C92" t="str">
            <v>201.55</v>
          </cell>
          <cell r="D92">
            <v>282.17</v>
          </cell>
          <cell r="E92">
            <v>0</v>
          </cell>
          <cell r="F92" t="str">
            <v>123.9</v>
          </cell>
          <cell r="G92">
            <v>173.46</v>
          </cell>
        </row>
        <row r="93">
          <cell r="B93">
            <v>89</v>
          </cell>
          <cell r="C93" t="str">
            <v>203.79</v>
          </cell>
          <cell r="D93">
            <v>285.31</v>
          </cell>
          <cell r="E93">
            <v>0</v>
          </cell>
          <cell r="F93" t="str">
            <v>125.3</v>
          </cell>
          <cell r="G93">
            <v>175.42</v>
          </cell>
        </row>
        <row r="94">
          <cell r="B94">
            <v>90</v>
          </cell>
          <cell r="C94" t="str">
            <v>206.03</v>
          </cell>
          <cell r="D94">
            <v>288.44</v>
          </cell>
          <cell r="E94">
            <v>0</v>
          </cell>
          <cell r="F94" t="str">
            <v>126.73</v>
          </cell>
          <cell r="G94">
            <v>177.42</v>
          </cell>
        </row>
        <row r="95">
          <cell r="B95">
            <v>91</v>
          </cell>
          <cell r="C95" t="str">
            <v>208.43</v>
          </cell>
          <cell r="D95">
            <v>291.8</v>
          </cell>
          <cell r="E95">
            <v>0</v>
          </cell>
          <cell r="F95" t="str">
            <v>128.14</v>
          </cell>
          <cell r="G95">
            <v>179.4</v>
          </cell>
        </row>
        <row r="96">
          <cell r="B96">
            <v>92</v>
          </cell>
          <cell r="C96" t="str">
            <v>210.69</v>
          </cell>
          <cell r="D96">
            <v>294.97000000000003</v>
          </cell>
          <cell r="E96">
            <v>0</v>
          </cell>
          <cell r="F96" t="str">
            <v>129.5</v>
          </cell>
          <cell r="G96">
            <v>181.3</v>
          </cell>
        </row>
        <row r="97">
          <cell r="B97">
            <v>93</v>
          </cell>
          <cell r="C97" t="str">
            <v>212.97</v>
          </cell>
          <cell r="D97">
            <v>298.16000000000003</v>
          </cell>
          <cell r="E97">
            <v>0</v>
          </cell>
          <cell r="F97" t="str">
            <v>130.91</v>
          </cell>
          <cell r="G97">
            <v>183.27</v>
          </cell>
        </row>
        <row r="98">
          <cell r="B98">
            <v>94</v>
          </cell>
          <cell r="C98" t="str">
            <v>215.25</v>
          </cell>
          <cell r="D98">
            <v>301.35000000000002</v>
          </cell>
          <cell r="E98">
            <v>0</v>
          </cell>
          <cell r="F98" t="str">
            <v>132.32</v>
          </cell>
          <cell r="G98">
            <v>185.25</v>
          </cell>
        </row>
        <row r="99">
          <cell r="B99">
            <v>95</v>
          </cell>
          <cell r="C99" t="str">
            <v>217.39</v>
          </cell>
          <cell r="D99">
            <v>304.35000000000002</v>
          </cell>
          <cell r="E99">
            <v>0</v>
          </cell>
          <cell r="F99" t="str">
            <v>133.73</v>
          </cell>
          <cell r="G99">
            <v>187.22</v>
          </cell>
        </row>
        <row r="100">
          <cell r="B100">
            <v>96</v>
          </cell>
          <cell r="C100" t="str">
            <v>219.69</v>
          </cell>
          <cell r="D100">
            <v>307.57</v>
          </cell>
          <cell r="E100">
            <v>0</v>
          </cell>
          <cell r="F100" t="str">
            <v>135.14</v>
          </cell>
          <cell r="G100">
            <v>189.2</v>
          </cell>
        </row>
        <row r="101">
          <cell r="B101">
            <v>97</v>
          </cell>
          <cell r="C101" t="str">
            <v>222</v>
          </cell>
          <cell r="D101">
            <v>310.8</v>
          </cell>
          <cell r="E101">
            <v>0</v>
          </cell>
          <cell r="F101" t="str">
            <v>136.52</v>
          </cell>
          <cell r="G101">
            <v>191.13</v>
          </cell>
        </row>
        <row r="102">
          <cell r="B102">
            <v>98</v>
          </cell>
          <cell r="C102" t="str">
            <v>224.32</v>
          </cell>
          <cell r="D102">
            <v>314.05</v>
          </cell>
          <cell r="E102">
            <v>0</v>
          </cell>
          <cell r="F102" t="str">
            <v>137.94</v>
          </cell>
          <cell r="G102">
            <v>193.12</v>
          </cell>
        </row>
        <row r="103">
          <cell r="B103">
            <v>99</v>
          </cell>
          <cell r="C103" t="str">
            <v>226.65</v>
          </cell>
          <cell r="D103">
            <v>317.31</v>
          </cell>
          <cell r="E103">
            <v>0</v>
          </cell>
          <cell r="F103" t="str">
            <v>139.31</v>
          </cell>
          <cell r="G103">
            <v>195.03</v>
          </cell>
        </row>
        <row r="104">
          <cell r="B104">
            <v>100</v>
          </cell>
          <cell r="C104" t="str">
            <v>228.82</v>
          </cell>
          <cell r="D104">
            <v>320.35000000000002</v>
          </cell>
          <cell r="E104">
            <v>0</v>
          </cell>
          <cell r="F104" t="str">
            <v>140.74</v>
          </cell>
          <cell r="G104">
            <v>197.04</v>
          </cell>
        </row>
        <row r="105">
          <cell r="B105">
            <v>101</v>
          </cell>
          <cell r="C105" t="str">
            <v>231.17</v>
          </cell>
          <cell r="D105">
            <v>323.64</v>
          </cell>
          <cell r="E105">
            <v>0</v>
          </cell>
          <cell r="F105" t="str">
            <v>142.12</v>
          </cell>
          <cell r="G105">
            <v>198.97</v>
          </cell>
        </row>
        <row r="106">
          <cell r="B106">
            <v>102</v>
          </cell>
          <cell r="C106" t="str">
            <v>233.36</v>
          </cell>
          <cell r="D106">
            <v>326.7</v>
          </cell>
          <cell r="E106">
            <v>0</v>
          </cell>
          <cell r="F106" t="str">
            <v>143.55</v>
          </cell>
          <cell r="G106">
            <v>200.97</v>
          </cell>
        </row>
        <row r="107">
          <cell r="B107">
            <v>103</v>
          </cell>
          <cell r="C107" t="str">
            <v>235.73</v>
          </cell>
          <cell r="D107">
            <v>330.02</v>
          </cell>
          <cell r="E107">
            <v>0</v>
          </cell>
          <cell r="F107" t="str">
            <v>144.93</v>
          </cell>
          <cell r="G107">
            <v>202.9</v>
          </cell>
        </row>
        <row r="108">
          <cell r="B108">
            <v>104</v>
          </cell>
          <cell r="C108" t="str">
            <v>237.93</v>
          </cell>
          <cell r="D108">
            <v>333.1</v>
          </cell>
          <cell r="E108">
            <v>0</v>
          </cell>
          <cell r="F108" t="str">
            <v>146.32</v>
          </cell>
          <cell r="G108">
            <v>204.85</v>
          </cell>
        </row>
        <row r="109">
          <cell r="B109">
            <v>105</v>
          </cell>
          <cell r="C109" t="str">
            <v>240.32</v>
          </cell>
          <cell r="D109">
            <v>336.45</v>
          </cell>
          <cell r="E109">
            <v>0</v>
          </cell>
          <cell r="F109" t="str">
            <v>147.76</v>
          </cell>
          <cell r="G109">
            <v>206.86</v>
          </cell>
        </row>
        <row r="110">
          <cell r="B110">
            <v>106</v>
          </cell>
          <cell r="C110" t="str">
            <v>242.53</v>
          </cell>
          <cell r="D110">
            <v>339.54</v>
          </cell>
          <cell r="E110">
            <v>0</v>
          </cell>
          <cell r="F110" t="str">
            <v>149.14</v>
          </cell>
          <cell r="G110">
            <v>208.8</v>
          </cell>
        </row>
        <row r="111">
          <cell r="B111">
            <v>107</v>
          </cell>
          <cell r="C111" t="str">
            <v>244.75</v>
          </cell>
          <cell r="D111">
            <v>342.65</v>
          </cell>
          <cell r="E111">
            <v>0</v>
          </cell>
          <cell r="F111" t="str">
            <v>150.54</v>
          </cell>
          <cell r="G111">
            <v>210.76</v>
          </cell>
        </row>
        <row r="112">
          <cell r="B112">
            <v>108</v>
          </cell>
          <cell r="C112" t="str">
            <v>246.97</v>
          </cell>
          <cell r="D112">
            <v>345.76</v>
          </cell>
          <cell r="E112">
            <v>0</v>
          </cell>
          <cell r="F112" t="str">
            <v>151.93</v>
          </cell>
          <cell r="G112">
            <v>212.7</v>
          </cell>
        </row>
        <row r="113">
          <cell r="B113">
            <v>109</v>
          </cell>
          <cell r="C113" t="str">
            <v>249.41</v>
          </cell>
          <cell r="D113">
            <v>349.17</v>
          </cell>
          <cell r="E113">
            <v>0</v>
          </cell>
          <cell r="F113" t="str">
            <v>153.32</v>
          </cell>
          <cell r="G113">
            <v>214.65</v>
          </cell>
        </row>
        <row r="114">
          <cell r="B114">
            <v>110</v>
          </cell>
          <cell r="C114" t="str">
            <v>251.65</v>
          </cell>
          <cell r="D114">
            <v>352.31</v>
          </cell>
          <cell r="E114">
            <v>0</v>
          </cell>
          <cell r="F114" t="str">
            <v>154.72</v>
          </cell>
          <cell r="G114">
            <v>216.61</v>
          </cell>
        </row>
        <row r="115">
          <cell r="B115">
            <v>111</v>
          </cell>
          <cell r="C115" t="str">
            <v>253.9</v>
          </cell>
          <cell r="D115">
            <v>355.46</v>
          </cell>
          <cell r="E115">
            <v>0</v>
          </cell>
          <cell r="F115" t="str">
            <v>156.12</v>
          </cell>
          <cell r="G115">
            <v>218.57</v>
          </cell>
        </row>
        <row r="116">
          <cell r="B116">
            <v>112</v>
          </cell>
          <cell r="C116" t="str">
            <v>256.15</v>
          </cell>
          <cell r="D116">
            <v>358.61</v>
          </cell>
          <cell r="E116">
            <v>0</v>
          </cell>
          <cell r="F116" t="str">
            <v>157.52</v>
          </cell>
          <cell r="G116">
            <v>220.53</v>
          </cell>
        </row>
        <row r="117">
          <cell r="B117">
            <v>113</v>
          </cell>
          <cell r="C117" t="str">
            <v>258.41</v>
          </cell>
          <cell r="D117">
            <v>361.77</v>
          </cell>
          <cell r="E117">
            <v>0</v>
          </cell>
          <cell r="F117" t="str">
            <v>158.92</v>
          </cell>
          <cell r="G117">
            <v>222.49</v>
          </cell>
        </row>
        <row r="118">
          <cell r="B118">
            <v>114</v>
          </cell>
          <cell r="C118" t="str">
            <v>260.68</v>
          </cell>
          <cell r="D118">
            <v>364.95</v>
          </cell>
          <cell r="E118">
            <v>0</v>
          </cell>
          <cell r="F118" t="str">
            <v>160.33</v>
          </cell>
          <cell r="G118">
            <v>224.46</v>
          </cell>
        </row>
        <row r="119">
          <cell r="B119">
            <v>115</v>
          </cell>
          <cell r="C119" t="str">
            <v>262.96</v>
          </cell>
          <cell r="D119">
            <v>368.14</v>
          </cell>
          <cell r="E119">
            <v>0</v>
          </cell>
          <cell r="F119" t="str">
            <v>161.73</v>
          </cell>
          <cell r="G119">
            <v>226.42</v>
          </cell>
        </row>
        <row r="120">
          <cell r="B120">
            <v>116</v>
          </cell>
          <cell r="C120" t="str">
            <v>265.25</v>
          </cell>
          <cell r="D120">
            <v>371.35</v>
          </cell>
          <cell r="E120">
            <v>0</v>
          </cell>
          <cell r="F120" t="str">
            <v>163.14</v>
          </cell>
          <cell r="G120">
            <v>228.4</v>
          </cell>
        </row>
        <row r="121">
          <cell r="B121">
            <v>117</v>
          </cell>
          <cell r="C121" t="str">
            <v>267.54</v>
          </cell>
          <cell r="D121">
            <v>374.56</v>
          </cell>
          <cell r="E121">
            <v>0</v>
          </cell>
          <cell r="F121" t="str">
            <v>164.55</v>
          </cell>
          <cell r="G121">
            <v>230.37</v>
          </cell>
        </row>
        <row r="122">
          <cell r="B122">
            <v>118</v>
          </cell>
          <cell r="C122" t="str">
            <v>269.84</v>
          </cell>
          <cell r="D122">
            <v>377.78</v>
          </cell>
          <cell r="E122">
            <v>0</v>
          </cell>
          <cell r="F122" t="str">
            <v>165.96</v>
          </cell>
          <cell r="G122">
            <v>232.34</v>
          </cell>
        </row>
        <row r="123">
          <cell r="B123">
            <v>119</v>
          </cell>
          <cell r="C123" t="str">
            <v>272.15</v>
          </cell>
          <cell r="D123">
            <v>381.01</v>
          </cell>
          <cell r="E123">
            <v>0</v>
          </cell>
          <cell r="F123" t="str">
            <v>167.38</v>
          </cell>
          <cell r="G123">
            <v>234.33</v>
          </cell>
        </row>
        <row r="124">
          <cell r="B124">
            <v>120</v>
          </cell>
          <cell r="C124" t="str">
            <v>274.42</v>
          </cell>
          <cell r="D124">
            <v>384.19</v>
          </cell>
          <cell r="E124">
            <v>0</v>
          </cell>
          <cell r="F124" t="str">
            <v>168.73</v>
          </cell>
          <cell r="G124">
            <v>236.22</v>
          </cell>
        </row>
        <row r="125">
          <cell r="B125">
            <v>121</v>
          </cell>
          <cell r="C125" t="str">
            <v>276.54</v>
          </cell>
          <cell r="D125">
            <v>387.16</v>
          </cell>
          <cell r="E125">
            <v>0</v>
          </cell>
          <cell r="F125" t="str">
            <v>170.15</v>
          </cell>
          <cell r="G125">
            <v>238.21</v>
          </cell>
        </row>
        <row r="126">
          <cell r="B126">
            <v>122</v>
          </cell>
          <cell r="C126" t="str">
            <v>278.87</v>
          </cell>
          <cell r="D126">
            <v>390.42</v>
          </cell>
          <cell r="E126">
            <v>0</v>
          </cell>
          <cell r="F126" t="str">
            <v>171.57</v>
          </cell>
          <cell r="G126">
            <v>240.2</v>
          </cell>
        </row>
        <row r="127">
          <cell r="B127">
            <v>123</v>
          </cell>
          <cell r="C127" t="str">
            <v>281.21</v>
          </cell>
          <cell r="D127">
            <v>393.69</v>
          </cell>
          <cell r="E127">
            <v>0</v>
          </cell>
          <cell r="F127" t="str">
            <v>172.93</v>
          </cell>
          <cell r="G127">
            <v>242.1</v>
          </cell>
        </row>
        <row r="128">
          <cell r="B128">
            <v>124</v>
          </cell>
          <cell r="C128" t="str">
            <v>283.56</v>
          </cell>
          <cell r="D128">
            <v>396.98</v>
          </cell>
          <cell r="E128">
            <v>0</v>
          </cell>
          <cell r="F128" t="str">
            <v>174.35</v>
          </cell>
          <cell r="G128">
            <v>244.09</v>
          </cell>
        </row>
        <row r="129">
          <cell r="B129">
            <v>125</v>
          </cell>
          <cell r="C129" t="str">
            <v>285.66</v>
          </cell>
          <cell r="D129">
            <v>399.92</v>
          </cell>
          <cell r="E129">
            <v>0</v>
          </cell>
          <cell r="F129" t="str">
            <v>175.78</v>
          </cell>
          <cell r="G129">
            <v>246.09</v>
          </cell>
        </row>
        <row r="130">
          <cell r="B130">
            <v>126</v>
          </cell>
          <cell r="C130" t="str">
            <v>288.02</v>
          </cell>
          <cell r="D130">
            <v>403.23</v>
          </cell>
          <cell r="E130">
            <v>0</v>
          </cell>
          <cell r="F130" t="str">
            <v>177.14</v>
          </cell>
          <cell r="G130">
            <v>248</v>
          </cell>
        </row>
        <row r="131">
          <cell r="B131">
            <v>127</v>
          </cell>
          <cell r="C131" t="str">
            <v>290.4</v>
          </cell>
          <cell r="D131">
            <v>406.56</v>
          </cell>
          <cell r="E131">
            <v>0</v>
          </cell>
          <cell r="F131" t="str">
            <v>178.57</v>
          </cell>
          <cell r="G131">
            <v>250</v>
          </cell>
        </row>
        <row r="132">
          <cell r="B132">
            <v>128</v>
          </cell>
          <cell r="C132" t="str">
            <v>292.5</v>
          </cell>
          <cell r="D132">
            <v>409.5</v>
          </cell>
          <cell r="E132">
            <v>0</v>
          </cell>
          <cell r="F132" t="str">
            <v>180</v>
          </cell>
          <cell r="G132">
            <v>252</v>
          </cell>
        </row>
        <row r="133">
          <cell r="B133">
            <v>129</v>
          </cell>
          <cell r="C133" t="str">
            <v>294.89</v>
          </cell>
          <cell r="D133">
            <v>412.85</v>
          </cell>
          <cell r="E133">
            <v>0</v>
          </cell>
          <cell r="F133" t="str">
            <v>181.37</v>
          </cell>
          <cell r="G133">
            <v>253.92</v>
          </cell>
        </row>
        <row r="134">
          <cell r="B134">
            <v>130</v>
          </cell>
          <cell r="C134" t="str">
            <v>297.29</v>
          </cell>
          <cell r="D134">
            <v>416.21</v>
          </cell>
          <cell r="E134">
            <v>0</v>
          </cell>
          <cell r="F134" t="str">
            <v>182.8</v>
          </cell>
          <cell r="G134">
            <v>255.92</v>
          </cell>
        </row>
        <row r="135">
          <cell r="B135">
            <v>131</v>
          </cell>
          <cell r="C135" t="str">
            <v>299.41</v>
          </cell>
          <cell r="D135">
            <v>419.17</v>
          </cell>
          <cell r="E135">
            <v>0</v>
          </cell>
          <cell r="F135" t="str">
            <v>184.17</v>
          </cell>
          <cell r="G135">
            <v>257.83999999999997</v>
          </cell>
        </row>
        <row r="136">
          <cell r="B136">
            <v>132</v>
          </cell>
          <cell r="C136" t="str">
            <v>301.83</v>
          </cell>
          <cell r="D136">
            <v>422.56</v>
          </cell>
          <cell r="E136">
            <v>0</v>
          </cell>
          <cell r="F136" t="str">
            <v>185.53</v>
          </cell>
          <cell r="G136">
            <v>259.74</v>
          </cell>
        </row>
        <row r="137">
          <cell r="B137">
            <v>133</v>
          </cell>
          <cell r="C137" t="str">
            <v>303.96</v>
          </cell>
          <cell r="D137">
            <v>425.54</v>
          </cell>
          <cell r="E137">
            <v>0</v>
          </cell>
          <cell r="F137" t="str">
            <v>186.98</v>
          </cell>
          <cell r="G137">
            <v>261.77</v>
          </cell>
        </row>
        <row r="138">
          <cell r="B138">
            <v>134</v>
          </cell>
          <cell r="C138" t="str">
            <v>306.4</v>
          </cell>
          <cell r="D138">
            <v>428.96</v>
          </cell>
          <cell r="E138">
            <v>0</v>
          </cell>
          <cell r="F138" t="str">
            <v>188.35</v>
          </cell>
          <cell r="G138">
            <v>263.69</v>
          </cell>
        </row>
        <row r="139">
          <cell r="B139">
            <v>135</v>
          </cell>
          <cell r="C139" t="str">
            <v>308.53</v>
          </cell>
          <cell r="D139">
            <v>431.94</v>
          </cell>
          <cell r="E139">
            <v>0</v>
          </cell>
          <cell r="F139" t="str">
            <v>189.8</v>
          </cell>
          <cell r="G139">
            <v>265.72000000000003</v>
          </cell>
        </row>
        <row r="140">
          <cell r="B140">
            <v>136</v>
          </cell>
          <cell r="C140" t="str">
            <v>310.68</v>
          </cell>
          <cell r="D140">
            <v>434.95</v>
          </cell>
          <cell r="E140">
            <v>0</v>
          </cell>
          <cell r="F140" t="str">
            <v>191.17</v>
          </cell>
          <cell r="G140">
            <v>267.64</v>
          </cell>
        </row>
        <row r="141">
          <cell r="B141">
            <v>137</v>
          </cell>
          <cell r="C141" t="str">
            <v>313.14</v>
          </cell>
          <cell r="D141">
            <v>438.4</v>
          </cell>
          <cell r="E141">
            <v>0</v>
          </cell>
          <cell r="F141" t="str">
            <v>192.62</v>
          </cell>
          <cell r="G141">
            <v>269.67</v>
          </cell>
        </row>
        <row r="142">
          <cell r="B142">
            <v>138</v>
          </cell>
          <cell r="C142" t="str">
            <v>315.29</v>
          </cell>
          <cell r="D142">
            <v>441.41</v>
          </cell>
          <cell r="E142">
            <v>0</v>
          </cell>
          <cell r="F142" t="str">
            <v>193.99</v>
          </cell>
          <cell r="G142">
            <v>271.58999999999997</v>
          </cell>
        </row>
        <row r="143">
          <cell r="B143">
            <v>139</v>
          </cell>
          <cell r="C143" t="str">
            <v>317.76</v>
          </cell>
          <cell r="D143">
            <v>444.86</v>
          </cell>
          <cell r="E143">
            <v>0</v>
          </cell>
          <cell r="F143" t="str">
            <v>195.37</v>
          </cell>
          <cell r="G143">
            <v>273.52</v>
          </cell>
        </row>
        <row r="144">
          <cell r="B144">
            <v>140</v>
          </cell>
          <cell r="C144" t="str">
            <v>319.93</v>
          </cell>
          <cell r="D144">
            <v>447.9</v>
          </cell>
          <cell r="E144">
            <v>0</v>
          </cell>
          <cell r="F144" t="str">
            <v>196.74</v>
          </cell>
          <cell r="G144">
            <v>275.44</v>
          </cell>
        </row>
        <row r="145">
          <cell r="B145">
            <v>141</v>
          </cell>
          <cell r="C145" t="str">
            <v>322.09</v>
          </cell>
          <cell r="D145">
            <v>450.93</v>
          </cell>
          <cell r="E145">
            <v>0</v>
          </cell>
          <cell r="F145" t="str">
            <v>198.2</v>
          </cell>
          <cell r="G145">
            <v>277.48</v>
          </cell>
        </row>
        <row r="146">
          <cell r="B146">
            <v>142</v>
          </cell>
          <cell r="C146" t="str">
            <v>324.6</v>
          </cell>
          <cell r="D146">
            <v>454.44</v>
          </cell>
          <cell r="E146">
            <v>0</v>
          </cell>
          <cell r="F146" t="str">
            <v>199.58</v>
          </cell>
          <cell r="G146">
            <v>279.41000000000003</v>
          </cell>
        </row>
        <row r="147">
          <cell r="B147">
            <v>143</v>
          </cell>
          <cell r="C147" t="str">
            <v>326.77</v>
          </cell>
          <cell r="D147">
            <v>457.48</v>
          </cell>
          <cell r="E147">
            <v>0</v>
          </cell>
          <cell r="F147" t="str">
            <v>200.96</v>
          </cell>
          <cell r="G147">
            <v>281.33999999999997</v>
          </cell>
        </row>
        <row r="148">
          <cell r="B148">
            <v>144</v>
          </cell>
          <cell r="C148" t="str">
            <v>328.95</v>
          </cell>
          <cell r="D148">
            <v>460.53</v>
          </cell>
          <cell r="E148">
            <v>0</v>
          </cell>
          <cell r="F148" t="str">
            <v>202.43</v>
          </cell>
          <cell r="G148">
            <v>283.39999999999998</v>
          </cell>
        </row>
        <row r="149">
          <cell r="B149">
            <v>145</v>
          </cell>
          <cell r="C149" t="str">
            <v>331.49</v>
          </cell>
          <cell r="D149">
            <v>464.09</v>
          </cell>
          <cell r="E149">
            <v>0</v>
          </cell>
          <cell r="F149" t="str">
            <v>203.81</v>
          </cell>
          <cell r="G149">
            <v>285.33</v>
          </cell>
        </row>
        <row r="150">
          <cell r="B150">
            <v>146</v>
          </cell>
          <cell r="C150" t="str">
            <v>333.68</v>
          </cell>
          <cell r="D150">
            <v>467.15</v>
          </cell>
          <cell r="E150">
            <v>0</v>
          </cell>
          <cell r="F150" t="str">
            <v>205.19</v>
          </cell>
          <cell r="G150">
            <v>287.27</v>
          </cell>
        </row>
        <row r="151">
          <cell r="B151">
            <v>147</v>
          </cell>
          <cell r="C151" t="str">
            <v>335.87</v>
          </cell>
          <cell r="D151">
            <v>470.22</v>
          </cell>
          <cell r="E151">
            <v>0</v>
          </cell>
          <cell r="F151" t="str">
            <v>206.58</v>
          </cell>
          <cell r="G151">
            <v>289.20999999999998</v>
          </cell>
        </row>
        <row r="152">
          <cell r="B152">
            <v>148</v>
          </cell>
          <cell r="C152" t="str">
            <v>338.07</v>
          </cell>
          <cell r="D152">
            <v>473.3</v>
          </cell>
          <cell r="E152">
            <v>0</v>
          </cell>
          <cell r="F152" t="str">
            <v>207.96</v>
          </cell>
          <cell r="G152">
            <v>291.14</v>
          </cell>
        </row>
        <row r="153">
          <cell r="B153">
            <v>149</v>
          </cell>
          <cell r="C153" t="str">
            <v>340.27</v>
          </cell>
          <cell r="D153">
            <v>476.38</v>
          </cell>
          <cell r="E153">
            <v>0</v>
          </cell>
          <cell r="F153" t="str">
            <v>209.45</v>
          </cell>
          <cell r="G153">
            <v>293.23</v>
          </cell>
        </row>
        <row r="154">
          <cell r="B154">
            <v>150</v>
          </cell>
          <cell r="C154" t="str">
            <v>342.85</v>
          </cell>
          <cell r="D154">
            <v>479.99</v>
          </cell>
          <cell r="E154">
            <v>0</v>
          </cell>
          <cell r="F154" t="str">
            <v>210.83</v>
          </cell>
          <cell r="G154">
            <v>295.16000000000003</v>
          </cell>
        </row>
        <row r="155">
          <cell r="B155">
            <v>151</v>
          </cell>
          <cell r="C155" t="str">
            <v>345.07</v>
          </cell>
          <cell r="D155">
            <v>483.1</v>
          </cell>
          <cell r="E155">
            <v>0</v>
          </cell>
          <cell r="F155" t="str">
            <v>212.22</v>
          </cell>
          <cell r="G155">
            <v>297.11</v>
          </cell>
        </row>
        <row r="156">
          <cell r="B156">
            <v>152</v>
          </cell>
          <cell r="C156" t="str">
            <v>347.29</v>
          </cell>
          <cell r="D156">
            <v>486.21</v>
          </cell>
          <cell r="E156">
            <v>0</v>
          </cell>
          <cell r="F156" t="str">
            <v>213.61</v>
          </cell>
          <cell r="G156">
            <v>299.05</v>
          </cell>
        </row>
        <row r="157">
          <cell r="B157">
            <v>153</v>
          </cell>
          <cell r="C157" t="str">
            <v>349.51</v>
          </cell>
          <cell r="D157">
            <v>489.31</v>
          </cell>
          <cell r="E157">
            <v>0</v>
          </cell>
          <cell r="F157" t="str">
            <v>215</v>
          </cell>
          <cell r="G157">
            <v>301</v>
          </cell>
        </row>
        <row r="158">
          <cell r="B158">
            <v>154</v>
          </cell>
          <cell r="C158" t="str">
            <v>351.74</v>
          </cell>
          <cell r="D158">
            <v>492.44</v>
          </cell>
          <cell r="E158">
            <v>0</v>
          </cell>
          <cell r="F158" t="str">
            <v>216.4</v>
          </cell>
          <cell r="G158">
            <v>302.95999999999998</v>
          </cell>
        </row>
        <row r="159">
          <cell r="B159">
            <v>155</v>
          </cell>
          <cell r="C159" t="str">
            <v>353.97</v>
          </cell>
          <cell r="D159">
            <v>495.56</v>
          </cell>
          <cell r="E159">
            <v>0</v>
          </cell>
          <cell r="F159" t="str">
            <v>217.79</v>
          </cell>
          <cell r="G159">
            <v>304.91000000000003</v>
          </cell>
        </row>
        <row r="160">
          <cell r="B160">
            <v>156</v>
          </cell>
          <cell r="C160" t="str">
            <v>356.21</v>
          </cell>
          <cell r="D160">
            <v>498.69</v>
          </cell>
          <cell r="E160">
            <v>0</v>
          </cell>
          <cell r="F160" t="str">
            <v>219.18</v>
          </cell>
          <cell r="G160">
            <v>306.85000000000002</v>
          </cell>
        </row>
        <row r="161">
          <cell r="B161">
            <v>157</v>
          </cell>
          <cell r="C161" t="str">
            <v>358.45</v>
          </cell>
          <cell r="D161">
            <v>501.83</v>
          </cell>
          <cell r="E161">
            <v>0</v>
          </cell>
          <cell r="F161" t="str">
            <v>220.58</v>
          </cell>
          <cell r="G161">
            <v>308.81</v>
          </cell>
        </row>
        <row r="162">
          <cell r="B162">
            <v>158</v>
          </cell>
          <cell r="C162" t="str">
            <v>361.11</v>
          </cell>
          <cell r="D162">
            <v>505.55</v>
          </cell>
          <cell r="E162">
            <v>0</v>
          </cell>
          <cell r="F162" t="str">
            <v>221.98</v>
          </cell>
          <cell r="G162">
            <v>310.77</v>
          </cell>
        </row>
        <row r="163">
          <cell r="B163">
            <v>159</v>
          </cell>
          <cell r="C163" t="str">
            <v>363.37</v>
          </cell>
          <cell r="D163">
            <v>508.72</v>
          </cell>
          <cell r="E163">
            <v>0</v>
          </cell>
          <cell r="F163" t="str">
            <v>223.38</v>
          </cell>
          <cell r="G163">
            <v>312.73</v>
          </cell>
        </row>
        <row r="164">
          <cell r="B164">
            <v>160</v>
          </cell>
          <cell r="C164" t="str">
            <v>365.63</v>
          </cell>
          <cell r="D164">
            <v>511.88</v>
          </cell>
          <cell r="E164">
            <v>0</v>
          </cell>
          <cell r="F164" t="str">
            <v>224.78</v>
          </cell>
          <cell r="G164">
            <v>314.69</v>
          </cell>
        </row>
        <row r="165">
          <cell r="B165">
            <v>161</v>
          </cell>
          <cell r="C165" t="str">
            <v>367.9</v>
          </cell>
          <cell r="D165">
            <v>515.05999999999995</v>
          </cell>
          <cell r="E165">
            <v>0</v>
          </cell>
          <cell r="F165" t="str">
            <v>226.18</v>
          </cell>
          <cell r="G165">
            <v>316.64999999999998</v>
          </cell>
        </row>
        <row r="166">
          <cell r="B166">
            <v>162</v>
          </cell>
          <cell r="C166" t="str">
            <v>370.17</v>
          </cell>
          <cell r="D166">
            <v>518.24</v>
          </cell>
          <cell r="E166">
            <v>0</v>
          </cell>
          <cell r="F166" t="str">
            <v>227.58</v>
          </cell>
          <cell r="G166">
            <v>318.61</v>
          </cell>
        </row>
        <row r="167">
          <cell r="B167">
            <v>163</v>
          </cell>
          <cell r="C167" t="str">
            <v>372.44</v>
          </cell>
          <cell r="D167">
            <v>521.41999999999996</v>
          </cell>
          <cell r="E167">
            <v>0</v>
          </cell>
          <cell r="F167" t="str">
            <v>228.98</v>
          </cell>
          <cell r="G167">
            <v>320.57</v>
          </cell>
        </row>
        <row r="168">
          <cell r="B168">
            <v>164</v>
          </cell>
          <cell r="C168" t="str">
            <v>374.73</v>
          </cell>
          <cell r="D168">
            <v>524.62</v>
          </cell>
          <cell r="E168">
            <v>0</v>
          </cell>
          <cell r="F168" t="str">
            <v>230.39</v>
          </cell>
          <cell r="G168">
            <v>322.55</v>
          </cell>
        </row>
        <row r="169">
          <cell r="B169">
            <v>165</v>
          </cell>
          <cell r="C169" t="str">
            <v>377.01</v>
          </cell>
          <cell r="D169">
            <v>527.80999999999995</v>
          </cell>
          <cell r="E169">
            <v>0</v>
          </cell>
          <cell r="F169" t="str">
            <v>231.8</v>
          </cell>
          <cell r="G169">
            <v>324.52</v>
          </cell>
        </row>
        <row r="170">
          <cell r="B170">
            <v>166</v>
          </cell>
          <cell r="C170" t="str">
            <v>379.31</v>
          </cell>
          <cell r="D170">
            <v>531.03</v>
          </cell>
          <cell r="E170">
            <v>0</v>
          </cell>
          <cell r="F170" t="str">
            <v>233.21</v>
          </cell>
          <cell r="G170">
            <v>326.49</v>
          </cell>
        </row>
        <row r="171">
          <cell r="B171">
            <v>167</v>
          </cell>
          <cell r="C171" t="str">
            <v>381.61</v>
          </cell>
          <cell r="D171">
            <v>534.25</v>
          </cell>
          <cell r="E171">
            <v>0</v>
          </cell>
          <cell r="F171" t="str">
            <v>234.62</v>
          </cell>
          <cell r="G171">
            <v>328.47</v>
          </cell>
        </row>
        <row r="172">
          <cell r="B172">
            <v>168</v>
          </cell>
          <cell r="C172" t="str">
            <v>383.91</v>
          </cell>
          <cell r="D172">
            <v>537.47</v>
          </cell>
          <cell r="E172">
            <v>0</v>
          </cell>
          <cell r="F172" t="str">
            <v>236.03</v>
          </cell>
          <cell r="G172">
            <v>330.44</v>
          </cell>
        </row>
        <row r="173">
          <cell r="B173">
            <v>169</v>
          </cell>
          <cell r="C173" t="str">
            <v>385.75</v>
          </cell>
          <cell r="D173">
            <v>540.04999999999995</v>
          </cell>
          <cell r="E173">
            <v>0</v>
          </cell>
          <cell r="F173" t="str">
            <v>237.44</v>
          </cell>
          <cell r="G173">
            <v>332.42</v>
          </cell>
        </row>
        <row r="174">
          <cell r="B174">
            <v>170</v>
          </cell>
          <cell r="C174" t="str">
            <v>388.06</v>
          </cell>
          <cell r="D174">
            <v>543.28</v>
          </cell>
          <cell r="E174">
            <v>0</v>
          </cell>
          <cell r="F174" t="str">
            <v>238.85</v>
          </cell>
          <cell r="G174">
            <v>334.39</v>
          </cell>
        </row>
        <row r="175">
          <cell r="B175">
            <v>171</v>
          </cell>
          <cell r="C175" t="str">
            <v>390.37</v>
          </cell>
          <cell r="D175">
            <v>546.52</v>
          </cell>
          <cell r="E175">
            <v>0</v>
          </cell>
          <cell r="F175" t="str">
            <v>240.27</v>
          </cell>
          <cell r="G175">
            <v>336.38</v>
          </cell>
        </row>
        <row r="176">
          <cell r="B176">
            <v>172</v>
          </cell>
          <cell r="C176" t="str">
            <v>392.7</v>
          </cell>
          <cell r="D176">
            <v>549.78</v>
          </cell>
          <cell r="E176">
            <v>0</v>
          </cell>
          <cell r="F176" t="str">
            <v>241.69</v>
          </cell>
          <cell r="G176">
            <v>338.37</v>
          </cell>
        </row>
        <row r="177">
          <cell r="B177">
            <v>173</v>
          </cell>
          <cell r="C177" t="str">
            <v>395.03</v>
          </cell>
          <cell r="D177">
            <v>553.04</v>
          </cell>
          <cell r="E177">
            <v>0</v>
          </cell>
          <cell r="F177" t="str">
            <v>242.98</v>
          </cell>
          <cell r="G177">
            <v>340.17</v>
          </cell>
        </row>
        <row r="178">
          <cell r="B178">
            <v>174</v>
          </cell>
          <cell r="C178" t="str">
            <v>397.36</v>
          </cell>
          <cell r="D178">
            <v>556.29999999999995</v>
          </cell>
          <cell r="E178">
            <v>0</v>
          </cell>
          <cell r="F178" t="str">
            <v>244.4</v>
          </cell>
          <cell r="G178">
            <v>342.16</v>
          </cell>
        </row>
        <row r="179">
          <cell r="B179">
            <v>175</v>
          </cell>
          <cell r="C179" t="str">
            <v>399.7</v>
          </cell>
          <cell r="D179">
            <v>559.58000000000004</v>
          </cell>
          <cell r="E179">
            <v>0</v>
          </cell>
          <cell r="F179" t="str">
            <v>245.82</v>
          </cell>
          <cell r="G179">
            <v>344.15</v>
          </cell>
        </row>
        <row r="180">
          <cell r="B180">
            <v>176</v>
          </cell>
          <cell r="C180" t="str">
            <v>402.05</v>
          </cell>
          <cell r="D180">
            <v>562.87</v>
          </cell>
          <cell r="E180">
            <v>0</v>
          </cell>
          <cell r="F180" t="str">
            <v>247.24</v>
          </cell>
          <cell r="G180">
            <v>346.14</v>
          </cell>
        </row>
        <row r="181">
          <cell r="B181">
            <v>177</v>
          </cell>
          <cell r="C181" t="str">
            <v>404.41</v>
          </cell>
          <cell r="D181">
            <v>566.16999999999996</v>
          </cell>
          <cell r="E181">
            <v>0</v>
          </cell>
          <cell r="F181" t="str">
            <v>248.67</v>
          </cell>
          <cell r="G181">
            <v>348.14</v>
          </cell>
        </row>
        <row r="182">
          <cell r="B182">
            <v>178</v>
          </cell>
          <cell r="C182" t="str">
            <v>406.24</v>
          </cell>
          <cell r="D182">
            <v>568.74</v>
          </cell>
          <cell r="E182">
            <v>0</v>
          </cell>
          <cell r="F182" t="str">
            <v>250.09</v>
          </cell>
          <cell r="G182">
            <v>350.13</v>
          </cell>
        </row>
        <row r="183">
          <cell r="B183">
            <v>179</v>
          </cell>
          <cell r="C183" t="str">
            <v>408.6</v>
          </cell>
          <cell r="D183">
            <v>572.04</v>
          </cell>
          <cell r="E183">
            <v>0</v>
          </cell>
          <cell r="F183" t="str">
            <v>251.38</v>
          </cell>
          <cell r="G183">
            <v>351.93</v>
          </cell>
        </row>
        <row r="184">
          <cell r="B184">
            <v>180</v>
          </cell>
          <cell r="C184" t="str">
            <v>410.97</v>
          </cell>
          <cell r="D184">
            <v>575.36</v>
          </cell>
          <cell r="E184">
            <v>0</v>
          </cell>
          <cell r="F184" t="str">
            <v>252.81</v>
          </cell>
          <cell r="G184">
            <v>353.93</v>
          </cell>
        </row>
        <row r="185">
          <cell r="B185">
            <v>181</v>
          </cell>
          <cell r="C185" t="str">
            <v>413.35</v>
          </cell>
          <cell r="D185">
            <v>578.69000000000005</v>
          </cell>
          <cell r="E185">
            <v>0</v>
          </cell>
          <cell r="F185" t="str">
            <v>254.24</v>
          </cell>
          <cell r="G185">
            <v>355.94</v>
          </cell>
        </row>
        <row r="186">
          <cell r="B186">
            <v>182</v>
          </cell>
          <cell r="C186" t="str">
            <v>415.73</v>
          </cell>
          <cell r="D186">
            <v>582.02</v>
          </cell>
          <cell r="E186">
            <v>0</v>
          </cell>
          <cell r="F186" t="str">
            <v>255.67</v>
          </cell>
          <cell r="G186">
            <v>357.94</v>
          </cell>
        </row>
        <row r="187">
          <cell r="B187">
            <v>183</v>
          </cell>
          <cell r="C187" t="str">
            <v>418.13</v>
          </cell>
          <cell r="D187">
            <v>585.38</v>
          </cell>
          <cell r="E187">
            <v>0</v>
          </cell>
          <cell r="F187" t="str">
            <v>257.11</v>
          </cell>
          <cell r="G187">
            <v>359.95</v>
          </cell>
        </row>
        <row r="188">
          <cell r="B188">
            <v>184</v>
          </cell>
          <cell r="C188" t="str">
            <v>419.96</v>
          </cell>
          <cell r="D188">
            <v>587.94000000000005</v>
          </cell>
          <cell r="E188">
            <v>0</v>
          </cell>
          <cell r="F188" t="str">
            <v>258.4</v>
          </cell>
          <cell r="G188">
            <v>361.76</v>
          </cell>
        </row>
        <row r="189">
          <cell r="B189">
            <v>185</v>
          </cell>
          <cell r="C189" t="str">
            <v>422.36</v>
          </cell>
          <cell r="D189">
            <v>591.29999999999995</v>
          </cell>
          <cell r="E189">
            <v>0</v>
          </cell>
          <cell r="F189" t="str">
            <v>259.83</v>
          </cell>
          <cell r="G189">
            <v>363.76</v>
          </cell>
        </row>
        <row r="190">
          <cell r="B190">
            <v>186</v>
          </cell>
          <cell r="C190" t="str">
            <v>424.77</v>
          </cell>
          <cell r="D190">
            <v>594.67999999999995</v>
          </cell>
          <cell r="E190">
            <v>0</v>
          </cell>
          <cell r="F190" t="str">
            <v>261.27</v>
          </cell>
          <cell r="G190">
            <v>365.78</v>
          </cell>
        </row>
        <row r="191">
          <cell r="B191">
            <v>187</v>
          </cell>
          <cell r="C191" t="str">
            <v>427.18</v>
          </cell>
          <cell r="D191">
            <v>598.04999999999995</v>
          </cell>
          <cell r="E191">
            <v>0</v>
          </cell>
          <cell r="F191" t="str">
            <v>262.71</v>
          </cell>
          <cell r="G191">
            <v>367.79</v>
          </cell>
        </row>
        <row r="192">
          <cell r="B192">
            <v>188</v>
          </cell>
          <cell r="C192" t="str">
            <v>429.01</v>
          </cell>
          <cell r="D192">
            <v>600.61</v>
          </cell>
          <cell r="E192">
            <v>0</v>
          </cell>
          <cell r="F192" t="str">
            <v>264</v>
          </cell>
          <cell r="G192">
            <v>369.6</v>
          </cell>
        </row>
        <row r="193">
          <cell r="B193">
            <v>189</v>
          </cell>
          <cell r="C193" t="str">
            <v>431.44</v>
          </cell>
          <cell r="D193">
            <v>604.02</v>
          </cell>
          <cell r="E193">
            <v>0</v>
          </cell>
          <cell r="F193" t="str">
            <v>265.44</v>
          </cell>
          <cell r="G193">
            <v>371.62</v>
          </cell>
        </row>
        <row r="194">
          <cell r="B194">
            <v>190</v>
          </cell>
          <cell r="C194" t="str">
            <v>433.87</v>
          </cell>
          <cell r="D194">
            <v>607.41999999999996</v>
          </cell>
          <cell r="E194">
            <v>0</v>
          </cell>
          <cell r="F194" t="str">
            <v>266.89</v>
          </cell>
          <cell r="G194">
            <v>373.65</v>
          </cell>
        </row>
        <row r="195">
          <cell r="B195">
            <v>191</v>
          </cell>
          <cell r="C195" t="str">
            <v>436.31</v>
          </cell>
          <cell r="D195">
            <v>610.83000000000004</v>
          </cell>
          <cell r="E195">
            <v>0</v>
          </cell>
          <cell r="F195" t="str">
            <v>268.34</v>
          </cell>
          <cell r="G195">
            <v>375.68</v>
          </cell>
        </row>
        <row r="196">
          <cell r="B196">
            <v>192</v>
          </cell>
          <cell r="C196" t="str">
            <v>438.14</v>
          </cell>
          <cell r="D196">
            <v>613.4</v>
          </cell>
          <cell r="E196">
            <v>0</v>
          </cell>
          <cell r="F196" t="str">
            <v>269.62</v>
          </cell>
          <cell r="G196">
            <v>377.47</v>
          </cell>
        </row>
        <row r="197">
          <cell r="B197">
            <v>193</v>
          </cell>
          <cell r="C197" t="str">
            <v>440.59</v>
          </cell>
          <cell r="D197">
            <v>616.83000000000004</v>
          </cell>
          <cell r="E197">
            <v>0</v>
          </cell>
          <cell r="F197" t="str">
            <v>271.07</v>
          </cell>
          <cell r="G197">
            <v>379.5</v>
          </cell>
        </row>
        <row r="198">
          <cell r="B198">
            <v>194</v>
          </cell>
          <cell r="C198" t="str">
            <v>443.05</v>
          </cell>
          <cell r="D198">
            <v>620.27</v>
          </cell>
          <cell r="E198">
            <v>0</v>
          </cell>
          <cell r="F198" t="str">
            <v>272.53</v>
          </cell>
          <cell r="G198">
            <v>381.54</v>
          </cell>
        </row>
        <row r="199">
          <cell r="B199">
            <v>195</v>
          </cell>
          <cell r="C199" t="str">
            <v>445.51</v>
          </cell>
          <cell r="D199">
            <v>623.71</v>
          </cell>
          <cell r="E199">
            <v>0</v>
          </cell>
          <cell r="F199" t="str">
            <v>273.81</v>
          </cell>
          <cell r="G199">
            <v>383.33</v>
          </cell>
        </row>
        <row r="200">
          <cell r="B200">
            <v>196</v>
          </cell>
          <cell r="C200" t="str">
            <v>447.35</v>
          </cell>
          <cell r="D200">
            <v>626.29</v>
          </cell>
          <cell r="E200">
            <v>0</v>
          </cell>
          <cell r="F200" t="str">
            <v>275.27</v>
          </cell>
          <cell r="G200">
            <v>385.38</v>
          </cell>
        </row>
        <row r="201">
          <cell r="B201">
            <v>197</v>
          </cell>
          <cell r="C201" t="str">
            <v>449.82</v>
          </cell>
          <cell r="D201">
            <v>629.75</v>
          </cell>
          <cell r="E201">
            <v>0</v>
          </cell>
          <cell r="F201" t="str">
            <v>276.73</v>
          </cell>
          <cell r="G201">
            <v>387.42</v>
          </cell>
        </row>
        <row r="202">
          <cell r="B202">
            <v>198</v>
          </cell>
          <cell r="C202" t="str">
            <v>452.31</v>
          </cell>
          <cell r="D202">
            <v>633.23</v>
          </cell>
          <cell r="E202">
            <v>0</v>
          </cell>
          <cell r="F202" t="str">
            <v>278.01</v>
          </cell>
          <cell r="G202">
            <v>389.21</v>
          </cell>
        </row>
        <row r="203">
          <cell r="B203">
            <v>199</v>
          </cell>
          <cell r="C203" t="str">
            <v>454.14</v>
          </cell>
          <cell r="D203">
            <v>635.79999999999995</v>
          </cell>
          <cell r="E203">
            <v>0</v>
          </cell>
          <cell r="F203" t="str">
            <v>279.47</v>
          </cell>
          <cell r="G203">
            <v>391.26</v>
          </cell>
        </row>
        <row r="204">
          <cell r="B204">
            <v>200</v>
          </cell>
          <cell r="C204" t="str">
            <v>456.64</v>
          </cell>
          <cell r="D204">
            <v>639.29999999999995</v>
          </cell>
          <cell r="E204">
            <v>0</v>
          </cell>
          <cell r="F204" t="str">
            <v>280.93</v>
          </cell>
          <cell r="G204">
            <v>393.3</v>
          </cell>
        </row>
        <row r="205">
          <cell r="B205">
            <v>201</v>
          </cell>
          <cell r="C205">
            <v>458.93</v>
          </cell>
          <cell r="D205">
            <v>642.5</v>
          </cell>
          <cell r="E205">
            <v>0</v>
          </cell>
          <cell r="F205">
            <v>282.34000000000003</v>
          </cell>
          <cell r="G205">
            <v>395.28</v>
          </cell>
        </row>
        <row r="206">
          <cell r="B206">
            <v>202</v>
          </cell>
          <cell r="C206">
            <v>461.22</v>
          </cell>
          <cell r="D206">
            <v>645.71</v>
          </cell>
          <cell r="E206">
            <v>0</v>
          </cell>
          <cell r="F206">
            <v>283.75000000000006</v>
          </cell>
          <cell r="G206">
            <v>397.25</v>
          </cell>
        </row>
        <row r="207">
          <cell r="B207">
            <v>203</v>
          </cell>
          <cell r="C207">
            <v>463.51000000000005</v>
          </cell>
          <cell r="D207">
            <v>648.91</v>
          </cell>
          <cell r="E207">
            <v>0</v>
          </cell>
          <cell r="F207">
            <v>285.16000000000008</v>
          </cell>
          <cell r="G207">
            <v>399.22</v>
          </cell>
        </row>
        <row r="208">
          <cell r="B208">
            <v>204</v>
          </cell>
          <cell r="C208">
            <v>465.80000000000007</v>
          </cell>
          <cell r="D208">
            <v>652.12</v>
          </cell>
          <cell r="E208">
            <v>0</v>
          </cell>
          <cell r="F208">
            <v>286.57000000000011</v>
          </cell>
          <cell r="G208">
            <v>401.2</v>
          </cell>
        </row>
        <row r="209">
          <cell r="B209">
            <v>205</v>
          </cell>
          <cell r="C209">
            <v>468.09000000000009</v>
          </cell>
          <cell r="D209">
            <v>655.33000000000004</v>
          </cell>
          <cell r="E209">
            <v>0</v>
          </cell>
          <cell r="F209">
            <v>287.98000000000013</v>
          </cell>
          <cell r="G209">
            <v>403.17</v>
          </cell>
        </row>
        <row r="210">
          <cell r="B210">
            <v>206</v>
          </cell>
          <cell r="C210">
            <v>470.38000000000011</v>
          </cell>
          <cell r="D210">
            <v>658.53</v>
          </cell>
          <cell r="E210">
            <v>0</v>
          </cell>
          <cell r="F210">
            <v>289.39000000000016</v>
          </cell>
          <cell r="G210">
            <v>405.15</v>
          </cell>
        </row>
        <row r="211">
          <cell r="B211">
            <v>207</v>
          </cell>
          <cell r="C211">
            <v>472.67000000000013</v>
          </cell>
          <cell r="D211">
            <v>661.74</v>
          </cell>
          <cell r="E211">
            <v>0</v>
          </cell>
          <cell r="F211">
            <v>290.80000000000018</v>
          </cell>
          <cell r="G211">
            <v>407.12</v>
          </cell>
        </row>
        <row r="212">
          <cell r="B212">
            <v>208</v>
          </cell>
          <cell r="C212">
            <v>474.96000000000015</v>
          </cell>
          <cell r="D212">
            <v>664.94</v>
          </cell>
          <cell r="E212">
            <v>0</v>
          </cell>
          <cell r="F212">
            <v>292.21000000000021</v>
          </cell>
          <cell r="G212">
            <v>409.09</v>
          </cell>
        </row>
        <row r="213">
          <cell r="B213">
            <v>209</v>
          </cell>
          <cell r="C213">
            <v>477.25000000000017</v>
          </cell>
          <cell r="D213">
            <v>668.15</v>
          </cell>
          <cell r="E213">
            <v>0</v>
          </cell>
          <cell r="F213">
            <v>293.62000000000023</v>
          </cell>
          <cell r="G213">
            <v>411.07</v>
          </cell>
        </row>
        <row r="214">
          <cell r="B214">
            <v>210</v>
          </cell>
          <cell r="C214">
            <v>479.54000000000019</v>
          </cell>
          <cell r="D214">
            <v>671.36</v>
          </cell>
          <cell r="E214">
            <v>0</v>
          </cell>
          <cell r="F214">
            <v>295.03000000000026</v>
          </cell>
          <cell r="G214">
            <v>413.04</v>
          </cell>
        </row>
        <row r="215">
          <cell r="B215">
            <v>211</v>
          </cell>
          <cell r="C215">
            <v>481.83000000000021</v>
          </cell>
          <cell r="D215">
            <v>674.56</v>
          </cell>
          <cell r="E215">
            <v>0</v>
          </cell>
          <cell r="F215">
            <v>296.44000000000028</v>
          </cell>
          <cell r="G215">
            <v>415.02</v>
          </cell>
        </row>
        <row r="216">
          <cell r="B216">
            <v>212</v>
          </cell>
          <cell r="C216">
            <v>484.12000000000023</v>
          </cell>
          <cell r="D216">
            <v>677.77</v>
          </cell>
          <cell r="E216">
            <v>0</v>
          </cell>
          <cell r="F216">
            <v>297.85000000000031</v>
          </cell>
          <cell r="G216">
            <v>416.99</v>
          </cell>
        </row>
        <row r="217">
          <cell r="B217">
            <v>213</v>
          </cell>
          <cell r="C217">
            <v>486.41000000000025</v>
          </cell>
          <cell r="D217">
            <v>680.97</v>
          </cell>
          <cell r="E217">
            <v>0</v>
          </cell>
          <cell r="F217">
            <v>299.26000000000033</v>
          </cell>
          <cell r="G217">
            <v>418.96</v>
          </cell>
        </row>
        <row r="218">
          <cell r="B218">
            <v>214</v>
          </cell>
          <cell r="C218">
            <v>488.70000000000027</v>
          </cell>
          <cell r="D218">
            <v>684.18</v>
          </cell>
          <cell r="E218">
            <v>0</v>
          </cell>
          <cell r="F218">
            <v>300.67000000000036</v>
          </cell>
          <cell r="G218">
            <v>420.94</v>
          </cell>
        </row>
        <row r="219">
          <cell r="B219">
            <v>215</v>
          </cell>
          <cell r="C219">
            <v>490.99000000000029</v>
          </cell>
          <cell r="D219">
            <v>687.39</v>
          </cell>
          <cell r="E219">
            <v>0</v>
          </cell>
          <cell r="F219">
            <v>302.08000000000038</v>
          </cell>
          <cell r="G219">
            <v>422.91</v>
          </cell>
        </row>
        <row r="220">
          <cell r="B220">
            <v>216</v>
          </cell>
          <cell r="C220">
            <v>493.28000000000031</v>
          </cell>
          <cell r="D220">
            <v>690.59</v>
          </cell>
          <cell r="E220">
            <v>0</v>
          </cell>
          <cell r="F220">
            <v>303.49000000000041</v>
          </cell>
          <cell r="G220">
            <v>424.89</v>
          </cell>
        </row>
        <row r="221">
          <cell r="B221">
            <v>217</v>
          </cell>
          <cell r="C221">
            <v>495.57000000000033</v>
          </cell>
          <cell r="D221">
            <v>693.8</v>
          </cell>
          <cell r="E221">
            <v>0</v>
          </cell>
          <cell r="F221">
            <v>304.90000000000043</v>
          </cell>
          <cell r="G221">
            <v>426.86</v>
          </cell>
        </row>
        <row r="222">
          <cell r="B222">
            <v>218</v>
          </cell>
          <cell r="C222">
            <v>497.86000000000035</v>
          </cell>
          <cell r="D222">
            <v>697</v>
          </cell>
          <cell r="E222">
            <v>0</v>
          </cell>
          <cell r="F222">
            <v>306.31000000000046</v>
          </cell>
          <cell r="G222">
            <v>428.83</v>
          </cell>
        </row>
        <row r="223">
          <cell r="B223">
            <v>219</v>
          </cell>
          <cell r="C223">
            <v>500.15000000000038</v>
          </cell>
          <cell r="D223">
            <v>700.21</v>
          </cell>
          <cell r="E223">
            <v>0</v>
          </cell>
          <cell r="F223">
            <v>307.72000000000048</v>
          </cell>
          <cell r="G223">
            <v>430.81</v>
          </cell>
        </row>
        <row r="224">
          <cell r="B224">
            <v>220</v>
          </cell>
          <cell r="C224">
            <v>502.4400000000004</v>
          </cell>
          <cell r="D224">
            <v>703.42</v>
          </cell>
          <cell r="E224">
            <v>0</v>
          </cell>
          <cell r="F224">
            <v>309.13000000000051</v>
          </cell>
          <cell r="G224">
            <v>432.78</v>
          </cell>
        </row>
        <row r="225">
          <cell r="B225">
            <v>221</v>
          </cell>
          <cell r="C225">
            <v>504.73000000000042</v>
          </cell>
          <cell r="D225">
            <v>706.62</v>
          </cell>
          <cell r="E225">
            <v>0</v>
          </cell>
          <cell r="F225">
            <v>310.54000000000053</v>
          </cell>
          <cell r="G225">
            <v>434.76</v>
          </cell>
        </row>
        <row r="226">
          <cell r="B226">
            <v>222</v>
          </cell>
          <cell r="C226">
            <v>507.02000000000044</v>
          </cell>
          <cell r="D226">
            <v>709.83</v>
          </cell>
          <cell r="E226">
            <v>0</v>
          </cell>
          <cell r="F226">
            <v>311.95000000000056</v>
          </cell>
          <cell r="G226">
            <v>436.73</v>
          </cell>
        </row>
        <row r="227">
          <cell r="B227">
            <v>223</v>
          </cell>
          <cell r="C227">
            <v>509.31000000000046</v>
          </cell>
          <cell r="D227">
            <v>713.03</v>
          </cell>
          <cell r="E227">
            <v>0</v>
          </cell>
          <cell r="F227">
            <v>313.36000000000058</v>
          </cell>
          <cell r="G227">
            <v>438.7</v>
          </cell>
        </row>
        <row r="228">
          <cell r="B228">
            <v>224</v>
          </cell>
          <cell r="C228">
            <v>511.60000000000048</v>
          </cell>
          <cell r="D228">
            <v>716.24</v>
          </cell>
          <cell r="E228">
            <v>0</v>
          </cell>
          <cell r="F228">
            <v>314.77000000000061</v>
          </cell>
          <cell r="G228">
            <v>440.68</v>
          </cell>
        </row>
        <row r="229">
          <cell r="B229">
            <v>225</v>
          </cell>
          <cell r="C229">
            <v>513.89000000000044</v>
          </cell>
          <cell r="D229">
            <v>719.45</v>
          </cell>
          <cell r="E229">
            <v>0</v>
          </cell>
          <cell r="F229">
            <v>316.18000000000063</v>
          </cell>
          <cell r="G229">
            <v>442.65</v>
          </cell>
        </row>
        <row r="230">
          <cell r="B230">
            <v>226</v>
          </cell>
          <cell r="C230">
            <v>516.1800000000004</v>
          </cell>
          <cell r="D230">
            <v>722.65</v>
          </cell>
          <cell r="E230">
            <v>0</v>
          </cell>
          <cell r="F230">
            <v>317.59000000000066</v>
          </cell>
          <cell r="G230">
            <v>444.63</v>
          </cell>
        </row>
        <row r="231">
          <cell r="B231">
            <v>227</v>
          </cell>
          <cell r="C231">
            <v>518.47000000000037</v>
          </cell>
          <cell r="D231">
            <v>725.86</v>
          </cell>
          <cell r="E231">
            <v>0</v>
          </cell>
          <cell r="F231">
            <v>319.00000000000068</v>
          </cell>
          <cell r="G231">
            <v>446.6</v>
          </cell>
        </row>
        <row r="232">
          <cell r="B232">
            <v>228</v>
          </cell>
          <cell r="C232">
            <v>520.76000000000033</v>
          </cell>
          <cell r="D232">
            <v>729.06</v>
          </cell>
          <cell r="E232">
            <v>0</v>
          </cell>
          <cell r="F232">
            <v>320.41000000000071</v>
          </cell>
          <cell r="G232">
            <v>448.57</v>
          </cell>
        </row>
        <row r="233">
          <cell r="B233">
            <v>229</v>
          </cell>
          <cell r="C233">
            <v>523.0500000000003</v>
          </cell>
          <cell r="D233">
            <v>732.27</v>
          </cell>
          <cell r="E233">
            <v>0</v>
          </cell>
          <cell r="F233">
            <v>321.82000000000073</v>
          </cell>
          <cell r="G233">
            <v>450.55</v>
          </cell>
        </row>
        <row r="234">
          <cell r="B234">
            <v>230</v>
          </cell>
          <cell r="C234">
            <v>525.34000000000026</v>
          </cell>
          <cell r="D234">
            <v>735.48</v>
          </cell>
          <cell r="E234">
            <v>0</v>
          </cell>
          <cell r="F234">
            <v>323.23000000000076</v>
          </cell>
          <cell r="G234">
            <v>452.52</v>
          </cell>
        </row>
        <row r="235">
          <cell r="B235">
            <v>231</v>
          </cell>
          <cell r="C235">
            <v>527.63000000000022</v>
          </cell>
          <cell r="D235">
            <v>738.68</v>
          </cell>
          <cell r="E235">
            <v>0</v>
          </cell>
          <cell r="F235">
            <v>324.64000000000078</v>
          </cell>
          <cell r="G235">
            <v>454.5</v>
          </cell>
        </row>
        <row r="236">
          <cell r="B236">
            <v>232</v>
          </cell>
          <cell r="C236">
            <v>529.92000000000019</v>
          </cell>
          <cell r="D236">
            <v>741.89</v>
          </cell>
          <cell r="E236">
            <v>0</v>
          </cell>
          <cell r="F236">
            <v>326.05000000000081</v>
          </cell>
          <cell r="G236">
            <v>456.47</v>
          </cell>
        </row>
        <row r="237">
          <cell r="B237">
            <v>233</v>
          </cell>
          <cell r="C237">
            <v>532.21000000000015</v>
          </cell>
          <cell r="D237">
            <v>745.09</v>
          </cell>
          <cell r="E237">
            <v>0</v>
          </cell>
          <cell r="F237">
            <v>327.46000000000083</v>
          </cell>
          <cell r="G237">
            <v>458.44</v>
          </cell>
        </row>
        <row r="238">
          <cell r="B238">
            <v>234</v>
          </cell>
          <cell r="C238">
            <v>534.50000000000011</v>
          </cell>
          <cell r="D238">
            <v>748.3</v>
          </cell>
          <cell r="E238">
            <v>0</v>
          </cell>
          <cell r="F238">
            <v>328.87000000000086</v>
          </cell>
          <cell r="G238">
            <v>460.42</v>
          </cell>
        </row>
        <row r="239">
          <cell r="B239">
            <v>235</v>
          </cell>
          <cell r="C239">
            <v>536.79000000000008</v>
          </cell>
          <cell r="D239">
            <v>751.51</v>
          </cell>
          <cell r="E239">
            <v>0</v>
          </cell>
          <cell r="F239">
            <v>330.28000000000088</v>
          </cell>
          <cell r="G239">
            <v>462.39</v>
          </cell>
        </row>
        <row r="240">
          <cell r="B240">
            <v>236</v>
          </cell>
          <cell r="C240">
            <v>539.08000000000004</v>
          </cell>
          <cell r="D240">
            <v>754.71</v>
          </cell>
          <cell r="E240">
            <v>0</v>
          </cell>
          <cell r="F240">
            <v>331.69000000000091</v>
          </cell>
          <cell r="G240">
            <v>464.37</v>
          </cell>
        </row>
        <row r="241">
          <cell r="B241">
            <v>237</v>
          </cell>
          <cell r="C241">
            <v>541.37</v>
          </cell>
          <cell r="D241">
            <v>757.92</v>
          </cell>
          <cell r="E241">
            <v>0</v>
          </cell>
          <cell r="F241">
            <v>333.10000000000093</v>
          </cell>
          <cell r="G241">
            <v>466.34</v>
          </cell>
        </row>
        <row r="242">
          <cell r="B242">
            <v>238</v>
          </cell>
          <cell r="C242">
            <v>543.66</v>
          </cell>
          <cell r="D242">
            <v>761.12</v>
          </cell>
          <cell r="E242">
            <v>0</v>
          </cell>
          <cell r="F242">
            <v>334.51000000000096</v>
          </cell>
          <cell r="G242">
            <v>468.31</v>
          </cell>
        </row>
        <row r="243">
          <cell r="B243">
            <v>239</v>
          </cell>
          <cell r="C243">
            <v>545.94999999999993</v>
          </cell>
          <cell r="D243">
            <v>764.33</v>
          </cell>
          <cell r="E243">
            <v>0</v>
          </cell>
          <cell r="F243">
            <v>335.92000000000098</v>
          </cell>
          <cell r="G243">
            <v>470.29</v>
          </cell>
        </row>
        <row r="244">
          <cell r="B244">
            <v>240</v>
          </cell>
          <cell r="C244">
            <v>548.2399999999999</v>
          </cell>
          <cell r="D244">
            <v>767.54</v>
          </cell>
          <cell r="E244">
            <v>0</v>
          </cell>
          <cell r="F244">
            <v>337.33000000000101</v>
          </cell>
          <cell r="G244">
            <v>472.26</v>
          </cell>
        </row>
        <row r="245">
          <cell r="B245">
            <v>241</v>
          </cell>
          <cell r="C245">
            <v>550.52999999999986</v>
          </cell>
          <cell r="D245">
            <v>770.74</v>
          </cell>
          <cell r="E245">
            <v>0</v>
          </cell>
          <cell r="F245">
            <v>338.74000000000103</v>
          </cell>
          <cell r="G245">
            <v>474.24</v>
          </cell>
        </row>
        <row r="246">
          <cell r="B246">
            <v>242</v>
          </cell>
          <cell r="C246">
            <v>552.81999999999982</v>
          </cell>
          <cell r="D246">
            <v>773.95</v>
          </cell>
          <cell r="E246">
            <v>0</v>
          </cell>
          <cell r="F246">
            <v>340.15000000000106</v>
          </cell>
          <cell r="G246">
            <v>476.21</v>
          </cell>
        </row>
        <row r="247">
          <cell r="B247">
            <v>243</v>
          </cell>
          <cell r="C247">
            <v>555.10999999999979</v>
          </cell>
          <cell r="D247">
            <v>777.15</v>
          </cell>
          <cell r="E247">
            <v>0</v>
          </cell>
          <cell r="F247">
            <v>341.56000000000108</v>
          </cell>
          <cell r="G247">
            <v>478.18</v>
          </cell>
        </row>
        <row r="248">
          <cell r="B248">
            <v>244</v>
          </cell>
          <cell r="C248">
            <v>557.39999999999975</v>
          </cell>
          <cell r="D248">
            <v>780.36</v>
          </cell>
          <cell r="E248">
            <v>0</v>
          </cell>
          <cell r="F248">
            <v>342.97000000000111</v>
          </cell>
          <cell r="G248">
            <v>480.16</v>
          </cell>
        </row>
        <row r="249">
          <cell r="B249">
            <v>245</v>
          </cell>
          <cell r="C249">
            <v>559.68999999999971</v>
          </cell>
          <cell r="D249">
            <v>783.57</v>
          </cell>
          <cell r="E249">
            <v>0</v>
          </cell>
          <cell r="F249">
            <v>344.38000000000113</v>
          </cell>
          <cell r="G249">
            <v>482.13</v>
          </cell>
        </row>
        <row r="250">
          <cell r="B250">
            <v>246</v>
          </cell>
          <cell r="C250">
            <v>561.97999999999968</v>
          </cell>
          <cell r="D250">
            <v>786.77</v>
          </cell>
          <cell r="E250">
            <v>0</v>
          </cell>
          <cell r="F250">
            <v>345.79000000000116</v>
          </cell>
          <cell r="G250">
            <v>484.11</v>
          </cell>
        </row>
        <row r="251">
          <cell r="B251">
            <v>247</v>
          </cell>
          <cell r="C251">
            <v>564.26999999999964</v>
          </cell>
          <cell r="D251">
            <v>789.98</v>
          </cell>
          <cell r="E251">
            <v>0</v>
          </cell>
          <cell r="F251">
            <v>347.20000000000118</v>
          </cell>
          <cell r="G251">
            <v>486.08</v>
          </cell>
        </row>
        <row r="252">
          <cell r="B252">
            <v>248</v>
          </cell>
          <cell r="C252">
            <v>566.5599999999996</v>
          </cell>
          <cell r="D252">
            <v>793.18</v>
          </cell>
          <cell r="E252">
            <v>0</v>
          </cell>
          <cell r="F252">
            <v>348.61000000000121</v>
          </cell>
          <cell r="G252">
            <v>488.05</v>
          </cell>
        </row>
        <row r="253">
          <cell r="B253">
            <v>249</v>
          </cell>
          <cell r="C253">
            <v>568.84999999999957</v>
          </cell>
          <cell r="D253">
            <v>796.39</v>
          </cell>
          <cell r="E253">
            <v>0</v>
          </cell>
          <cell r="F253">
            <v>350.02000000000123</v>
          </cell>
          <cell r="G253">
            <v>490.03</v>
          </cell>
        </row>
        <row r="254">
          <cell r="B254">
            <v>250</v>
          </cell>
          <cell r="C254">
            <v>571.13999999999953</v>
          </cell>
          <cell r="D254">
            <v>799.6</v>
          </cell>
          <cell r="E254">
            <v>0</v>
          </cell>
          <cell r="F254">
            <v>351.43000000000126</v>
          </cell>
          <cell r="G254">
            <v>492</v>
          </cell>
        </row>
        <row r="255">
          <cell r="B255">
            <v>251</v>
          </cell>
          <cell r="C255">
            <v>573.4299999999995</v>
          </cell>
          <cell r="D255">
            <v>802.8</v>
          </cell>
          <cell r="E255">
            <v>0</v>
          </cell>
          <cell r="F255">
            <v>352.84000000000128</v>
          </cell>
          <cell r="G255">
            <v>493.98</v>
          </cell>
        </row>
        <row r="256">
          <cell r="B256">
            <v>252</v>
          </cell>
          <cell r="C256">
            <v>575.71999999999946</v>
          </cell>
          <cell r="D256">
            <v>806.01</v>
          </cell>
          <cell r="E256">
            <v>0</v>
          </cell>
          <cell r="F256">
            <v>354.25000000000131</v>
          </cell>
          <cell r="G256">
            <v>495.95</v>
          </cell>
        </row>
        <row r="257">
          <cell r="B257">
            <v>253</v>
          </cell>
          <cell r="C257">
            <v>578.00999999999942</v>
          </cell>
          <cell r="D257">
            <v>809.21</v>
          </cell>
          <cell r="E257">
            <v>0</v>
          </cell>
          <cell r="F257">
            <v>355.66000000000133</v>
          </cell>
          <cell r="G257">
            <v>497.92</v>
          </cell>
        </row>
        <row r="258">
          <cell r="B258">
            <v>254</v>
          </cell>
          <cell r="C258">
            <v>580.29999999999939</v>
          </cell>
          <cell r="D258">
            <v>812.42</v>
          </cell>
          <cell r="E258">
            <v>0</v>
          </cell>
          <cell r="F258">
            <v>357.07000000000136</v>
          </cell>
          <cell r="G258">
            <v>499.9</v>
          </cell>
        </row>
        <row r="259">
          <cell r="B259">
            <v>255</v>
          </cell>
          <cell r="C259">
            <v>582.58999999999935</v>
          </cell>
          <cell r="D259">
            <v>815.63</v>
          </cell>
          <cell r="E259">
            <v>0</v>
          </cell>
          <cell r="F259">
            <v>358.48000000000138</v>
          </cell>
          <cell r="G259">
            <v>501.87</v>
          </cell>
        </row>
        <row r="260">
          <cell r="B260">
            <v>256</v>
          </cell>
          <cell r="C260">
            <v>584.87999999999931</v>
          </cell>
          <cell r="D260">
            <v>818.83</v>
          </cell>
          <cell r="E260">
            <v>0</v>
          </cell>
          <cell r="F260">
            <v>359.89000000000141</v>
          </cell>
          <cell r="G260">
            <v>503.85</v>
          </cell>
        </row>
        <row r="261">
          <cell r="B261">
            <v>257</v>
          </cell>
          <cell r="C261">
            <v>587.16999999999928</v>
          </cell>
          <cell r="D261">
            <v>822.04</v>
          </cell>
          <cell r="E261">
            <v>0</v>
          </cell>
          <cell r="F261">
            <v>361.30000000000143</v>
          </cell>
          <cell r="G261">
            <v>505.82</v>
          </cell>
        </row>
        <row r="262">
          <cell r="B262">
            <v>258</v>
          </cell>
          <cell r="C262">
            <v>589.45999999999924</v>
          </cell>
          <cell r="D262">
            <v>825.24</v>
          </cell>
          <cell r="E262">
            <v>0</v>
          </cell>
          <cell r="F262">
            <v>362.71000000000146</v>
          </cell>
          <cell r="G262">
            <v>507.79</v>
          </cell>
        </row>
        <row r="263">
          <cell r="B263">
            <v>259</v>
          </cell>
          <cell r="C263">
            <v>591.7499999999992</v>
          </cell>
          <cell r="D263">
            <v>828.45</v>
          </cell>
          <cell r="E263">
            <v>0</v>
          </cell>
          <cell r="F263">
            <v>364.12000000000148</v>
          </cell>
          <cell r="G263">
            <v>509.77</v>
          </cell>
        </row>
        <row r="264">
          <cell r="B264">
            <v>260</v>
          </cell>
          <cell r="C264">
            <v>594.03999999999917</v>
          </cell>
          <cell r="D264">
            <v>831.66</v>
          </cell>
          <cell r="E264">
            <v>0</v>
          </cell>
          <cell r="F264">
            <v>365.53000000000151</v>
          </cell>
          <cell r="G264">
            <v>511.74</v>
          </cell>
        </row>
        <row r="265">
          <cell r="B265">
            <v>261</v>
          </cell>
          <cell r="C265">
            <v>596.32999999999913</v>
          </cell>
          <cell r="D265">
            <v>834.86</v>
          </cell>
          <cell r="E265">
            <v>0</v>
          </cell>
          <cell r="F265">
            <v>366.94000000000153</v>
          </cell>
          <cell r="G265">
            <v>513.72</v>
          </cell>
        </row>
        <row r="266">
          <cell r="B266">
            <v>262</v>
          </cell>
          <cell r="C266">
            <v>598.6199999999991</v>
          </cell>
          <cell r="D266">
            <v>838.07</v>
          </cell>
          <cell r="E266">
            <v>0</v>
          </cell>
          <cell r="F266">
            <v>368.35000000000156</v>
          </cell>
          <cell r="G266">
            <v>515.69000000000005</v>
          </cell>
        </row>
        <row r="267">
          <cell r="B267">
            <v>263</v>
          </cell>
          <cell r="C267">
            <v>600.90999999999906</v>
          </cell>
          <cell r="D267">
            <v>841.27</v>
          </cell>
          <cell r="E267">
            <v>0</v>
          </cell>
          <cell r="F267">
            <v>369.76000000000158</v>
          </cell>
          <cell r="G267">
            <v>517.66</v>
          </cell>
        </row>
        <row r="268">
          <cell r="B268">
            <v>264</v>
          </cell>
          <cell r="C268">
            <v>603.19999999999902</v>
          </cell>
          <cell r="D268">
            <v>844.48</v>
          </cell>
          <cell r="E268">
            <v>0</v>
          </cell>
          <cell r="F268">
            <v>371.17000000000161</v>
          </cell>
          <cell r="G268">
            <v>519.64</v>
          </cell>
        </row>
        <row r="269">
          <cell r="B269">
            <v>265</v>
          </cell>
          <cell r="C269">
            <v>605.48999999999899</v>
          </cell>
          <cell r="D269">
            <v>847.69</v>
          </cell>
          <cell r="E269">
            <v>0</v>
          </cell>
          <cell r="F269">
            <v>372.58000000000163</v>
          </cell>
          <cell r="G269">
            <v>521.61</v>
          </cell>
        </row>
        <row r="270">
          <cell r="B270">
            <v>266</v>
          </cell>
          <cell r="C270">
            <v>607.77999999999895</v>
          </cell>
          <cell r="D270">
            <v>850.89</v>
          </cell>
          <cell r="E270">
            <v>0</v>
          </cell>
          <cell r="F270">
            <v>373.99000000000166</v>
          </cell>
          <cell r="G270">
            <v>523.59</v>
          </cell>
        </row>
        <row r="271">
          <cell r="B271">
            <v>267</v>
          </cell>
          <cell r="C271">
            <v>610.06999999999891</v>
          </cell>
          <cell r="D271">
            <v>854.1</v>
          </cell>
          <cell r="E271">
            <v>0</v>
          </cell>
          <cell r="F271">
            <v>375.40000000000168</v>
          </cell>
          <cell r="G271">
            <v>525.55999999999995</v>
          </cell>
        </row>
        <row r="272">
          <cell r="B272">
            <v>268</v>
          </cell>
          <cell r="C272">
            <v>612.35999999999888</v>
          </cell>
          <cell r="D272">
            <v>857.3</v>
          </cell>
          <cell r="E272">
            <v>0</v>
          </cell>
          <cell r="F272">
            <v>376.81000000000171</v>
          </cell>
          <cell r="G272">
            <v>527.53</v>
          </cell>
        </row>
        <row r="273">
          <cell r="B273">
            <v>269</v>
          </cell>
          <cell r="C273">
            <v>614.64999999999884</v>
          </cell>
          <cell r="D273">
            <v>860.51</v>
          </cell>
          <cell r="E273">
            <v>0</v>
          </cell>
          <cell r="F273">
            <v>378.22000000000173</v>
          </cell>
          <cell r="G273">
            <v>529.51</v>
          </cell>
        </row>
        <row r="274">
          <cell r="B274">
            <v>270</v>
          </cell>
          <cell r="C274">
            <v>616.9399999999988</v>
          </cell>
          <cell r="D274">
            <v>863.72</v>
          </cell>
          <cell r="E274">
            <v>0</v>
          </cell>
          <cell r="F274">
            <v>379.63000000000176</v>
          </cell>
          <cell r="G274">
            <v>531.48</v>
          </cell>
        </row>
        <row r="275">
          <cell r="B275">
            <v>271</v>
          </cell>
          <cell r="C275">
            <v>619.22999999999877</v>
          </cell>
          <cell r="D275">
            <v>866.92</v>
          </cell>
          <cell r="E275">
            <v>0</v>
          </cell>
          <cell r="F275">
            <v>381.04000000000178</v>
          </cell>
          <cell r="G275">
            <v>533.46</v>
          </cell>
        </row>
        <row r="276">
          <cell r="B276">
            <v>272</v>
          </cell>
          <cell r="C276">
            <v>621.51999999999873</v>
          </cell>
          <cell r="D276">
            <v>870.13</v>
          </cell>
          <cell r="E276">
            <v>0</v>
          </cell>
          <cell r="F276">
            <v>382.45000000000181</v>
          </cell>
          <cell r="G276">
            <v>535.42999999999995</v>
          </cell>
        </row>
        <row r="277">
          <cell r="B277">
            <v>273</v>
          </cell>
          <cell r="C277">
            <v>623.80999999999869</v>
          </cell>
          <cell r="D277">
            <v>873.33</v>
          </cell>
          <cell r="E277">
            <v>0</v>
          </cell>
          <cell r="F277">
            <v>383.86000000000183</v>
          </cell>
          <cell r="G277">
            <v>537.4</v>
          </cell>
        </row>
        <row r="278">
          <cell r="B278">
            <v>274</v>
          </cell>
          <cell r="C278">
            <v>626.09999999999866</v>
          </cell>
          <cell r="D278">
            <v>876.54</v>
          </cell>
          <cell r="E278">
            <v>0</v>
          </cell>
          <cell r="F278">
            <v>385.27000000000186</v>
          </cell>
          <cell r="G278">
            <v>539.38</v>
          </cell>
        </row>
        <row r="279">
          <cell r="B279">
            <v>275</v>
          </cell>
          <cell r="C279">
            <v>628.38999999999862</v>
          </cell>
          <cell r="D279">
            <v>879.75</v>
          </cell>
          <cell r="E279">
            <v>0</v>
          </cell>
          <cell r="F279">
            <v>386.68000000000188</v>
          </cell>
          <cell r="G279">
            <v>541.35</v>
          </cell>
        </row>
        <row r="280">
          <cell r="B280">
            <v>276</v>
          </cell>
          <cell r="C280">
            <v>630.67999999999859</v>
          </cell>
          <cell r="D280">
            <v>882.95</v>
          </cell>
          <cell r="E280">
            <v>0</v>
          </cell>
          <cell r="F280">
            <v>388.09000000000191</v>
          </cell>
          <cell r="G280">
            <v>543.33000000000004</v>
          </cell>
        </row>
        <row r="281">
          <cell r="B281">
            <v>277</v>
          </cell>
          <cell r="C281">
            <v>632.96999999999855</v>
          </cell>
          <cell r="D281">
            <v>886.16</v>
          </cell>
          <cell r="E281">
            <v>0</v>
          </cell>
          <cell r="F281">
            <v>389.50000000000193</v>
          </cell>
          <cell r="G281">
            <v>545.29999999999995</v>
          </cell>
        </row>
        <row r="282">
          <cell r="B282">
            <v>278</v>
          </cell>
          <cell r="C282">
            <v>635.25999999999851</v>
          </cell>
          <cell r="D282">
            <v>889.36</v>
          </cell>
          <cell r="E282">
            <v>0</v>
          </cell>
          <cell r="F282">
            <v>390.91000000000196</v>
          </cell>
          <cell r="G282">
            <v>547.27</v>
          </cell>
        </row>
        <row r="283">
          <cell r="B283">
            <v>279</v>
          </cell>
          <cell r="C283">
            <v>637.54999999999848</v>
          </cell>
          <cell r="D283">
            <v>892.57</v>
          </cell>
          <cell r="E283">
            <v>0</v>
          </cell>
          <cell r="F283">
            <v>392.32000000000198</v>
          </cell>
          <cell r="G283">
            <v>549.25</v>
          </cell>
        </row>
        <row r="284">
          <cell r="B284">
            <v>280</v>
          </cell>
          <cell r="C284">
            <v>639.83999999999844</v>
          </cell>
          <cell r="D284">
            <v>895.78</v>
          </cell>
          <cell r="E284">
            <v>0</v>
          </cell>
          <cell r="F284">
            <v>393.73000000000201</v>
          </cell>
          <cell r="G284">
            <v>551.22</v>
          </cell>
        </row>
        <row r="285">
          <cell r="B285">
            <v>281</v>
          </cell>
          <cell r="C285">
            <v>642.1299999999984</v>
          </cell>
          <cell r="D285">
            <v>898.98</v>
          </cell>
          <cell r="E285">
            <v>0</v>
          </cell>
          <cell r="F285">
            <v>395.14000000000203</v>
          </cell>
          <cell r="G285">
            <v>553.20000000000005</v>
          </cell>
        </row>
        <row r="286">
          <cell r="B286">
            <v>282</v>
          </cell>
          <cell r="C286">
            <v>644.41999999999837</v>
          </cell>
          <cell r="D286">
            <v>902.19</v>
          </cell>
          <cell r="E286">
            <v>0</v>
          </cell>
          <cell r="F286">
            <v>396.55000000000206</v>
          </cell>
          <cell r="G286">
            <v>555.16999999999996</v>
          </cell>
        </row>
        <row r="287">
          <cell r="B287">
            <v>283</v>
          </cell>
          <cell r="C287">
            <v>646.70999999999833</v>
          </cell>
          <cell r="D287">
            <v>905.39</v>
          </cell>
          <cell r="E287">
            <v>0</v>
          </cell>
          <cell r="F287">
            <v>397.96000000000208</v>
          </cell>
          <cell r="G287">
            <v>557.14</v>
          </cell>
        </row>
        <row r="288">
          <cell r="B288">
            <v>284</v>
          </cell>
          <cell r="C288">
            <v>648.99999999999829</v>
          </cell>
          <cell r="D288">
            <v>908.6</v>
          </cell>
          <cell r="E288">
            <v>0</v>
          </cell>
          <cell r="F288">
            <v>399.37000000000211</v>
          </cell>
          <cell r="G288">
            <v>559.12</v>
          </cell>
        </row>
        <row r="289">
          <cell r="B289">
            <v>285</v>
          </cell>
          <cell r="C289">
            <v>651.28999999999826</v>
          </cell>
          <cell r="D289">
            <v>911.81</v>
          </cell>
          <cell r="E289">
            <v>0</v>
          </cell>
          <cell r="F289">
            <v>400.78000000000213</v>
          </cell>
          <cell r="G289">
            <v>561.09</v>
          </cell>
        </row>
        <row r="290">
          <cell r="B290">
            <v>286</v>
          </cell>
          <cell r="C290">
            <v>653.57999999999822</v>
          </cell>
          <cell r="D290">
            <v>915.01</v>
          </cell>
          <cell r="E290">
            <v>0</v>
          </cell>
          <cell r="F290">
            <v>402.19000000000216</v>
          </cell>
          <cell r="G290">
            <v>563.07000000000005</v>
          </cell>
        </row>
        <row r="291">
          <cell r="B291">
            <v>287</v>
          </cell>
          <cell r="C291">
            <v>655.86999999999819</v>
          </cell>
          <cell r="D291">
            <v>918.22</v>
          </cell>
          <cell r="E291">
            <v>0</v>
          </cell>
          <cell r="F291">
            <v>403.60000000000218</v>
          </cell>
          <cell r="G291">
            <v>565.04</v>
          </cell>
        </row>
        <row r="292">
          <cell r="B292">
            <v>288</v>
          </cell>
          <cell r="C292">
            <v>658.15999999999815</v>
          </cell>
          <cell r="D292">
            <v>921.42</v>
          </cell>
          <cell r="E292">
            <v>0</v>
          </cell>
          <cell r="F292">
            <v>405.01000000000221</v>
          </cell>
          <cell r="G292">
            <v>567.01</v>
          </cell>
        </row>
        <row r="293">
          <cell r="B293">
            <v>289</v>
          </cell>
          <cell r="C293">
            <v>660.44999999999811</v>
          </cell>
          <cell r="D293">
            <v>924.63</v>
          </cell>
          <cell r="E293">
            <v>0</v>
          </cell>
          <cell r="F293">
            <v>406.42000000000223</v>
          </cell>
          <cell r="G293">
            <v>568.99</v>
          </cell>
        </row>
        <row r="294">
          <cell r="B294">
            <v>290</v>
          </cell>
          <cell r="C294">
            <v>662.73999999999808</v>
          </cell>
          <cell r="D294">
            <v>927.84</v>
          </cell>
          <cell r="E294">
            <v>0</v>
          </cell>
          <cell r="F294">
            <v>407.83000000000226</v>
          </cell>
          <cell r="G294">
            <v>570.96</v>
          </cell>
        </row>
        <row r="295">
          <cell r="B295">
            <v>291</v>
          </cell>
          <cell r="C295">
            <v>665.02999999999804</v>
          </cell>
          <cell r="D295">
            <v>931.04</v>
          </cell>
          <cell r="E295">
            <v>0</v>
          </cell>
          <cell r="F295">
            <v>409.24000000000228</v>
          </cell>
          <cell r="G295">
            <v>572.94000000000005</v>
          </cell>
        </row>
        <row r="296">
          <cell r="B296">
            <v>292</v>
          </cell>
          <cell r="C296">
            <v>667.319999999998</v>
          </cell>
          <cell r="D296">
            <v>934.25</v>
          </cell>
          <cell r="E296">
            <v>0</v>
          </cell>
          <cell r="F296">
            <v>410.65000000000231</v>
          </cell>
          <cell r="G296">
            <v>574.91</v>
          </cell>
        </row>
        <row r="297">
          <cell r="B297">
            <v>293</v>
          </cell>
          <cell r="C297">
            <v>669.60999999999797</v>
          </cell>
          <cell r="D297">
            <v>937.45</v>
          </cell>
          <cell r="E297">
            <v>0</v>
          </cell>
          <cell r="F297">
            <v>412.06000000000233</v>
          </cell>
          <cell r="G297">
            <v>576.88</v>
          </cell>
        </row>
        <row r="298">
          <cell r="B298">
            <v>294</v>
          </cell>
          <cell r="C298">
            <v>671.89999999999793</v>
          </cell>
          <cell r="D298">
            <v>940.66</v>
          </cell>
          <cell r="E298">
            <v>0</v>
          </cell>
          <cell r="F298">
            <v>413.47000000000236</v>
          </cell>
          <cell r="G298">
            <v>578.86</v>
          </cell>
        </row>
        <row r="299">
          <cell r="B299">
            <v>295</v>
          </cell>
          <cell r="C299">
            <v>674.18999999999789</v>
          </cell>
          <cell r="D299">
            <v>943.87</v>
          </cell>
          <cell r="E299">
            <v>0</v>
          </cell>
          <cell r="F299">
            <v>414.88000000000238</v>
          </cell>
          <cell r="G299">
            <v>580.83000000000004</v>
          </cell>
        </row>
        <row r="300">
          <cell r="B300">
            <v>296</v>
          </cell>
          <cell r="C300">
            <v>676.47999999999786</v>
          </cell>
          <cell r="D300">
            <v>947.07</v>
          </cell>
          <cell r="E300">
            <v>0</v>
          </cell>
          <cell r="F300">
            <v>416.29000000000241</v>
          </cell>
          <cell r="G300">
            <v>582.80999999999995</v>
          </cell>
        </row>
        <row r="301">
          <cell r="B301">
            <v>297</v>
          </cell>
          <cell r="C301">
            <v>678.76999999999782</v>
          </cell>
          <cell r="D301">
            <v>950.28</v>
          </cell>
          <cell r="E301">
            <v>0</v>
          </cell>
          <cell r="F301">
            <v>417.70000000000243</v>
          </cell>
          <cell r="G301">
            <v>584.78</v>
          </cell>
        </row>
        <row r="302">
          <cell r="B302">
            <v>298</v>
          </cell>
          <cell r="C302">
            <v>681.05999999999779</v>
          </cell>
          <cell r="D302">
            <v>953.48</v>
          </cell>
          <cell r="E302">
            <v>0</v>
          </cell>
          <cell r="F302">
            <v>419.11000000000246</v>
          </cell>
          <cell r="G302">
            <v>586.75</v>
          </cell>
        </row>
        <row r="303">
          <cell r="B303">
            <v>299</v>
          </cell>
          <cell r="C303">
            <v>683.34999999999775</v>
          </cell>
          <cell r="D303">
            <v>956.69</v>
          </cell>
          <cell r="E303">
            <v>0</v>
          </cell>
          <cell r="F303">
            <v>420.52000000000248</v>
          </cell>
          <cell r="G303">
            <v>588.73</v>
          </cell>
        </row>
        <row r="304">
          <cell r="B304">
            <v>300</v>
          </cell>
          <cell r="C304">
            <v>685.63999999999771</v>
          </cell>
          <cell r="D304">
            <v>959.9</v>
          </cell>
          <cell r="E304">
            <v>0</v>
          </cell>
          <cell r="F304">
            <v>421.93000000000251</v>
          </cell>
          <cell r="G304">
            <v>590.70000000000005</v>
          </cell>
        </row>
        <row r="305">
          <cell r="B305">
            <v>301</v>
          </cell>
          <cell r="C305">
            <v>687.92999999999768</v>
          </cell>
          <cell r="D305">
            <v>963.1</v>
          </cell>
          <cell r="E305">
            <v>0</v>
          </cell>
          <cell r="F305">
            <v>423.34000000000253</v>
          </cell>
          <cell r="G305">
            <v>592.67999999999995</v>
          </cell>
        </row>
        <row r="306">
          <cell r="B306">
            <v>302</v>
          </cell>
          <cell r="C306">
            <v>690.21999999999764</v>
          </cell>
          <cell r="D306">
            <v>966.31</v>
          </cell>
          <cell r="E306">
            <v>0</v>
          </cell>
          <cell r="F306">
            <v>424.75000000000256</v>
          </cell>
          <cell r="G306">
            <v>594.65</v>
          </cell>
        </row>
        <row r="307">
          <cell r="B307">
            <v>303</v>
          </cell>
          <cell r="C307">
            <v>692.5099999999976</v>
          </cell>
          <cell r="D307">
            <v>969.51</v>
          </cell>
          <cell r="E307">
            <v>0</v>
          </cell>
          <cell r="F307">
            <v>426.16000000000258</v>
          </cell>
          <cell r="G307">
            <v>596.62</v>
          </cell>
        </row>
        <row r="308">
          <cell r="B308">
            <v>304</v>
          </cell>
          <cell r="C308">
            <v>694.79999999999757</v>
          </cell>
          <cell r="D308">
            <v>972.72</v>
          </cell>
          <cell r="E308">
            <v>0</v>
          </cell>
          <cell r="F308">
            <v>427.57000000000261</v>
          </cell>
          <cell r="G308">
            <v>598.6</v>
          </cell>
        </row>
        <row r="309">
          <cell r="B309">
            <v>305</v>
          </cell>
          <cell r="C309">
            <v>697.08999999999753</v>
          </cell>
          <cell r="D309">
            <v>975.93</v>
          </cell>
          <cell r="E309">
            <v>0</v>
          </cell>
          <cell r="F309">
            <v>428.98000000000263</v>
          </cell>
          <cell r="G309">
            <v>600.57000000000005</v>
          </cell>
        </row>
        <row r="310">
          <cell r="B310">
            <v>306</v>
          </cell>
          <cell r="C310">
            <v>699.37999999999749</v>
          </cell>
          <cell r="D310">
            <v>979.13</v>
          </cell>
          <cell r="E310">
            <v>0</v>
          </cell>
          <cell r="F310">
            <v>430.39000000000266</v>
          </cell>
          <cell r="G310">
            <v>602.54999999999995</v>
          </cell>
        </row>
        <row r="311">
          <cell r="B311">
            <v>307</v>
          </cell>
          <cell r="C311">
            <v>701.66999999999746</v>
          </cell>
          <cell r="D311">
            <v>982.34</v>
          </cell>
          <cell r="E311">
            <v>0</v>
          </cell>
          <cell r="F311">
            <v>431.80000000000268</v>
          </cell>
          <cell r="G311">
            <v>604.52</v>
          </cell>
        </row>
        <row r="312">
          <cell r="B312">
            <v>308</v>
          </cell>
          <cell r="C312">
            <v>703.95999999999742</v>
          </cell>
          <cell r="D312">
            <v>985.54</v>
          </cell>
          <cell r="E312">
            <v>0</v>
          </cell>
          <cell r="F312">
            <v>433.21000000000271</v>
          </cell>
          <cell r="G312">
            <v>606.49</v>
          </cell>
        </row>
        <row r="313">
          <cell r="B313">
            <v>309</v>
          </cell>
          <cell r="C313">
            <v>706.24999999999739</v>
          </cell>
          <cell r="D313">
            <v>988.75</v>
          </cell>
          <cell r="E313">
            <v>0</v>
          </cell>
          <cell r="F313">
            <v>434.62000000000273</v>
          </cell>
          <cell r="G313">
            <v>608.47</v>
          </cell>
        </row>
        <row r="314">
          <cell r="B314">
            <v>310</v>
          </cell>
          <cell r="C314">
            <v>708.53999999999735</v>
          </cell>
          <cell r="D314">
            <v>991.96</v>
          </cell>
          <cell r="E314">
            <v>0</v>
          </cell>
          <cell r="F314">
            <v>436.03000000000276</v>
          </cell>
          <cell r="G314">
            <v>610.44000000000005</v>
          </cell>
        </row>
        <row r="315">
          <cell r="B315">
            <v>311</v>
          </cell>
          <cell r="C315">
            <v>710.82999999999731</v>
          </cell>
          <cell r="D315">
            <v>995.16</v>
          </cell>
          <cell r="E315">
            <v>0</v>
          </cell>
          <cell r="F315">
            <v>437.44000000000278</v>
          </cell>
          <cell r="G315">
            <v>612.41999999999996</v>
          </cell>
        </row>
        <row r="316">
          <cell r="B316">
            <v>312</v>
          </cell>
          <cell r="C316">
            <v>713.11999999999728</v>
          </cell>
          <cell r="D316">
            <v>998.37</v>
          </cell>
          <cell r="E316">
            <v>0</v>
          </cell>
          <cell r="F316">
            <v>438.85000000000281</v>
          </cell>
          <cell r="G316">
            <v>614.39</v>
          </cell>
        </row>
        <row r="317">
          <cell r="B317">
            <v>313</v>
          </cell>
          <cell r="C317">
            <v>715.40999999999724</v>
          </cell>
          <cell r="D317">
            <v>1001.57</v>
          </cell>
          <cell r="E317">
            <v>0</v>
          </cell>
          <cell r="F317">
            <v>440.26000000000283</v>
          </cell>
          <cell r="G317">
            <v>616.36</v>
          </cell>
        </row>
        <row r="318">
          <cell r="B318">
            <v>314</v>
          </cell>
          <cell r="C318">
            <v>717.6999999999972</v>
          </cell>
          <cell r="D318">
            <v>1004.78</v>
          </cell>
          <cell r="E318">
            <v>0</v>
          </cell>
          <cell r="F318">
            <v>441.67000000000286</v>
          </cell>
          <cell r="G318">
            <v>618.34</v>
          </cell>
        </row>
        <row r="319">
          <cell r="B319">
            <v>315</v>
          </cell>
          <cell r="C319">
            <v>719.98999999999717</v>
          </cell>
          <cell r="D319">
            <v>1007.99</v>
          </cell>
          <cell r="E319">
            <v>0</v>
          </cell>
          <cell r="F319">
            <v>443.08000000000288</v>
          </cell>
          <cell r="G319">
            <v>620.30999999999995</v>
          </cell>
        </row>
        <row r="320">
          <cell r="B320">
            <v>316</v>
          </cell>
          <cell r="C320">
            <v>722.27999999999713</v>
          </cell>
          <cell r="D320">
            <v>1011.19</v>
          </cell>
          <cell r="E320">
            <v>0</v>
          </cell>
          <cell r="F320">
            <v>444.49000000000291</v>
          </cell>
          <cell r="G320">
            <v>622.29</v>
          </cell>
        </row>
        <row r="321">
          <cell r="B321">
            <v>317</v>
          </cell>
          <cell r="C321">
            <v>724.56999999999709</v>
          </cell>
          <cell r="D321">
            <v>1014.4</v>
          </cell>
          <cell r="E321">
            <v>0</v>
          </cell>
          <cell r="F321">
            <v>445.90000000000293</v>
          </cell>
          <cell r="G321">
            <v>624.26</v>
          </cell>
        </row>
        <row r="322">
          <cell r="B322">
            <v>318</v>
          </cell>
          <cell r="C322">
            <v>726.85999999999706</v>
          </cell>
          <cell r="D322">
            <v>1017.6</v>
          </cell>
          <cell r="E322">
            <v>0</v>
          </cell>
          <cell r="F322">
            <v>447.31000000000296</v>
          </cell>
          <cell r="G322">
            <v>626.23</v>
          </cell>
        </row>
        <row r="323">
          <cell r="B323">
            <v>319</v>
          </cell>
          <cell r="C323">
            <v>729.14999999999702</v>
          </cell>
          <cell r="D323">
            <v>1020.81</v>
          </cell>
          <cell r="E323">
            <v>0</v>
          </cell>
          <cell r="F323">
            <v>448.72000000000298</v>
          </cell>
          <cell r="G323">
            <v>628.21</v>
          </cell>
        </row>
        <row r="324">
          <cell r="B324">
            <v>320</v>
          </cell>
          <cell r="C324">
            <v>731.43999999999699</v>
          </cell>
          <cell r="D324">
            <v>1024.02</v>
          </cell>
          <cell r="E324">
            <v>0</v>
          </cell>
          <cell r="F324">
            <v>450.13000000000301</v>
          </cell>
          <cell r="G324">
            <v>630.17999999999995</v>
          </cell>
        </row>
        <row r="325">
          <cell r="B325">
            <v>321</v>
          </cell>
          <cell r="C325">
            <v>733.72999999999695</v>
          </cell>
          <cell r="D325">
            <v>1027.22</v>
          </cell>
          <cell r="E325">
            <v>0</v>
          </cell>
          <cell r="F325">
            <v>451.54000000000303</v>
          </cell>
          <cell r="G325">
            <v>632.16</v>
          </cell>
        </row>
        <row r="326">
          <cell r="B326">
            <v>322</v>
          </cell>
          <cell r="C326">
            <v>736.01999999999691</v>
          </cell>
          <cell r="D326">
            <v>1030.43</v>
          </cell>
          <cell r="E326">
            <v>0</v>
          </cell>
          <cell r="F326">
            <v>452.95000000000306</v>
          </cell>
          <cell r="G326">
            <v>634.13</v>
          </cell>
        </row>
        <row r="327">
          <cell r="B327">
            <v>323</v>
          </cell>
          <cell r="C327">
            <v>738.30999999999688</v>
          </cell>
          <cell r="D327">
            <v>1033.6300000000001</v>
          </cell>
          <cell r="E327">
            <v>0</v>
          </cell>
          <cell r="F327">
            <v>454.36000000000308</v>
          </cell>
          <cell r="G327">
            <v>636.1</v>
          </cell>
        </row>
        <row r="328">
          <cell r="B328">
            <v>324</v>
          </cell>
          <cell r="C328">
            <v>740.59999999999684</v>
          </cell>
          <cell r="D328">
            <v>1036.8399999999999</v>
          </cell>
          <cell r="E328">
            <v>0</v>
          </cell>
          <cell r="F328">
            <v>455.77000000000311</v>
          </cell>
          <cell r="G328">
            <v>638.08000000000004</v>
          </cell>
        </row>
        <row r="329">
          <cell r="B329">
            <v>325</v>
          </cell>
          <cell r="C329">
            <v>742.8899999999968</v>
          </cell>
          <cell r="D329">
            <v>1040.05</v>
          </cell>
          <cell r="E329">
            <v>0</v>
          </cell>
          <cell r="F329">
            <v>457.18000000000313</v>
          </cell>
          <cell r="G329">
            <v>640.04999999999995</v>
          </cell>
        </row>
        <row r="330">
          <cell r="B330">
            <v>326</v>
          </cell>
          <cell r="C330">
            <v>745.17999999999677</v>
          </cell>
          <cell r="D330">
            <v>1043.25</v>
          </cell>
          <cell r="E330">
            <v>0</v>
          </cell>
          <cell r="F330">
            <v>458.59000000000316</v>
          </cell>
          <cell r="G330">
            <v>642.03</v>
          </cell>
        </row>
        <row r="331">
          <cell r="B331">
            <v>327</v>
          </cell>
          <cell r="C331">
            <v>747.46999999999673</v>
          </cell>
          <cell r="D331">
            <v>1046.46</v>
          </cell>
          <cell r="E331">
            <v>0</v>
          </cell>
          <cell r="F331">
            <v>460.00000000000318</v>
          </cell>
          <cell r="G331">
            <v>644</v>
          </cell>
        </row>
        <row r="332">
          <cell r="B332">
            <v>328</v>
          </cell>
          <cell r="C332">
            <v>749.75999999999669</v>
          </cell>
          <cell r="D332">
            <v>1049.6600000000001</v>
          </cell>
          <cell r="E332">
            <v>0</v>
          </cell>
          <cell r="F332">
            <v>461.41000000000321</v>
          </cell>
          <cell r="G332">
            <v>645.97</v>
          </cell>
        </row>
        <row r="333">
          <cell r="B333">
            <v>329</v>
          </cell>
          <cell r="C333">
            <v>752.04999999999666</v>
          </cell>
          <cell r="D333">
            <v>1052.8699999999999</v>
          </cell>
          <cell r="E333">
            <v>0</v>
          </cell>
          <cell r="F333">
            <v>462.82000000000323</v>
          </cell>
          <cell r="G333">
            <v>647.95000000000005</v>
          </cell>
        </row>
        <row r="334">
          <cell r="B334">
            <v>330</v>
          </cell>
          <cell r="C334">
            <v>754.33999999999662</v>
          </cell>
          <cell r="D334">
            <v>1056.08</v>
          </cell>
          <cell r="E334">
            <v>0</v>
          </cell>
          <cell r="F334">
            <v>464.23000000000326</v>
          </cell>
          <cell r="G334">
            <v>649.91999999999996</v>
          </cell>
        </row>
        <row r="335">
          <cell r="B335">
            <v>331</v>
          </cell>
          <cell r="C335">
            <v>756.62999999999658</v>
          </cell>
          <cell r="D335">
            <v>1059.28</v>
          </cell>
          <cell r="E335">
            <v>0</v>
          </cell>
          <cell r="F335">
            <v>465.64000000000328</v>
          </cell>
          <cell r="G335">
            <v>651.9</v>
          </cell>
        </row>
        <row r="336">
          <cell r="B336">
            <v>332</v>
          </cell>
          <cell r="C336">
            <v>758.91999999999655</v>
          </cell>
          <cell r="D336">
            <v>1062.49</v>
          </cell>
          <cell r="E336">
            <v>0</v>
          </cell>
          <cell r="F336">
            <v>467.05000000000331</v>
          </cell>
          <cell r="G336">
            <v>653.87</v>
          </cell>
        </row>
        <row r="337">
          <cell r="B337">
            <v>333</v>
          </cell>
          <cell r="C337">
            <v>761.20999999999651</v>
          </cell>
          <cell r="D337">
            <v>1065.69</v>
          </cell>
          <cell r="E337">
            <v>0</v>
          </cell>
          <cell r="F337">
            <v>468.46000000000333</v>
          </cell>
          <cell r="G337">
            <v>655.84</v>
          </cell>
        </row>
        <row r="338">
          <cell r="B338">
            <v>334</v>
          </cell>
          <cell r="C338">
            <v>763.49999999999648</v>
          </cell>
          <cell r="D338">
            <v>1068.9000000000001</v>
          </cell>
          <cell r="E338">
            <v>0</v>
          </cell>
          <cell r="F338">
            <v>469.87000000000336</v>
          </cell>
          <cell r="G338">
            <v>657.82</v>
          </cell>
        </row>
        <row r="339">
          <cell r="B339">
            <v>335</v>
          </cell>
          <cell r="C339">
            <v>765.78999999999644</v>
          </cell>
          <cell r="D339">
            <v>1072.1099999999999</v>
          </cell>
          <cell r="E339">
            <v>0</v>
          </cell>
          <cell r="F339">
            <v>471.28000000000338</v>
          </cell>
          <cell r="G339">
            <v>659.79</v>
          </cell>
        </row>
        <row r="340">
          <cell r="B340">
            <v>336</v>
          </cell>
          <cell r="C340">
            <v>768.0799999999964</v>
          </cell>
          <cell r="D340">
            <v>1075.31</v>
          </cell>
          <cell r="E340">
            <v>0</v>
          </cell>
          <cell r="F340">
            <v>472.69000000000341</v>
          </cell>
          <cell r="G340">
            <v>661.77</v>
          </cell>
        </row>
        <row r="341">
          <cell r="B341">
            <v>337</v>
          </cell>
          <cell r="C341">
            <v>770.36999999999637</v>
          </cell>
          <cell r="D341">
            <v>1078.52</v>
          </cell>
          <cell r="E341">
            <v>0</v>
          </cell>
          <cell r="F341">
            <v>474.10000000000343</v>
          </cell>
          <cell r="G341">
            <v>663.74</v>
          </cell>
        </row>
        <row r="342">
          <cell r="B342">
            <v>338</v>
          </cell>
          <cell r="C342">
            <v>772.65999999999633</v>
          </cell>
          <cell r="D342">
            <v>1081.72</v>
          </cell>
          <cell r="E342">
            <v>0</v>
          </cell>
          <cell r="F342">
            <v>475.51000000000346</v>
          </cell>
          <cell r="G342">
            <v>665.71</v>
          </cell>
        </row>
        <row r="343">
          <cell r="B343">
            <v>339</v>
          </cell>
          <cell r="C343">
            <v>774.94999999999629</v>
          </cell>
          <cell r="D343">
            <v>1084.93</v>
          </cell>
          <cell r="E343">
            <v>0</v>
          </cell>
          <cell r="F343">
            <v>476.92000000000348</v>
          </cell>
          <cell r="G343">
            <v>667.69</v>
          </cell>
        </row>
        <row r="344">
          <cell r="B344">
            <v>340</v>
          </cell>
          <cell r="C344">
            <v>777.23999999999626</v>
          </cell>
          <cell r="D344">
            <v>1088.1400000000001</v>
          </cell>
          <cell r="E344">
            <v>0</v>
          </cell>
          <cell r="F344">
            <v>478.33000000000351</v>
          </cell>
          <cell r="G344">
            <v>669.66</v>
          </cell>
        </row>
        <row r="345">
          <cell r="B345">
            <v>341</v>
          </cell>
          <cell r="C345">
            <v>779.52999999999622</v>
          </cell>
          <cell r="D345">
            <v>1091.3399999999999</v>
          </cell>
          <cell r="E345">
            <v>0</v>
          </cell>
          <cell r="F345">
            <v>479.74000000000353</v>
          </cell>
          <cell r="G345">
            <v>671.64</v>
          </cell>
        </row>
        <row r="346">
          <cell r="B346">
            <v>342</v>
          </cell>
          <cell r="C346">
            <v>781.81999999999618</v>
          </cell>
          <cell r="D346">
            <v>1094.55</v>
          </cell>
          <cell r="E346">
            <v>0</v>
          </cell>
          <cell r="F346">
            <v>481.15000000000356</v>
          </cell>
          <cell r="G346">
            <v>673.61</v>
          </cell>
        </row>
        <row r="347">
          <cell r="B347">
            <v>343</v>
          </cell>
          <cell r="C347">
            <v>784.10999999999615</v>
          </cell>
          <cell r="D347">
            <v>1097.75</v>
          </cell>
          <cell r="E347">
            <v>0</v>
          </cell>
          <cell r="F347">
            <v>482.56000000000358</v>
          </cell>
          <cell r="G347">
            <v>675.58</v>
          </cell>
        </row>
        <row r="348">
          <cell r="B348">
            <v>344</v>
          </cell>
          <cell r="C348">
            <v>786.39999999999611</v>
          </cell>
          <cell r="D348">
            <v>1100.96</v>
          </cell>
          <cell r="E348">
            <v>0</v>
          </cell>
          <cell r="F348">
            <v>483.97000000000361</v>
          </cell>
          <cell r="G348">
            <v>677.56</v>
          </cell>
        </row>
        <row r="349">
          <cell r="B349">
            <v>345</v>
          </cell>
          <cell r="C349">
            <v>788.68999999999608</v>
          </cell>
          <cell r="D349">
            <v>1104.17</v>
          </cell>
          <cell r="E349">
            <v>0</v>
          </cell>
          <cell r="F349">
            <v>485.38000000000363</v>
          </cell>
          <cell r="G349">
            <v>679.53</v>
          </cell>
        </row>
        <row r="350">
          <cell r="B350">
            <v>346</v>
          </cell>
          <cell r="C350">
            <v>790.97999999999604</v>
          </cell>
          <cell r="D350">
            <v>1107.3699999999999</v>
          </cell>
          <cell r="E350">
            <v>0</v>
          </cell>
          <cell r="F350">
            <v>486.79000000000366</v>
          </cell>
          <cell r="G350">
            <v>681.51</v>
          </cell>
        </row>
        <row r="351">
          <cell r="B351">
            <v>347</v>
          </cell>
          <cell r="C351">
            <v>793.269999999996</v>
          </cell>
          <cell r="D351">
            <v>1110.58</v>
          </cell>
          <cell r="E351">
            <v>0</v>
          </cell>
          <cell r="F351">
            <v>488.20000000000368</v>
          </cell>
          <cell r="G351">
            <v>683.48</v>
          </cell>
        </row>
        <row r="352">
          <cell r="B352">
            <v>348</v>
          </cell>
          <cell r="C352">
            <v>795.55999999999597</v>
          </cell>
          <cell r="D352">
            <v>1113.78</v>
          </cell>
          <cell r="E352">
            <v>0</v>
          </cell>
          <cell r="F352">
            <v>489.61000000000371</v>
          </cell>
          <cell r="G352">
            <v>685.45</v>
          </cell>
        </row>
        <row r="353">
          <cell r="B353">
            <v>349</v>
          </cell>
          <cell r="C353">
            <v>797.84999999999593</v>
          </cell>
          <cell r="D353">
            <v>1116.99</v>
          </cell>
          <cell r="E353">
            <v>0</v>
          </cell>
          <cell r="F353">
            <v>491.02000000000373</v>
          </cell>
          <cell r="G353">
            <v>687.43</v>
          </cell>
        </row>
        <row r="354">
          <cell r="B354">
            <v>350</v>
          </cell>
          <cell r="C354">
            <v>800.13999999999589</v>
          </cell>
          <cell r="D354">
            <v>1120.2</v>
          </cell>
          <cell r="E354">
            <v>0</v>
          </cell>
          <cell r="F354">
            <v>492.43000000000376</v>
          </cell>
          <cell r="G354">
            <v>689.4</v>
          </cell>
        </row>
        <row r="355">
          <cell r="B355">
            <v>351</v>
          </cell>
          <cell r="C355">
            <v>802.42999999999586</v>
          </cell>
          <cell r="D355">
            <v>1123.4000000000001</v>
          </cell>
          <cell r="E355">
            <v>0</v>
          </cell>
          <cell r="F355">
            <v>493.84000000000378</v>
          </cell>
          <cell r="G355">
            <v>691.38</v>
          </cell>
        </row>
        <row r="356">
          <cell r="B356">
            <v>352</v>
          </cell>
          <cell r="C356">
            <v>804.71999999999582</v>
          </cell>
          <cell r="D356">
            <v>1126.6099999999999</v>
          </cell>
          <cell r="E356">
            <v>0</v>
          </cell>
          <cell r="F356">
            <v>495.25000000000381</v>
          </cell>
          <cell r="G356">
            <v>693.35</v>
          </cell>
        </row>
        <row r="357">
          <cell r="B357">
            <v>353</v>
          </cell>
          <cell r="C357">
            <v>807.00999999999578</v>
          </cell>
          <cell r="D357">
            <v>1129.81</v>
          </cell>
          <cell r="E357">
            <v>0</v>
          </cell>
          <cell r="F357">
            <v>496.66000000000383</v>
          </cell>
          <cell r="G357">
            <v>695.32</v>
          </cell>
        </row>
        <row r="358">
          <cell r="B358">
            <v>354</v>
          </cell>
          <cell r="C358">
            <v>809.29999999999575</v>
          </cell>
          <cell r="D358">
            <v>1133.02</v>
          </cell>
          <cell r="E358">
            <v>0</v>
          </cell>
          <cell r="F358">
            <v>498.07000000000386</v>
          </cell>
          <cell r="G358">
            <v>697.3</v>
          </cell>
        </row>
        <row r="359">
          <cell r="B359">
            <v>355</v>
          </cell>
          <cell r="C359">
            <v>811.58999999999571</v>
          </cell>
          <cell r="D359">
            <v>1136.23</v>
          </cell>
          <cell r="E359">
            <v>0</v>
          </cell>
          <cell r="F359">
            <v>499.48000000000388</v>
          </cell>
          <cell r="G359">
            <v>699.27</v>
          </cell>
        </row>
        <row r="360">
          <cell r="B360">
            <v>356</v>
          </cell>
          <cell r="C360">
            <v>813.87999999999568</v>
          </cell>
          <cell r="D360">
            <v>1139.43</v>
          </cell>
          <cell r="E360">
            <v>0</v>
          </cell>
          <cell r="F360">
            <v>500.89000000000391</v>
          </cell>
          <cell r="G360">
            <v>701.25</v>
          </cell>
        </row>
        <row r="361">
          <cell r="B361">
            <v>357</v>
          </cell>
          <cell r="C361">
            <v>816.16999999999564</v>
          </cell>
          <cell r="D361">
            <v>1142.6400000000001</v>
          </cell>
          <cell r="E361">
            <v>0</v>
          </cell>
          <cell r="F361">
            <v>502.30000000000393</v>
          </cell>
          <cell r="G361">
            <v>703.22</v>
          </cell>
        </row>
        <row r="362">
          <cell r="B362">
            <v>358</v>
          </cell>
          <cell r="C362">
            <v>818.4599999999956</v>
          </cell>
          <cell r="D362">
            <v>1145.8399999999999</v>
          </cell>
          <cell r="E362">
            <v>0</v>
          </cell>
          <cell r="F362">
            <v>503.71000000000396</v>
          </cell>
          <cell r="G362">
            <v>705.19</v>
          </cell>
        </row>
        <row r="363">
          <cell r="B363">
            <v>359</v>
          </cell>
          <cell r="C363">
            <v>820.74999999999557</v>
          </cell>
          <cell r="D363">
            <v>1149.05</v>
          </cell>
          <cell r="E363">
            <v>0</v>
          </cell>
          <cell r="F363">
            <v>505.12000000000398</v>
          </cell>
          <cell r="G363">
            <v>707.17</v>
          </cell>
        </row>
        <row r="364">
          <cell r="B364">
            <v>360</v>
          </cell>
          <cell r="C364">
            <v>823.03999999999553</v>
          </cell>
          <cell r="D364">
            <v>1152.26</v>
          </cell>
          <cell r="E364">
            <v>0</v>
          </cell>
          <cell r="F364">
            <v>506.53000000000401</v>
          </cell>
          <cell r="G364">
            <v>709.14</v>
          </cell>
        </row>
        <row r="365">
          <cell r="B365">
            <v>361</v>
          </cell>
          <cell r="C365">
            <v>825.32999999999549</v>
          </cell>
          <cell r="D365">
            <v>1155.46</v>
          </cell>
          <cell r="E365">
            <v>0</v>
          </cell>
          <cell r="F365">
            <v>507.94000000000403</v>
          </cell>
          <cell r="G365">
            <v>711.12</v>
          </cell>
        </row>
        <row r="366">
          <cell r="B366">
            <v>362</v>
          </cell>
          <cell r="C366">
            <v>827.61999999999546</v>
          </cell>
          <cell r="D366">
            <v>1158.67</v>
          </cell>
          <cell r="E366">
            <v>0</v>
          </cell>
          <cell r="F366">
            <v>509.35000000000406</v>
          </cell>
          <cell r="G366">
            <v>713.09</v>
          </cell>
        </row>
        <row r="367">
          <cell r="B367">
            <v>363</v>
          </cell>
          <cell r="C367">
            <v>829.90999999999542</v>
          </cell>
          <cell r="D367">
            <v>1161.8699999999999</v>
          </cell>
          <cell r="E367">
            <v>0</v>
          </cell>
          <cell r="F367">
            <v>510.76000000000408</v>
          </cell>
          <cell r="G367">
            <v>715.06</v>
          </cell>
        </row>
        <row r="368">
          <cell r="B368">
            <v>364</v>
          </cell>
          <cell r="C368">
            <v>832.19999999999538</v>
          </cell>
          <cell r="D368">
            <v>1165.08</v>
          </cell>
          <cell r="E368">
            <v>0</v>
          </cell>
          <cell r="F368">
            <v>512.17000000000405</v>
          </cell>
          <cell r="G368">
            <v>717.04</v>
          </cell>
        </row>
        <row r="369">
          <cell r="B369">
            <v>365</v>
          </cell>
          <cell r="C369">
            <v>834.48999999999535</v>
          </cell>
          <cell r="D369">
            <v>1168.29</v>
          </cell>
          <cell r="E369">
            <v>0</v>
          </cell>
          <cell r="F369">
            <v>513.58000000000402</v>
          </cell>
          <cell r="G369">
            <v>719.01</v>
          </cell>
        </row>
        <row r="370">
          <cell r="B370">
            <v>366</v>
          </cell>
          <cell r="C370">
            <v>836.77999999999531</v>
          </cell>
          <cell r="D370">
            <v>1171.49</v>
          </cell>
          <cell r="E370">
            <v>0</v>
          </cell>
          <cell r="F370">
            <v>514.99000000000399</v>
          </cell>
          <cell r="G370">
            <v>720.99</v>
          </cell>
        </row>
        <row r="371">
          <cell r="B371">
            <v>367</v>
          </cell>
          <cell r="C371">
            <v>839.06999999999528</v>
          </cell>
          <cell r="D371">
            <v>1174.7</v>
          </cell>
          <cell r="E371">
            <v>0</v>
          </cell>
          <cell r="F371">
            <v>516.40000000000396</v>
          </cell>
          <cell r="G371">
            <v>722.96</v>
          </cell>
        </row>
        <row r="372">
          <cell r="B372">
            <v>368</v>
          </cell>
          <cell r="C372">
            <v>841.35999999999524</v>
          </cell>
          <cell r="D372">
            <v>1177.9000000000001</v>
          </cell>
          <cell r="E372">
            <v>0</v>
          </cell>
          <cell r="F372">
            <v>517.81000000000392</v>
          </cell>
          <cell r="G372">
            <v>724.93</v>
          </cell>
        </row>
        <row r="373">
          <cell r="B373">
            <v>369</v>
          </cell>
          <cell r="C373">
            <v>843.6499999999952</v>
          </cell>
          <cell r="D373">
            <v>1181.1099999999999</v>
          </cell>
          <cell r="E373">
            <v>0</v>
          </cell>
          <cell r="F373">
            <v>519.22000000000389</v>
          </cell>
          <cell r="G373">
            <v>726.91</v>
          </cell>
        </row>
        <row r="374">
          <cell r="B374">
            <v>370</v>
          </cell>
          <cell r="C374">
            <v>845.93999999999517</v>
          </cell>
          <cell r="D374">
            <v>1184.32</v>
          </cell>
          <cell r="E374">
            <v>0</v>
          </cell>
          <cell r="F374">
            <v>520.63000000000386</v>
          </cell>
          <cell r="G374">
            <v>728.88</v>
          </cell>
        </row>
        <row r="375">
          <cell r="B375">
            <v>371</v>
          </cell>
          <cell r="C375">
            <v>848.22999999999513</v>
          </cell>
          <cell r="D375">
            <v>1187.52</v>
          </cell>
          <cell r="E375">
            <v>0</v>
          </cell>
          <cell r="F375">
            <v>522.04000000000383</v>
          </cell>
          <cell r="G375">
            <v>730.86</v>
          </cell>
        </row>
        <row r="376">
          <cell r="B376">
            <v>372</v>
          </cell>
          <cell r="C376">
            <v>850.51999999999509</v>
          </cell>
          <cell r="D376">
            <v>1190.73</v>
          </cell>
          <cell r="E376">
            <v>0</v>
          </cell>
          <cell r="F376">
            <v>523.4500000000038</v>
          </cell>
          <cell r="G376">
            <v>732.83</v>
          </cell>
        </row>
        <row r="377">
          <cell r="B377">
            <v>373</v>
          </cell>
          <cell r="C377">
            <v>852.80999999999506</v>
          </cell>
          <cell r="D377">
            <v>1193.93</v>
          </cell>
          <cell r="E377">
            <v>0</v>
          </cell>
          <cell r="F377">
            <v>524.86000000000377</v>
          </cell>
          <cell r="G377">
            <v>734.8</v>
          </cell>
        </row>
        <row r="378">
          <cell r="B378">
            <v>374</v>
          </cell>
          <cell r="C378">
            <v>855.09999999999502</v>
          </cell>
          <cell r="D378">
            <v>1197.1400000000001</v>
          </cell>
          <cell r="E378">
            <v>0</v>
          </cell>
          <cell r="F378">
            <v>526.27000000000373</v>
          </cell>
          <cell r="G378">
            <v>736.78</v>
          </cell>
        </row>
        <row r="379">
          <cell r="B379">
            <v>375</v>
          </cell>
          <cell r="C379">
            <v>857.38999999999498</v>
          </cell>
          <cell r="D379">
            <v>1200.3499999999999</v>
          </cell>
          <cell r="E379">
            <v>0</v>
          </cell>
          <cell r="F379">
            <v>527.6800000000037</v>
          </cell>
          <cell r="G379">
            <v>738.75</v>
          </cell>
        </row>
        <row r="380">
          <cell r="B380">
            <v>376</v>
          </cell>
          <cell r="C380">
            <v>859.67999999999495</v>
          </cell>
          <cell r="D380">
            <v>1203.55</v>
          </cell>
          <cell r="E380">
            <v>0</v>
          </cell>
          <cell r="F380">
            <v>529.09000000000367</v>
          </cell>
          <cell r="G380">
            <v>740.73</v>
          </cell>
        </row>
        <row r="381">
          <cell r="B381">
            <v>377</v>
          </cell>
          <cell r="C381">
            <v>861.96999999999491</v>
          </cell>
          <cell r="D381">
            <v>1206.76</v>
          </cell>
          <cell r="E381">
            <v>0</v>
          </cell>
          <cell r="F381">
            <v>530.50000000000364</v>
          </cell>
          <cell r="G381">
            <v>742.7</v>
          </cell>
        </row>
        <row r="382">
          <cell r="B382">
            <v>378</v>
          </cell>
          <cell r="C382">
            <v>864.25999999999487</v>
          </cell>
          <cell r="D382">
            <v>1209.96</v>
          </cell>
          <cell r="E382">
            <v>0</v>
          </cell>
          <cell r="F382">
            <v>531.91000000000361</v>
          </cell>
          <cell r="G382">
            <v>744.67</v>
          </cell>
        </row>
        <row r="383">
          <cell r="B383">
            <v>379</v>
          </cell>
          <cell r="C383">
            <v>866.54999999999484</v>
          </cell>
          <cell r="D383">
            <v>1213.17</v>
          </cell>
          <cell r="E383">
            <v>0</v>
          </cell>
          <cell r="F383">
            <v>533.32000000000357</v>
          </cell>
          <cell r="G383">
            <v>746.65</v>
          </cell>
        </row>
        <row r="384">
          <cell r="B384">
            <v>380</v>
          </cell>
          <cell r="C384">
            <v>868.8399999999948</v>
          </cell>
          <cell r="D384">
            <v>1216.3800000000001</v>
          </cell>
          <cell r="E384">
            <v>0</v>
          </cell>
          <cell r="F384">
            <v>534.73000000000354</v>
          </cell>
          <cell r="G384">
            <v>748.62</v>
          </cell>
        </row>
        <row r="385">
          <cell r="B385">
            <v>381</v>
          </cell>
          <cell r="C385">
            <v>871.12999999999477</v>
          </cell>
          <cell r="D385">
            <v>1219.58</v>
          </cell>
          <cell r="E385">
            <v>0</v>
          </cell>
          <cell r="F385">
            <v>536.14000000000351</v>
          </cell>
          <cell r="G385">
            <v>750.6</v>
          </cell>
        </row>
        <row r="386">
          <cell r="B386">
            <v>382</v>
          </cell>
          <cell r="C386">
            <v>873.41999999999473</v>
          </cell>
          <cell r="D386">
            <v>1222.79</v>
          </cell>
          <cell r="E386">
            <v>0</v>
          </cell>
          <cell r="F386">
            <v>537.55000000000348</v>
          </cell>
          <cell r="G386">
            <v>752.57</v>
          </cell>
        </row>
        <row r="387">
          <cell r="B387">
            <v>383</v>
          </cell>
          <cell r="C387">
            <v>875.70999999999469</v>
          </cell>
          <cell r="D387">
            <v>1225.99</v>
          </cell>
          <cell r="E387">
            <v>0</v>
          </cell>
          <cell r="F387">
            <v>538.96000000000345</v>
          </cell>
          <cell r="G387">
            <v>754.54</v>
          </cell>
        </row>
        <row r="388">
          <cell r="B388">
            <v>384</v>
          </cell>
          <cell r="C388">
            <v>877.99999999999466</v>
          </cell>
          <cell r="D388">
            <v>1229.2</v>
          </cell>
          <cell r="E388">
            <v>0</v>
          </cell>
          <cell r="F388">
            <v>540.37000000000342</v>
          </cell>
          <cell r="G388">
            <v>756.52</v>
          </cell>
        </row>
        <row r="389">
          <cell r="B389">
            <v>385</v>
          </cell>
          <cell r="C389">
            <v>880.28999999999462</v>
          </cell>
          <cell r="D389">
            <v>1232.4100000000001</v>
          </cell>
          <cell r="E389">
            <v>0</v>
          </cell>
          <cell r="F389">
            <v>541.78000000000338</v>
          </cell>
          <cell r="G389">
            <v>758.49</v>
          </cell>
        </row>
        <row r="390">
          <cell r="B390">
            <v>386</v>
          </cell>
          <cell r="C390">
            <v>882.57999999999458</v>
          </cell>
          <cell r="D390">
            <v>1235.6099999999999</v>
          </cell>
          <cell r="E390">
            <v>0</v>
          </cell>
          <cell r="F390">
            <v>543.19000000000335</v>
          </cell>
          <cell r="G390">
            <v>760.47</v>
          </cell>
        </row>
        <row r="391">
          <cell r="B391">
            <v>387</v>
          </cell>
          <cell r="C391">
            <v>884.86999999999455</v>
          </cell>
          <cell r="D391">
            <v>1238.82</v>
          </cell>
          <cell r="E391">
            <v>0</v>
          </cell>
          <cell r="F391">
            <v>544.60000000000332</v>
          </cell>
          <cell r="G391">
            <v>762.44</v>
          </cell>
        </row>
        <row r="392">
          <cell r="B392">
            <v>388</v>
          </cell>
          <cell r="C392">
            <v>887.15999999999451</v>
          </cell>
          <cell r="D392">
            <v>1242.02</v>
          </cell>
          <cell r="E392">
            <v>0</v>
          </cell>
          <cell r="F392">
            <v>546.01000000000329</v>
          </cell>
          <cell r="G392">
            <v>764.41</v>
          </cell>
        </row>
        <row r="393">
          <cell r="B393">
            <v>389</v>
          </cell>
          <cell r="C393">
            <v>889.44999999999447</v>
          </cell>
          <cell r="D393">
            <v>1245.23</v>
          </cell>
          <cell r="E393">
            <v>0</v>
          </cell>
          <cell r="F393">
            <v>547.42000000000326</v>
          </cell>
          <cell r="G393">
            <v>766.39</v>
          </cell>
        </row>
        <row r="394">
          <cell r="B394">
            <v>390</v>
          </cell>
          <cell r="C394">
            <v>891.73999999999444</v>
          </cell>
          <cell r="D394">
            <v>1248.44</v>
          </cell>
          <cell r="E394">
            <v>0</v>
          </cell>
          <cell r="F394">
            <v>548.83000000000322</v>
          </cell>
          <cell r="G394">
            <v>768.36</v>
          </cell>
        </row>
        <row r="395">
          <cell r="B395">
            <v>391</v>
          </cell>
          <cell r="C395">
            <v>894.0299999999944</v>
          </cell>
          <cell r="D395">
            <v>1251.6400000000001</v>
          </cell>
          <cell r="E395">
            <v>0</v>
          </cell>
          <cell r="F395">
            <v>550.24000000000319</v>
          </cell>
          <cell r="G395">
            <v>770.34</v>
          </cell>
        </row>
        <row r="396">
          <cell r="B396">
            <v>392</v>
          </cell>
          <cell r="C396">
            <v>896.31999999999437</v>
          </cell>
          <cell r="D396">
            <v>1254.8499999999999</v>
          </cell>
          <cell r="E396">
            <v>0</v>
          </cell>
          <cell r="F396">
            <v>551.65000000000316</v>
          </cell>
          <cell r="G396">
            <v>772.31</v>
          </cell>
        </row>
        <row r="397">
          <cell r="B397">
            <v>393</v>
          </cell>
          <cell r="C397">
            <v>898.60999999999433</v>
          </cell>
          <cell r="D397">
            <v>1258.05</v>
          </cell>
          <cell r="E397">
            <v>0</v>
          </cell>
          <cell r="F397">
            <v>553.06000000000313</v>
          </cell>
          <cell r="G397">
            <v>774.28</v>
          </cell>
        </row>
        <row r="398">
          <cell r="B398">
            <v>394</v>
          </cell>
          <cell r="C398">
            <v>900.89999999999429</v>
          </cell>
          <cell r="D398">
            <v>1261.26</v>
          </cell>
          <cell r="E398">
            <v>0</v>
          </cell>
          <cell r="F398">
            <v>554.4700000000031</v>
          </cell>
          <cell r="G398">
            <v>776.26</v>
          </cell>
        </row>
        <row r="399">
          <cell r="B399">
            <v>395</v>
          </cell>
          <cell r="C399">
            <v>903.18999999999426</v>
          </cell>
          <cell r="D399">
            <v>1264.47</v>
          </cell>
          <cell r="E399">
            <v>0</v>
          </cell>
          <cell r="F399">
            <v>555.88000000000306</v>
          </cell>
          <cell r="G399">
            <v>778.23</v>
          </cell>
        </row>
        <row r="400">
          <cell r="B400">
            <v>396</v>
          </cell>
          <cell r="C400">
            <v>905.47999999999422</v>
          </cell>
          <cell r="D400">
            <v>1267.67</v>
          </cell>
          <cell r="E400">
            <v>0</v>
          </cell>
          <cell r="F400">
            <v>557.29000000000303</v>
          </cell>
          <cell r="G400">
            <v>780.21</v>
          </cell>
        </row>
        <row r="401">
          <cell r="B401">
            <v>397</v>
          </cell>
          <cell r="C401">
            <v>907.76999999999418</v>
          </cell>
          <cell r="D401">
            <v>1270.8800000000001</v>
          </cell>
          <cell r="E401">
            <v>0</v>
          </cell>
          <cell r="F401">
            <v>558.700000000003</v>
          </cell>
          <cell r="G401">
            <v>782.18</v>
          </cell>
        </row>
        <row r="402">
          <cell r="B402">
            <v>398</v>
          </cell>
          <cell r="C402">
            <v>910.05999999999415</v>
          </cell>
          <cell r="D402">
            <v>1274.08</v>
          </cell>
          <cell r="E402">
            <v>0</v>
          </cell>
          <cell r="F402">
            <v>560.11000000000297</v>
          </cell>
          <cell r="G402">
            <v>784.15</v>
          </cell>
        </row>
        <row r="403">
          <cell r="B403">
            <v>399</v>
          </cell>
          <cell r="C403">
            <v>912.34999999999411</v>
          </cell>
          <cell r="D403">
            <v>1277.29</v>
          </cell>
          <cell r="E403">
            <v>0</v>
          </cell>
          <cell r="F403">
            <v>561.52000000000294</v>
          </cell>
          <cell r="G403">
            <v>786.13</v>
          </cell>
        </row>
        <row r="404">
          <cell r="B404">
            <v>400</v>
          </cell>
          <cell r="C404">
            <v>914.63999999999407</v>
          </cell>
          <cell r="D404">
            <v>1280.5</v>
          </cell>
          <cell r="E404">
            <v>0</v>
          </cell>
          <cell r="F404">
            <v>562.93000000000291</v>
          </cell>
          <cell r="G404">
            <v>788.1</v>
          </cell>
        </row>
        <row r="405">
          <cell r="B405">
            <v>401</v>
          </cell>
          <cell r="C405">
            <v>916.92999999999404</v>
          </cell>
          <cell r="D405">
            <v>1283.7</v>
          </cell>
          <cell r="E405">
            <v>0</v>
          </cell>
          <cell r="F405">
            <v>564.34000000000287</v>
          </cell>
          <cell r="G405">
            <v>790.08</v>
          </cell>
        </row>
        <row r="406">
          <cell r="B406">
            <v>402</v>
          </cell>
          <cell r="C406">
            <v>919.219999999994</v>
          </cell>
          <cell r="D406">
            <v>1286.9100000000001</v>
          </cell>
          <cell r="E406">
            <v>0</v>
          </cell>
          <cell r="F406">
            <v>565.75000000000284</v>
          </cell>
          <cell r="G406">
            <v>792.05</v>
          </cell>
        </row>
        <row r="407">
          <cell r="B407">
            <v>403</v>
          </cell>
          <cell r="C407">
            <v>921.50999999999397</v>
          </cell>
          <cell r="D407">
            <v>1290.1099999999999</v>
          </cell>
          <cell r="E407">
            <v>0</v>
          </cell>
          <cell r="F407">
            <v>567.16000000000281</v>
          </cell>
          <cell r="G407">
            <v>794.02</v>
          </cell>
        </row>
        <row r="408">
          <cell r="B408">
            <v>404</v>
          </cell>
          <cell r="C408">
            <v>923.79999999999393</v>
          </cell>
          <cell r="D408">
            <v>1293.32</v>
          </cell>
          <cell r="E408">
            <v>0</v>
          </cell>
          <cell r="F408">
            <v>568.57000000000278</v>
          </cell>
          <cell r="G408">
            <v>796</v>
          </cell>
        </row>
        <row r="409">
          <cell r="B409">
            <v>405</v>
          </cell>
          <cell r="C409">
            <v>926.08999999999389</v>
          </cell>
          <cell r="D409">
            <v>1296.53</v>
          </cell>
          <cell r="E409">
            <v>0</v>
          </cell>
          <cell r="F409">
            <v>569.98000000000275</v>
          </cell>
          <cell r="G409">
            <v>797.97</v>
          </cell>
        </row>
        <row r="410">
          <cell r="B410">
            <v>406</v>
          </cell>
          <cell r="C410">
            <v>928.37999999999386</v>
          </cell>
          <cell r="D410">
            <v>1299.73</v>
          </cell>
          <cell r="E410">
            <v>0</v>
          </cell>
          <cell r="F410">
            <v>571.39000000000271</v>
          </cell>
          <cell r="G410">
            <v>799.95</v>
          </cell>
        </row>
        <row r="411">
          <cell r="B411">
            <v>407</v>
          </cell>
          <cell r="C411">
            <v>930.66999999999382</v>
          </cell>
          <cell r="D411">
            <v>1302.94</v>
          </cell>
          <cell r="E411">
            <v>0</v>
          </cell>
          <cell r="F411">
            <v>572.80000000000268</v>
          </cell>
          <cell r="G411">
            <v>801.92</v>
          </cell>
        </row>
        <row r="412">
          <cell r="B412">
            <v>408</v>
          </cell>
          <cell r="C412">
            <v>932.95999999999378</v>
          </cell>
          <cell r="D412">
            <v>1306.1400000000001</v>
          </cell>
          <cell r="E412">
            <v>0</v>
          </cell>
          <cell r="F412">
            <v>574.21000000000265</v>
          </cell>
          <cell r="G412">
            <v>803.89</v>
          </cell>
        </row>
        <row r="413">
          <cell r="B413">
            <v>409</v>
          </cell>
          <cell r="C413">
            <v>935.24999999999375</v>
          </cell>
          <cell r="D413">
            <v>1309.3499999999999</v>
          </cell>
          <cell r="E413">
            <v>0</v>
          </cell>
          <cell r="F413">
            <v>575.62000000000262</v>
          </cell>
          <cell r="G413">
            <v>805.87</v>
          </cell>
        </row>
        <row r="414">
          <cell r="B414">
            <v>410</v>
          </cell>
          <cell r="C414">
            <v>937.53999999999371</v>
          </cell>
          <cell r="D414">
            <v>1312.56</v>
          </cell>
          <cell r="E414">
            <v>0</v>
          </cell>
          <cell r="F414">
            <v>577.03000000000259</v>
          </cell>
          <cell r="G414">
            <v>807.84</v>
          </cell>
        </row>
        <row r="415">
          <cell r="B415">
            <v>411</v>
          </cell>
          <cell r="C415">
            <v>939.82999999999367</v>
          </cell>
          <cell r="D415">
            <v>1315.76</v>
          </cell>
          <cell r="E415">
            <v>0</v>
          </cell>
          <cell r="F415">
            <v>578.44000000000256</v>
          </cell>
          <cell r="G415">
            <v>809.82</v>
          </cell>
        </row>
        <row r="416">
          <cell r="B416">
            <v>412</v>
          </cell>
          <cell r="C416">
            <v>942.11999999999364</v>
          </cell>
          <cell r="D416">
            <v>1318.97</v>
          </cell>
          <cell r="E416">
            <v>0</v>
          </cell>
          <cell r="F416">
            <v>579.85000000000252</v>
          </cell>
          <cell r="G416">
            <v>811.79</v>
          </cell>
        </row>
        <row r="417">
          <cell r="B417">
            <v>413</v>
          </cell>
          <cell r="C417">
            <v>944.4099999999936</v>
          </cell>
          <cell r="D417">
            <v>1322.17</v>
          </cell>
          <cell r="E417">
            <v>0</v>
          </cell>
          <cell r="F417">
            <v>581.26000000000249</v>
          </cell>
          <cell r="G417">
            <v>813.76</v>
          </cell>
        </row>
        <row r="418">
          <cell r="B418">
            <v>414</v>
          </cell>
          <cell r="C418">
            <v>946.69999999999357</v>
          </cell>
          <cell r="D418">
            <v>1325.38</v>
          </cell>
          <cell r="E418">
            <v>0</v>
          </cell>
          <cell r="F418">
            <v>582.67000000000246</v>
          </cell>
          <cell r="G418">
            <v>815.74</v>
          </cell>
        </row>
        <row r="419">
          <cell r="B419">
            <v>415</v>
          </cell>
          <cell r="C419">
            <v>948.98999999999353</v>
          </cell>
          <cell r="D419">
            <v>1328.59</v>
          </cell>
          <cell r="E419">
            <v>0</v>
          </cell>
          <cell r="F419">
            <v>584.08000000000243</v>
          </cell>
          <cell r="G419">
            <v>817.71</v>
          </cell>
        </row>
        <row r="420">
          <cell r="B420">
            <v>416</v>
          </cell>
          <cell r="C420">
            <v>951.27999999999349</v>
          </cell>
          <cell r="D420">
            <v>1331.79</v>
          </cell>
          <cell r="E420">
            <v>0</v>
          </cell>
          <cell r="F420">
            <v>585.4900000000024</v>
          </cell>
          <cell r="G420">
            <v>819.69</v>
          </cell>
        </row>
        <row r="421">
          <cell r="B421">
            <v>417</v>
          </cell>
          <cell r="C421">
            <v>953.56999999999346</v>
          </cell>
          <cell r="D421">
            <v>1335</v>
          </cell>
          <cell r="E421">
            <v>0</v>
          </cell>
          <cell r="F421">
            <v>586.90000000000236</v>
          </cell>
          <cell r="G421">
            <v>821.66</v>
          </cell>
        </row>
        <row r="422">
          <cell r="B422">
            <v>418</v>
          </cell>
          <cell r="C422">
            <v>955.85999999999342</v>
          </cell>
          <cell r="D422">
            <v>1338.2</v>
          </cell>
          <cell r="E422">
            <v>0</v>
          </cell>
          <cell r="F422">
            <v>588.31000000000233</v>
          </cell>
          <cell r="G422">
            <v>823.63</v>
          </cell>
        </row>
        <row r="423">
          <cell r="B423">
            <v>419</v>
          </cell>
          <cell r="C423">
            <v>958.14999999999338</v>
          </cell>
          <cell r="D423">
            <v>1341.41</v>
          </cell>
          <cell r="E423">
            <v>0</v>
          </cell>
          <cell r="F423">
            <v>589.7200000000023</v>
          </cell>
          <cell r="G423">
            <v>825.61</v>
          </cell>
        </row>
        <row r="424">
          <cell r="B424">
            <v>420</v>
          </cell>
          <cell r="C424">
            <v>960.43999999999335</v>
          </cell>
          <cell r="D424">
            <v>1344.62</v>
          </cell>
          <cell r="E424">
            <v>0</v>
          </cell>
          <cell r="F424">
            <v>591.13000000000227</v>
          </cell>
          <cell r="G424">
            <v>827.58</v>
          </cell>
        </row>
        <row r="425">
          <cell r="B425">
            <v>421</v>
          </cell>
          <cell r="C425">
            <v>962.72999999999331</v>
          </cell>
          <cell r="D425">
            <v>1347.82</v>
          </cell>
          <cell r="E425">
            <v>0</v>
          </cell>
          <cell r="F425">
            <v>592.54000000000224</v>
          </cell>
          <cell r="G425">
            <v>829.56</v>
          </cell>
        </row>
        <row r="426">
          <cell r="B426">
            <v>422</v>
          </cell>
          <cell r="C426">
            <v>965.01999999999327</v>
          </cell>
          <cell r="D426">
            <v>1351.03</v>
          </cell>
          <cell r="E426">
            <v>0</v>
          </cell>
          <cell r="F426">
            <v>593.95000000000221</v>
          </cell>
          <cell r="G426">
            <v>831.53</v>
          </cell>
        </row>
        <row r="427">
          <cell r="B427">
            <v>423</v>
          </cell>
          <cell r="C427">
            <v>967.30999999999324</v>
          </cell>
          <cell r="D427">
            <v>1354.23</v>
          </cell>
          <cell r="E427">
            <v>0</v>
          </cell>
          <cell r="F427">
            <v>595.36000000000217</v>
          </cell>
          <cell r="G427">
            <v>833.5</v>
          </cell>
        </row>
        <row r="428">
          <cell r="B428">
            <v>424</v>
          </cell>
          <cell r="C428">
            <v>969.5999999999932</v>
          </cell>
          <cell r="D428">
            <v>1357.44</v>
          </cell>
          <cell r="E428">
            <v>0</v>
          </cell>
          <cell r="F428">
            <v>596.77000000000214</v>
          </cell>
          <cell r="G428">
            <v>835.48</v>
          </cell>
        </row>
        <row r="429">
          <cell r="B429">
            <v>425</v>
          </cell>
          <cell r="C429">
            <v>971.88999999999317</v>
          </cell>
          <cell r="D429">
            <v>1360.65</v>
          </cell>
          <cell r="E429">
            <v>0</v>
          </cell>
          <cell r="F429">
            <v>598.18000000000211</v>
          </cell>
          <cell r="G429">
            <v>837.45</v>
          </cell>
        </row>
        <row r="430">
          <cell r="B430">
            <v>426</v>
          </cell>
          <cell r="C430">
            <v>974.17999999999313</v>
          </cell>
          <cell r="D430">
            <v>1363.85</v>
          </cell>
          <cell r="E430">
            <v>0</v>
          </cell>
          <cell r="F430">
            <v>599.59000000000208</v>
          </cell>
          <cell r="G430">
            <v>839.43</v>
          </cell>
        </row>
        <row r="431">
          <cell r="B431">
            <v>427</v>
          </cell>
          <cell r="C431">
            <v>976.46999999999309</v>
          </cell>
          <cell r="D431">
            <v>1367.06</v>
          </cell>
          <cell r="E431">
            <v>0</v>
          </cell>
          <cell r="F431">
            <v>601.00000000000205</v>
          </cell>
          <cell r="G431">
            <v>841.4</v>
          </cell>
        </row>
        <row r="432">
          <cell r="B432">
            <v>428</v>
          </cell>
          <cell r="C432">
            <v>978.75999999999306</v>
          </cell>
          <cell r="D432">
            <v>1370.26</v>
          </cell>
          <cell r="E432">
            <v>0</v>
          </cell>
          <cell r="F432">
            <v>602.41000000000201</v>
          </cell>
          <cell r="G432">
            <v>843.37</v>
          </cell>
        </row>
        <row r="433">
          <cell r="B433">
            <v>429</v>
          </cell>
          <cell r="C433">
            <v>981.04999999999302</v>
          </cell>
          <cell r="D433">
            <v>1373.47</v>
          </cell>
          <cell r="E433">
            <v>0</v>
          </cell>
          <cell r="F433">
            <v>603.82000000000198</v>
          </cell>
          <cell r="G433">
            <v>845.35</v>
          </cell>
        </row>
        <row r="434">
          <cell r="B434">
            <v>430</v>
          </cell>
          <cell r="C434">
            <v>983.33999999999298</v>
          </cell>
          <cell r="D434">
            <v>1376.68</v>
          </cell>
          <cell r="E434">
            <v>0</v>
          </cell>
          <cell r="F434">
            <v>605.23000000000195</v>
          </cell>
          <cell r="G434">
            <v>847.32</v>
          </cell>
        </row>
        <row r="435">
          <cell r="B435">
            <v>431</v>
          </cell>
          <cell r="C435">
            <v>985.62999999999295</v>
          </cell>
          <cell r="D435">
            <v>1379.88</v>
          </cell>
          <cell r="E435">
            <v>0</v>
          </cell>
          <cell r="F435">
            <v>606.64000000000192</v>
          </cell>
          <cell r="G435">
            <v>849.3</v>
          </cell>
        </row>
        <row r="436">
          <cell r="B436">
            <v>432</v>
          </cell>
          <cell r="C436">
            <v>987.91999999999291</v>
          </cell>
          <cell r="D436">
            <v>1383.09</v>
          </cell>
          <cell r="E436">
            <v>0</v>
          </cell>
          <cell r="F436">
            <v>608.05000000000189</v>
          </cell>
          <cell r="G436">
            <v>851.27</v>
          </cell>
        </row>
        <row r="437">
          <cell r="B437">
            <v>433</v>
          </cell>
          <cell r="C437">
            <v>990.20999999999287</v>
          </cell>
          <cell r="D437">
            <v>1386.29</v>
          </cell>
          <cell r="E437">
            <v>0</v>
          </cell>
          <cell r="F437">
            <v>609.46000000000186</v>
          </cell>
          <cell r="G437">
            <v>853.24</v>
          </cell>
        </row>
        <row r="438">
          <cell r="B438">
            <v>434</v>
          </cell>
          <cell r="C438">
            <v>992.49999999999284</v>
          </cell>
          <cell r="D438">
            <v>1389.5</v>
          </cell>
          <cell r="E438">
            <v>0</v>
          </cell>
          <cell r="F438">
            <v>610.87000000000182</v>
          </cell>
          <cell r="G438">
            <v>855.22</v>
          </cell>
        </row>
        <row r="439">
          <cell r="B439">
            <v>435</v>
          </cell>
          <cell r="C439">
            <v>994.7899999999928</v>
          </cell>
          <cell r="D439">
            <v>1392.71</v>
          </cell>
          <cell r="E439">
            <v>0</v>
          </cell>
          <cell r="F439">
            <v>612.28000000000179</v>
          </cell>
          <cell r="G439">
            <v>857.19</v>
          </cell>
        </row>
        <row r="440">
          <cell r="B440">
            <v>436</v>
          </cell>
          <cell r="C440">
            <v>997.07999999999276</v>
          </cell>
          <cell r="D440">
            <v>1395.91</v>
          </cell>
          <cell r="E440">
            <v>0</v>
          </cell>
          <cell r="F440">
            <v>613.69000000000176</v>
          </cell>
          <cell r="G440">
            <v>859.17</v>
          </cell>
        </row>
        <row r="441">
          <cell r="B441">
            <v>437</v>
          </cell>
          <cell r="C441">
            <v>999.36999999999273</v>
          </cell>
          <cell r="D441">
            <v>1399.12</v>
          </cell>
          <cell r="E441">
            <v>0</v>
          </cell>
          <cell r="F441">
            <v>615.10000000000173</v>
          </cell>
          <cell r="G441">
            <v>861.14</v>
          </cell>
        </row>
        <row r="442">
          <cell r="B442">
            <v>438</v>
          </cell>
          <cell r="C442">
            <v>1001.6599999999927</v>
          </cell>
          <cell r="D442">
            <v>1402.32</v>
          </cell>
          <cell r="E442">
            <v>0</v>
          </cell>
          <cell r="F442">
            <v>616.5100000000017</v>
          </cell>
          <cell r="G442">
            <v>863.11</v>
          </cell>
        </row>
        <row r="443">
          <cell r="B443">
            <v>439</v>
          </cell>
          <cell r="C443">
            <v>1003.9499999999927</v>
          </cell>
          <cell r="D443">
            <v>1405.53</v>
          </cell>
          <cell r="E443">
            <v>0</v>
          </cell>
          <cell r="F443">
            <v>617.92000000000166</v>
          </cell>
          <cell r="G443">
            <v>865.09</v>
          </cell>
        </row>
        <row r="444">
          <cell r="B444">
            <v>440</v>
          </cell>
          <cell r="C444">
            <v>1006.2399999999926</v>
          </cell>
          <cell r="D444">
            <v>1408.74</v>
          </cell>
          <cell r="E444">
            <v>0</v>
          </cell>
          <cell r="F444">
            <v>619.33000000000163</v>
          </cell>
          <cell r="G444">
            <v>867.06</v>
          </cell>
        </row>
        <row r="445">
          <cell r="B445">
            <v>441</v>
          </cell>
          <cell r="C445">
            <v>1008.5299999999926</v>
          </cell>
          <cell r="D445">
            <v>1411.94</v>
          </cell>
          <cell r="E445">
            <v>0</v>
          </cell>
          <cell r="F445">
            <v>620.7400000000016</v>
          </cell>
          <cell r="G445">
            <v>869.04</v>
          </cell>
        </row>
        <row r="446">
          <cell r="B446">
            <v>442</v>
          </cell>
          <cell r="C446">
            <v>1010.8199999999925</v>
          </cell>
          <cell r="D446">
            <v>1415.15</v>
          </cell>
          <cell r="E446">
            <v>0</v>
          </cell>
          <cell r="F446">
            <v>622.15000000000157</v>
          </cell>
          <cell r="G446">
            <v>871.01</v>
          </cell>
        </row>
        <row r="447">
          <cell r="B447">
            <v>443</v>
          </cell>
          <cell r="C447">
            <v>1013.1099999999925</v>
          </cell>
          <cell r="D447">
            <v>1418.35</v>
          </cell>
          <cell r="E447">
            <v>0</v>
          </cell>
          <cell r="F447">
            <v>623.56000000000154</v>
          </cell>
          <cell r="G447">
            <v>872.98</v>
          </cell>
        </row>
        <row r="448">
          <cell r="B448">
            <v>444</v>
          </cell>
          <cell r="C448">
            <v>1015.3999999999925</v>
          </cell>
          <cell r="D448">
            <v>1421.56</v>
          </cell>
          <cell r="E448">
            <v>0</v>
          </cell>
          <cell r="F448">
            <v>624.97000000000151</v>
          </cell>
          <cell r="G448">
            <v>874.96</v>
          </cell>
        </row>
        <row r="449">
          <cell r="B449">
            <v>445</v>
          </cell>
          <cell r="C449">
            <v>1017.6899999999924</v>
          </cell>
          <cell r="D449">
            <v>1424.77</v>
          </cell>
          <cell r="E449">
            <v>0</v>
          </cell>
          <cell r="F449">
            <v>626.38000000000147</v>
          </cell>
          <cell r="G449">
            <v>876.93</v>
          </cell>
        </row>
        <row r="450">
          <cell r="B450">
            <v>446</v>
          </cell>
          <cell r="C450">
            <v>1019.9799999999924</v>
          </cell>
          <cell r="D450">
            <v>1427.97</v>
          </cell>
          <cell r="E450">
            <v>0</v>
          </cell>
          <cell r="F450">
            <v>627.79000000000144</v>
          </cell>
          <cell r="G450">
            <v>878.91</v>
          </cell>
        </row>
        <row r="451">
          <cell r="B451">
            <v>447</v>
          </cell>
          <cell r="C451">
            <v>1022.2699999999924</v>
          </cell>
          <cell r="D451">
            <v>1431.18</v>
          </cell>
          <cell r="E451">
            <v>0</v>
          </cell>
          <cell r="F451">
            <v>629.20000000000141</v>
          </cell>
          <cell r="G451">
            <v>880.88</v>
          </cell>
        </row>
        <row r="452">
          <cell r="B452">
            <v>448</v>
          </cell>
          <cell r="C452">
            <v>1024.5599999999924</v>
          </cell>
          <cell r="D452">
            <v>1434.38</v>
          </cell>
          <cell r="E452">
            <v>0</v>
          </cell>
          <cell r="F452">
            <v>630.61000000000138</v>
          </cell>
          <cell r="G452">
            <v>882.85</v>
          </cell>
        </row>
        <row r="453">
          <cell r="B453">
            <v>449</v>
          </cell>
          <cell r="C453">
            <v>1026.8499999999924</v>
          </cell>
          <cell r="D453">
            <v>1437.59</v>
          </cell>
          <cell r="E453">
            <v>0</v>
          </cell>
          <cell r="F453">
            <v>632.02000000000135</v>
          </cell>
          <cell r="G453">
            <v>884.83</v>
          </cell>
        </row>
        <row r="454">
          <cell r="B454">
            <v>450</v>
          </cell>
          <cell r="C454">
            <v>1029.1399999999924</v>
          </cell>
          <cell r="D454">
            <v>1440.8</v>
          </cell>
          <cell r="E454">
            <v>0</v>
          </cell>
          <cell r="F454">
            <v>633.43000000000131</v>
          </cell>
          <cell r="G454">
            <v>886.8</v>
          </cell>
        </row>
        <row r="455">
          <cell r="B455">
            <v>451</v>
          </cell>
          <cell r="C455">
            <v>1031.4299999999923</v>
          </cell>
          <cell r="D455">
            <v>1444</v>
          </cell>
          <cell r="E455">
            <v>0</v>
          </cell>
          <cell r="F455">
            <v>634.84000000000128</v>
          </cell>
          <cell r="G455">
            <v>888.78</v>
          </cell>
        </row>
        <row r="456">
          <cell r="B456">
            <v>452</v>
          </cell>
          <cell r="C456">
            <v>1033.7199999999923</v>
          </cell>
          <cell r="D456">
            <v>1447.21</v>
          </cell>
          <cell r="E456">
            <v>0</v>
          </cell>
          <cell r="F456">
            <v>636.25000000000125</v>
          </cell>
          <cell r="G456">
            <v>890.75</v>
          </cell>
        </row>
        <row r="457">
          <cell r="B457">
            <v>453</v>
          </cell>
          <cell r="C457">
            <v>1036.0099999999923</v>
          </cell>
          <cell r="D457">
            <v>1450.41</v>
          </cell>
          <cell r="E457">
            <v>0</v>
          </cell>
          <cell r="F457">
            <v>637.66000000000122</v>
          </cell>
          <cell r="G457">
            <v>892.72</v>
          </cell>
        </row>
        <row r="458">
          <cell r="B458">
            <v>454</v>
          </cell>
          <cell r="C458">
            <v>1038.2999999999922</v>
          </cell>
          <cell r="D458">
            <v>1453.62</v>
          </cell>
          <cell r="E458">
            <v>0</v>
          </cell>
          <cell r="F458">
            <v>639.07000000000119</v>
          </cell>
          <cell r="G458">
            <v>894.7</v>
          </cell>
        </row>
        <row r="459">
          <cell r="B459">
            <v>455</v>
          </cell>
          <cell r="C459">
            <v>1040.5899999999922</v>
          </cell>
          <cell r="D459">
            <v>1456.83</v>
          </cell>
          <cell r="E459">
            <v>0</v>
          </cell>
          <cell r="F459">
            <v>640.48000000000116</v>
          </cell>
          <cell r="G459">
            <v>896.67</v>
          </cell>
        </row>
        <row r="460">
          <cell r="B460">
            <v>456</v>
          </cell>
          <cell r="C460">
            <v>1042.8799999999922</v>
          </cell>
          <cell r="D460">
            <v>1460.03</v>
          </cell>
          <cell r="E460">
            <v>0</v>
          </cell>
          <cell r="F460">
            <v>641.89000000000112</v>
          </cell>
          <cell r="G460">
            <v>898.65</v>
          </cell>
        </row>
        <row r="461">
          <cell r="B461">
            <v>457</v>
          </cell>
          <cell r="C461">
            <v>1045.1699999999921</v>
          </cell>
          <cell r="D461">
            <v>1463.24</v>
          </cell>
          <cell r="E461">
            <v>0</v>
          </cell>
          <cell r="F461">
            <v>643.30000000000109</v>
          </cell>
          <cell r="G461">
            <v>900.62</v>
          </cell>
        </row>
        <row r="462">
          <cell r="B462">
            <v>458</v>
          </cell>
          <cell r="C462">
            <v>1047.4599999999921</v>
          </cell>
          <cell r="D462">
            <v>1466.44</v>
          </cell>
          <cell r="E462">
            <v>0</v>
          </cell>
          <cell r="F462">
            <v>644.71000000000106</v>
          </cell>
          <cell r="G462">
            <v>902.59</v>
          </cell>
        </row>
        <row r="463">
          <cell r="B463">
            <v>459</v>
          </cell>
          <cell r="C463">
            <v>1049.749999999992</v>
          </cell>
          <cell r="D463">
            <v>1469.65</v>
          </cell>
          <cell r="E463">
            <v>0</v>
          </cell>
          <cell r="F463">
            <v>646.12000000000103</v>
          </cell>
          <cell r="G463">
            <v>904.57</v>
          </cell>
        </row>
        <row r="464">
          <cell r="B464">
            <v>460</v>
          </cell>
          <cell r="C464">
            <v>1052.039999999992</v>
          </cell>
          <cell r="D464">
            <v>1472.86</v>
          </cell>
          <cell r="E464">
            <v>0</v>
          </cell>
          <cell r="F464">
            <v>647.530000000001</v>
          </cell>
          <cell r="G464">
            <v>906.54</v>
          </cell>
        </row>
        <row r="465">
          <cell r="B465">
            <v>461</v>
          </cell>
          <cell r="C465">
            <v>1054.329999999992</v>
          </cell>
          <cell r="D465">
            <v>1476.06</v>
          </cell>
          <cell r="E465">
            <v>0</v>
          </cell>
          <cell r="F465">
            <v>648.94000000000096</v>
          </cell>
          <cell r="G465">
            <v>908.52</v>
          </cell>
        </row>
        <row r="466">
          <cell r="B466">
            <v>462</v>
          </cell>
          <cell r="C466">
            <v>1056.6199999999919</v>
          </cell>
          <cell r="D466">
            <v>1479.27</v>
          </cell>
          <cell r="E466">
            <v>0</v>
          </cell>
          <cell r="F466">
            <v>650.35000000000093</v>
          </cell>
          <cell r="G466">
            <v>910.49</v>
          </cell>
        </row>
        <row r="467">
          <cell r="B467">
            <v>463</v>
          </cell>
          <cell r="C467">
            <v>1058.9099999999919</v>
          </cell>
          <cell r="D467">
            <v>1482.47</v>
          </cell>
          <cell r="E467">
            <v>0</v>
          </cell>
          <cell r="F467">
            <v>651.7600000000009</v>
          </cell>
          <cell r="G467">
            <v>912.46</v>
          </cell>
        </row>
        <row r="468">
          <cell r="B468">
            <v>464</v>
          </cell>
          <cell r="C468">
            <v>1061.1999999999919</v>
          </cell>
          <cell r="D468">
            <v>1485.68</v>
          </cell>
          <cell r="E468">
            <v>0</v>
          </cell>
          <cell r="F468">
            <v>653.17000000000087</v>
          </cell>
          <cell r="G468">
            <v>914.44</v>
          </cell>
        </row>
        <row r="469">
          <cell r="B469">
            <v>465</v>
          </cell>
          <cell r="C469">
            <v>1063.4899999999918</v>
          </cell>
          <cell r="D469">
            <v>1488.89</v>
          </cell>
          <cell r="E469">
            <v>0</v>
          </cell>
          <cell r="F469">
            <v>654.58000000000084</v>
          </cell>
          <cell r="G469">
            <v>916.41</v>
          </cell>
        </row>
        <row r="470">
          <cell r="B470">
            <v>466</v>
          </cell>
          <cell r="C470">
            <v>1065.7799999999918</v>
          </cell>
          <cell r="D470">
            <v>1492.09</v>
          </cell>
          <cell r="E470">
            <v>0</v>
          </cell>
          <cell r="F470">
            <v>655.9900000000008</v>
          </cell>
          <cell r="G470">
            <v>918.39</v>
          </cell>
        </row>
        <row r="471">
          <cell r="B471">
            <v>467</v>
          </cell>
          <cell r="C471">
            <v>1068.0699999999918</v>
          </cell>
          <cell r="D471">
            <v>1495.3</v>
          </cell>
          <cell r="E471">
            <v>0</v>
          </cell>
          <cell r="F471">
            <v>657.40000000000077</v>
          </cell>
          <cell r="G471">
            <v>920.36</v>
          </cell>
        </row>
        <row r="472">
          <cell r="B472">
            <v>468</v>
          </cell>
          <cell r="C472">
            <v>1070.3599999999917</v>
          </cell>
          <cell r="D472">
            <v>1498.5</v>
          </cell>
          <cell r="E472">
            <v>0</v>
          </cell>
          <cell r="F472">
            <v>658.81000000000074</v>
          </cell>
          <cell r="G472">
            <v>922.33</v>
          </cell>
        </row>
        <row r="473">
          <cell r="B473">
            <v>469</v>
          </cell>
          <cell r="C473">
            <v>1072.6499999999917</v>
          </cell>
          <cell r="D473">
            <v>1501.71</v>
          </cell>
          <cell r="E473">
            <v>0</v>
          </cell>
          <cell r="F473">
            <v>660.22000000000071</v>
          </cell>
          <cell r="G473">
            <v>924.31</v>
          </cell>
        </row>
        <row r="474">
          <cell r="B474">
            <v>470</v>
          </cell>
          <cell r="C474">
            <v>1074.9399999999916</v>
          </cell>
          <cell r="D474">
            <v>1504.92</v>
          </cell>
          <cell r="E474">
            <v>0</v>
          </cell>
          <cell r="F474">
            <v>661.63000000000068</v>
          </cell>
          <cell r="G474">
            <v>926.28</v>
          </cell>
        </row>
        <row r="475">
          <cell r="B475">
            <v>471</v>
          </cell>
          <cell r="C475">
            <v>1077.2299999999916</v>
          </cell>
          <cell r="D475">
            <v>1508.12</v>
          </cell>
          <cell r="E475">
            <v>0</v>
          </cell>
          <cell r="F475">
            <v>663.04000000000065</v>
          </cell>
          <cell r="G475">
            <v>928.26</v>
          </cell>
        </row>
        <row r="476">
          <cell r="B476">
            <v>472</v>
          </cell>
          <cell r="C476">
            <v>1079.5199999999916</v>
          </cell>
          <cell r="D476">
            <v>1511.33</v>
          </cell>
          <cell r="E476">
            <v>0</v>
          </cell>
          <cell r="F476">
            <v>664.45000000000061</v>
          </cell>
          <cell r="G476">
            <v>930.23</v>
          </cell>
        </row>
        <row r="477">
          <cell r="B477">
            <v>473</v>
          </cell>
          <cell r="C477">
            <v>1081.8099999999915</v>
          </cell>
          <cell r="D477">
            <v>1514.53</v>
          </cell>
          <cell r="E477">
            <v>0</v>
          </cell>
          <cell r="F477">
            <v>665.86000000000058</v>
          </cell>
          <cell r="G477">
            <v>932.2</v>
          </cell>
        </row>
        <row r="478">
          <cell r="B478">
            <v>474</v>
          </cell>
          <cell r="C478">
            <v>1084.0999999999915</v>
          </cell>
          <cell r="D478">
            <v>1517.74</v>
          </cell>
          <cell r="E478">
            <v>0</v>
          </cell>
          <cell r="F478">
            <v>667.27000000000055</v>
          </cell>
          <cell r="G478">
            <v>934.18</v>
          </cell>
        </row>
        <row r="479">
          <cell r="B479">
            <v>475</v>
          </cell>
          <cell r="C479">
            <v>1086.3899999999915</v>
          </cell>
          <cell r="D479">
            <v>1520.95</v>
          </cell>
          <cell r="E479">
            <v>0</v>
          </cell>
          <cell r="F479">
            <v>668.68000000000052</v>
          </cell>
          <cell r="G479">
            <v>936.15</v>
          </cell>
        </row>
        <row r="480">
          <cell r="B480">
            <v>476</v>
          </cell>
          <cell r="C480">
            <v>1088.6799999999914</v>
          </cell>
          <cell r="D480">
            <v>1524.15</v>
          </cell>
          <cell r="E480">
            <v>0</v>
          </cell>
          <cell r="F480">
            <v>670.09000000000049</v>
          </cell>
          <cell r="G480">
            <v>938.13</v>
          </cell>
        </row>
        <row r="481">
          <cell r="B481">
            <v>477</v>
          </cell>
          <cell r="C481">
            <v>1090.9699999999914</v>
          </cell>
          <cell r="D481">
            <v>1527.36</v>
          </cell>
          <cell r="E481">
            <v>0</v>
          </cell>
          <cell r="F481">
            <v>671.50000000000045</v>
          </cell>
          <cell r="G481">
            <v>940.1</v>
          </cell>
        </row>
        <row r="482">
          <cell r="B482">
            <v>478</v>
          </cell>
          <cell r="C482">
            <v>1093.2599999999914</v>
          </cell>
          <cell r="D482">
            <v>1530.56</v>
          </cell>
          <cell r="E482">
            <v>0</v>
          </cell>
          <cell r="F482">
            <v>672.91000000000042</v>
          </cell>
          <cell r="G482">
            <v>942.07</v>
          </cell>
        </row>
        <row r="483">
          <cell r="B483">
            <v>479</v>
          </cell>
          <cell r="C483">
            <v>1095.5499999999913</v>
          </cell>
          <cell r="D483">
            <v>1533.77</v>
          </cell>
          <cell r="E483">
            <v>0</v>
          </cell>
          <cell r="F483">
            <v>674.32000000000039</v>
          </cell>
          <cell r="G483">
            <v>944.05</v>
          </cell>
        </row>
        <row r="484">
          <cell r="B484">
            <v>480</v>
          </cell>
          <cell r="C484">
            <v>1097.8399999999913</v>
          </cell>
          <cell r="D484">
            <v>1536.98</v>
          </cell>
          <cell r="E484">
            <v>0</v>
          </cell>
          <cell r="F484">
            <v>675.73000000000036</v>
          </cell>
          <cell r="G484">
            <v>946.02</v>
          </cell>
        </row>
        <row r="485">
          <cell r="B485">
            <v>481</v>
          </cell>
          <cell r="C485">
            <v>1100.1299999999912</v>
          </cell>
          <cell r="D485">
            <v>1540.18</v>
          </cell>
          <cell r="E485">
            <v>0</v>
          </cell>
          <cell r="F485">
            <v>677.14000000000033</v>
          </cell>
          <cell r="G485">
            <v>948</v>
          </cell>
        </row>
        <row r="486">
          <cell r="B486">
            <v>482</v>
          </cell>
          <cell r="C486">
            <v>1102.4199999999912</v>
          </cell>
          <cell r="D486">
            <v>1543.39</v>
          </cell>
          <cell r="E486">
            <v>0</v>
          </cell>
          <cell r="F486">
            <v>678.5500000000003</v>
          </cell>
          <cell r="G486">
            <v>949.97</v>
          </cell>
        </row>
        <row r="487">
          <cell r="B487">
            <v>483</v>
          </cell>
          <cell r="C487">
            <v>1104.7099999999912</v>
          </cell>
          <cell r="D487">
            <v>1546.59</v>
          </cell>
          <cell r="E487">
            <v>0</v>
          </cell>
          <cell r="F487">
            <v>679.96000000000026</v>
          </cell>
          <cell r="G487">
            <v>951.94</v>
          </cell>
        </row>
        <row r="488">
          <cell r="B488">
            <v>484</v>
          </cell>
          <cell r="C488">
            <v>1106.9999999999911</v>
          </cell>
          <cell r="D488">
            <v>1549.8</v>
          </cell>
          <cell r="E488">
            <v>0</v>
          </cell>
          <cell r="F488">
            <v>681.37000000000023</v>
          </cell>
          <cell r="G488">
            <v>953.92</v>
          </cell>
        </row>
        <row r="489">
          <cell r="B489">
            <v>485</v>
          </cell>
          <cell r="C489">
            <v>1109.2899999999911</v>
          </cell>
          <cell r="D489">
            <v>1553.01</v>
          </cell>
          <cell r="E489">
            <v>0</v>
          </cell>
          <cell r="F489">
            <v>682.7800000000002</v>
          </cell>
          <cell r="G489">
            <v>955.89</v>
          </cell>
        </row>
        <row r="490">
          <cell r="B490">
            <v>486</v>
          </cell>
          <cell r="C490">
            <v>1111.5799999999911</v>
          </cell>
          <cell r="D490">
            <v>1556.21</v>
          </cell>
          <cell r="E490">
            <v>0</v>
          </cell>
          <cell r="F490">
            <v>684.19000000000017</v>
          </cell>
          <cell r="G490">
            <v>957.87</v>
          </cell>
        </row>
        <row r="491">
          <cell r="B491">
            <v>487</v>
          </cell>
          <cell r="C491">
            <v>1113.869999999991</v>
          </cell>
          <cell r="D491">
            <v>1559.42</v>
          </cell>
          <cell r="E491">
            <v>0</v>
          </cell>
          <cell r="F491">
            <v>685.60000000000014</v>
          </cell>
          <cell r="G491">
            <v>959.84</v>
          </cell>
        </row>
        <row r="492">
          <cell r="B492">
            <v>488</v>
          </cell>
          <cell r="C492">
            <v>1116.159999999991</v>
          </cell>
          <cell r="D492">
            <v>1562.62</v>
          </cell>
          <cell r="E492">
            <v>0</v>
          </cell>
          <cell r="F492">
            <v>687.0100000000001</v>
          </cell>
          <cell r="G492">
            <v>961.81</v>
          </cell>
        </row>
        <row r="493">
          <cell r="B493">
            <v>489</v>
          </cell>
          <cell r="C493">
            <v>1118.449999999991</v>
          </cell>
          <cell r="D493">
            <v>1565.83</v>
          </cell>
          <cell r="E493">
            <v>0</v>
          </cell>
          <cell r="F493">
            <v>688.42000000000007</v>
          </cell>
          <cell r="G493">
            <v>963.79</v>
          </cell>
        </row>
        <row r="494">
          <cell r="B494">
            <v>490</v>
          </cell>
          <cell r="C494">
            <v>1120.7399999999909</v>
          </cell>
          <cell r="D494">
            <v>1569.04</v>
          </cell>
          <cell r="E494">
            <v>0</v>
          </cell>
          <cell r="F494">
            <v>689.83</v>
          </cell>
          <cell r="G494">
            <v>965.76</v>
          </cell>
        </row>
        <row r="495">
          <cell r="B495">
            <v>491</v>
          </cell>
          <cell r="C495">
            <v>1123.0299999999909</v>
          </cell>
          <cell r="D495">
            <v>1572.24</v>
          </cell>
          <cell r="E495">
            <v>0</v>
          </cell>
          <cell r="F495">
            <v>691.24</v>
          </cell>
          <cell r="G495">
            <v>967.74</v>
          </cell>
        </row>
        <row r="496">
          <cell r="B496">
            <v>492</v>
          </cell>
          <cell r="C496">
            <v>1125.3199999999908</v>
          </cell>
          <cell r="D496">
            <v>1575.45</v>
          </cell>
          <cell r="E496">
            <v>0</v>
          </cell>
          <cell r="F496">
            <v>692.65</v>
          </cell>
          <cell r="G496">
            <v>969.71</v>
          </cell>
        </row>
        <row r="497">
          <cell r="B497">
            <v>493</v>
          </cell>
          <cell r="C497">
            <v>1127.6099999999908</v>
          </cell>
          <cell r="D497">
            <v>1578.65</v>
          </cell>
          <cell r="E497">
            <v>0</v>
          </cell>
          <cell r="F497">
            <v>694.06</v>
          </cell>
          <cell r="G497">
            <v>971.68</v>
          </cell>
        </row>
        <row r="498">
          <cell r="B498">
            <v>494</v>
          </cell>
          <cell r="C498">
            <v>1129.8999999999908</v>
          </cell>
          <cell r="D498">
            <v>1581.86</v>
          </cell>
          <cell r="E498">
            <v>0</v>
          </cell>
          <cell r="F498">
            <v>695.46999999999991</v>
          </cell>
          <cell r="G498">
            <v>973.66</v>
          </cell>
        </row>
        <row r="499">
          <cell r="B499">
            <v>495</v>
          </cell>
          <cell r="C499">
            <v>1132.1899999999907</v>
          </cell>
          <cell r="D499">
            <v>1585.07</v>
          </cell>
          <cell r="E499">
            <v>0</v>
          </cell>
          <cell r="F499">
            <v>696.87999999999988</v>
          </cell>
          <cell r="G499">
            <v>975.63</v>
          </cell>
        </row>
        <row r="500">
          <cell r="B500">
            <v>496</v>
          </cell>
          <cell r="C500">
            <v>1134.4799999999907</v>
          </cell>
          <cell r="D500">
            <v>1588.27</v>
          </cell>
          <cell r="E500">
            <v>0</v>
          </cell>
          <cell r="F500">
            <v>698.28999999999985</v>
          </cell>
          <cell r="G500">
            <v>977.61</v>
          </cell>
        </row>
        <row r="501">
          <cell r="B501">
            <v>497</v>
          </cell>
          <cell r="C501">
            <v>1136.7699999999907</v>
          </cell>
          <cell r="D501">
            <v>1591.48</v>
          </cell>
          <cell r="E501">
            <v>0</v>
          </cell>
          <cell r="F501">
            <v>699.69999999999982</v>
          </cell>
          <cell r="G501">
            <v>979.58</v>
          </cell>
        </row>
        <row r="502">
          <cell r="B502">
            <v>498</v>
          </cell>
          <cell r="C502">
            <v>1139.0599999999906</v>
          </cell>
          <cell r="D502">
            <v>1594.68</v>
          </cell>
          <cell r="E502">
            <v>0</v>
          </cell>
          <cell r="F502">
            <v>701.10999999999979</v>
          </cell>
          <cell r="G502">
            <v>981.55</v>
          </cell>
        </row>
        <row r="503">
          <cell r="B503">
            <v>499</v>
          </cell>
          <cell r="C503">
            <v>1141.3499999999906</v>
          </cell>
          <cell r="D503">
            <v>1597.89</v>
          </cell>
          <cell r="E503">
            <v>0</v>
          </cell>
          <cell r="F503">
            <v>702.51999999999975</v>
          </cell>
          <cell r="G503">
            <v>983.53</v>
          </cell>
        </row>
        <row r="504">
          <cell r="B504">
            <v>500</v>
          </cell>
          <cell r="C504">
            <v>1143.6399999999906</v>
          </cell>
          <cell r="D504">
            <v>1601.1</v>
          </cell>
          <cell r="E504">
            <v>0</v>
          </cell>
          <cell r="F504">
            <v>703.92999999999972</v>
          </cell>
          <cell r="G504">
            <v>985.5</v>
          </cell>
        </row>
        <row r="505">
          <cell r="B505">
            <v>501</v>
          </cell>
          <cell r="C505">
            <v>1145.9299999999905</v>
          </cell>
          <cell r="D505">
            <v>1604.3</v>
          </cell>
          <cell r="E505">
            <v>0</v>
          </cell>
          <cell r="F505">
            <v>705.33999999999969</v>
          </cell>
          <cell r="G505">
            <v>987.48</v>
          </cell>
        </row>
        <row r="506">
          <cell r="B506">
            <v>502</v>
          </cell>
          <cell r="C506">
            <v>1148.2199999999905</v>
          </cell>
          <cell r="D506">
            <v>1607.51</v>
          </cell>
          <cell r="E506">
            <v>0</v>
          </cell>
          <cell r="F506">
            <v>706.74999999999966</v>
          </cell>
          <cell r="G506">
            <v>989.45</v>
          </cell>
        </row>
        <row r="507">
          <cell r="B507">
            <v>503</v>
          </cell>
          <cell r="C507">
            <v>1150.5099999999904</v>
          </cell>
          <cell r="D507">
            <v>1610.71</v>
          </cell>
          <cell r="E507">
            <v>0</v>
          </cell>
          <cell r="F507">
            <v>708.15999999999963</v>
          </cell>
          <cell r="G507">
            <v>991.42</v>
          </cell>
        </row>
        <row r="508">
          <cell r="B508">
            <v>504</v>
          </cell>
          <cell r="C508">
            <v>1152.7999999999904</v>
          </cell>
          <cell r="D508">
            <v>1613.92</v>
          </cell>
          <cell r="E508">
            <v>0</v>
          </cell>
          <cell r="F508">
            <v>709.5699999999996</v>
          </cell>
          <cell r="G508">
            <v>993.4</v>
          </cell>
        </row>
        <row r="509">
          <cell r="B509">
            <v>505</v>
          </cell>
          <cell r="C509">
            <v>1155.0899999999904</v>
          </cell>
          <cell r="D509">
            <v>1617.13</v>
          </cell>
          <cell r="E509">
            <v>0</v>
          </cell>
          <cell r="F509">
            <v>710.97999999999956</v>
          </cell>
          <cell r="G509">
            <v>995.37</v>
          </cell>
        </row>
        <row r="510">
          <cell r="B510">
            <v>506</v>
          </cell>
          <cell r="C510">
            <v>1157.3799999999903</v>
          </cell>
          <cell r="D510">
            <v>1620.33</v>
          </cell>
          <cell r="E510">
            <v>0</v>
          </cell>
          <cell r="F510">
            <v>712.38999999999953</v>
          </cell>
          <cell r="G510">
            <v>997.35</v>
          </cell>
        </row>
        <row r="511">
          <cell r="B511">
            <v>507</v>
          </cell>
          <cell r="C511">
            <v>1159.6699999999903</v>
          </cell>
          <cell r="D511">
            <v>1623.54</v>
          </cell>
          <cell r="E511">
            <v>0</v>
          </cell>
          <cell r="F511">
            <v>713.7999999999995</v>
          </cell>
          <cell r="G511">
            <v>999.32</v>
          </cell>
        </row>
        <row r="512">
          <cell r="B512">
            <v>508</v>
          </cell>
          <cell r="C512">
            <v>1161.9599999999903</v>
          </cell>
          <cell r="D512">
            <v>1626.74</v>
          </cell>
          <cell r="E512">
            <v>0</v>
          </cell>
          <cell r="F512">
            <v>715.20999999999947</v>
          </cell>
          <cell r="G512">
            <v>1001.29</v>
          </cell>
        </row>
        <row r="513">
          <cell r="B513">
            <v>509</v>
          </cell>
          <cell r="C513">
            <v>1164.2499999999902</v>
          </cell>
          <cell r="D513">
            <v>1629.95</v>
          </cell>
          <cell r="E513">
            <v>0</v>
          </cell>
          <cell r="F513">
            <v>716.61999999999944</v>
          </cell>
          <cell r="G513">
            <v>1003.27</v>
          </cell>
        </row>
        <row r="514">
          <cell r="B514">
            <v>510</v>
          </cell>
          <cell r="C514">
            <v>1166.5399999999902</v>
          </cell>
          <cell r="D514">
            <v>1633.16</v>
          </cell>
          <cell r="E514">
            <v>0</v>
          </cell>
          <cell r="F514">
            <v>718.0299999999994</v>
          </cell>
          <cell r="G514">
            <v>1005.24</v>
          </cell>
        </row>
        <row r="515">
          <cell r="B515">
            <v>511</v>
          </cell>
          <cell r="C515">
            <v>1168.8299999999902</v>
          </cell>
          <cell r="D515">
            <v>1636.36</v>
          </cell>
          <cell r="E515">
            <v>0</v>
          </cell>
          <cell r="F515">
            <v>719.43999999999937</v>
          </cell>
          <cell r="G515">
            <v>1007.22</v>
          </cell>
        </row>
        <row r="516">
          <cell r="B516">
            <v>512</v>
          </cell>
          <cell r="C516">
            <v>1171.1199999999901</v>
          </cell>
          <cell r="D516">
            <v>1639.57</v>
          </cell>
          <cell r="E516">
            <v>0</v>
          </cell>
          <cell r="F516">
            <v>720.84999999999934</v>
          </cell>
          <cell r="G516">
            <v>1009.19</v>
          </cell>
        </row>
        <row r="517">
          <cell r="B517">
            <v>513</v>
          </cell>
          <cell r="C517">
            <v>1173.4099999999901</v>
          </cell>
          <cell r="D517">
            <v>1642.77</v>
          </cell>
          <cell r="E517">
            <v>0</v>
          </cell>
          <cell r="F517">
            <v>722.25999999999931</v>
          </cell>
          <cell r="G517">
            <v>1011.16</v>
          </cell>
        </row>
        <row r="518">
          <cell r="B518">
            <v>514</v>
          </cell>
          <cell r="C518">
            <v>1175.69999999999</v>
          </cell>
          <cell r="D518">
            <v>1645.98</v>
          </cell>
          <cell r="E518">
            <v>0</v>
          </cell>
          <cell r="F518">
            <v>723.66999999999928</v>
          </cell>
          <cell r="G518">
            <v>1013.14</v>
          </cell>
        </row>
        <row r="519">
          <cell r="B519">
            <v>515</v>
          </cell>
          <cell r="C519">
            <v>1177.98999999999</v>
          </cell>
          <cell r="D519">
            <v>1649.19</v>
          </cell>
          <cell r="E519">
            <v>0</v>
          </cell>
          <cell r="F519">
            <v>725.07999999999925</v>
          </cell>
          <cell r="G519">
            <v>1015.11</v>
          </cell>
        </row>
        <row r="520">
          <cell r="B520">
            <v>516</v>
          </cell>
          <cell r="C520">
            <v>1180.27999999999</v>
          </cell>
          <cell r="D520">
            <v>1652.39</v>
          </cell>
          <cell r="E520">
            <v>0</v>
          </cell>
          <cell r="F520">
            <v>726.48999999999921</v>
          </cell>
          <cell r="G520">
            <v>1017.09</v>
          </cell>
        </row>
        <row r="521">
          <cell r="B521">
            <v>517</v>
          </cell>
          <cell r="C521">
            <v>1182.5699999999899</v>
          </cell>
          <cell r="D521">
            <v>1655.6</v>
          </cell>
          <cell r="E521">
            <v>0</v>
          </cell>
          <cell r="F521">
            <v>727.89999999999918</v>
          </cell>
          <cell r="G521">
            <v>1019.06</v>
          </cell>
        </row>
        <row r="522">
          <cell r="B522">
            <v>518</v>
          </cell>
          <cell r="C522">
            <v>1184.8599999999899</v>
          </cell>
          <cell r="D522">
            <v>1658.8</v>
          </cell>
          <cell r="E522">
            <v>0</v>
          </cell>
          <cell r="F522">
            <v>729.30999999999915</v>
          </cell>
          <cell r="G522">
            <v>1021.03</v>
          </cell>
        </row>
        <row r="523">
          <cell r="B523">
            <v>519</v>
          </cell>
          <cell r="C523">
            <v>1187.1499999999899</v>
          </cell>
          <cell r="D523">
            <v>1662.01</v>
          </cell>
          <cell r="E523">
            <v>0</v>
          </cell>
          <cell r="F523">
            <v>730.71999999999912</v>
          </cell>
          <cell r="G523">
            <v>1023.01</v>
          </cell>
        </row>
        <row r="524">
          <cell r="B524">
            <v>520</v>
          </cell>
          <cell r="C524">
            <v>1189.4399999999898</v>
          </cell>
          <cell r="D524">
            <v>1665.22</v>
          </cell>
          <cell r="E524">
            <v>0</v>
          </cell>
          <cell r="F524">
            <v>732.12999999999909</v>
          </cell>
          <cell r="G524">
            <v>1024.98</v>
          </cell>
        </row>
        <row r="525">
          <cell r="B525">
            <v>521</v>
          </cell>
          <cell r="C525">
            <v>1191.7299999999898</v>
          </cell>
          <cell r="D525">
            <v>1668.42</v>
          </cell>
          <cell r="E525">
            <v>0</v>
          </cell>
          <cell r="F525">
            <v>733.53999999999905</v>
          </cell>
          <cell r="G525">
            <v>1026.96</v>
          </cell>
        </row>
        <row r="526">
          <cell r="B526">
            <v>522</v>
          </cell>
          <cell r="C526">
            <v>1194.0199999999897</v>
          </cell>
          <cell r="D526">
            <v>1671.63</v>
          </cell>
          <cell r="E526">
            <v>0</v>
          </cell>
          <cell r="F526">
            <v>734.94999999999902</v>
          </cell>
          <cell r="G526">
            <v>1028.93</v>
          </cell>
        </row>
        <row r="527">
          <cell r="B527">
            <v>523</v>
          </cell>
          <cell r="C527">
            <v>1196.3099999999897</v>
          </cell>
          <cell r="D527">
            <v>1674.83</v>
          </cell>
          <cell r="E527">
            <v>0</v>
          </cell>
          <cell r="F527">
            <v>736.35999999999899</v>
          </cell>
          <cell r="G527">
            <v>1030.9000000000001</v>
          </cell>
        </row>
        <row r="528">
          <cell r="B528">
            <v>524</v>
          </cell>
          <cell r="C528">
            <v>1198.5999999999897</v>
          </cell>
          <cell r="D528">
            <v>1678.04</v>
          </cell>
          <cell r="E528">
            <v>0</v>
          </cell>
          <cell r="F528">
            <v>737.76999999999896</v>
          </cell>
          <cell r="G528">
            <v>1032.8800000000001</v>
          </cell>
        </row>
        <row r="529">
          <cell r="B529">
            <v>525</v>
          </cell>
          <cell r="C529">
            <v>1200.8899999999896</v>
          </cell>
          <cell r="D529">
            <v>1681.25</v>
          </cell>
          <cell r="E529">
            <v>0</v>
          </cell>
          <cell r="F529">
            <v>739.17999999999893</v>
          </cell>
          <cell r="G529">
            <v>1034.8499999999999</v>
          </cell>
        </row>
        <row r="530">
          <cell r="B530">
            <v>526</v>
          </cell>
          <cell r="C530">
            <v>1203.1799999999896</v>
          </cell>
          <cell r="D530">
            <v>1684.45</v>
          </cell>
          <cell r="E530">
            <v>0</v>
          </cell>
          <cell r="F530">
            <v>740.58999999999889</v>
          </cell>
          <cell r="G530">
            <v>1036.83</v>
          </cell>
        </row>
        <row r="531">
          <cell r="B531">
            <v>527</v>
          </cell>
          <cell r="C531">
            <v>1205.4699999999896</v>
          </cell>
          <cell r="D531">
            <v>1687.66</v>
          </cell>
          <cell r="E531">
            <v>0</v>
          </cell>
          <cell r="F531">
            <v>741.99999999999886</v>
          </cell>
          <cell r="G531">
            <v>1038.8</v>
          </cell>
        </row>
        <row r="532">
          <cell r="B532">
            <v>528</v>
          </cell>
          <cell r="C532">
            <v>1207.7599999999895</v>
          </cell>
          <cell r="D532">
            <v>1690.86</v>
          </cell>
          <cell r="E532">
            <v>0</v>
          </cell>
          <cell r="F532">
            <v>743.40999999999883</v>
          </cell>
          <cell r="G532">
            <v>1040.77</v>
          </cell>
        </row>
        <row r="533">
          <cell r="B533">
            <v>529</v>
          </cell>
          <cell r="C533">
            <v>1210.0499999999895</v>
          </cell>
          <cell r="D533">
            <v>1694.07</v>
          </cell>
          <cell r="E533">
            <v>0</v>
          </cell>
          <cell r="F533">
            <v>744.8199999999988</v>
          </cell>
          <cell r="G533">
            <v>1042.75</v>
          </cell>
        </row>
        <row r="534">
          <cell r="B534">
            <v>530</v>
          </cell>
          <cell r="C534">
            <v>1212.3399999999895</v>
          </cell>
          <cell r="D534">
            <v>1697.28</v>
          </cell>
          <cell r="E534">
            <v>0</v>
          </cell>
          <cell r="F534">
            <v>746.22999999999877</v>
          </cell>
          <cell r="G534">
            <v>1044.72</v>
          </cell>
        </row>
        <row r="535">
          <cell r="B535">
            <v>531</v>
          </cell>
          <cell r="C535">
            <v>1214.6299999999894</v>
          </cell>
          <cell r="D535">
            <v>1700.48</v>
          </cell>
          <cell r="E535">
            <v>0</v>
          </cell>
          <cell r="F535">
            <v>747.63999999999874</v>
          </cell>
          <cell r="G535">
            <v>1046.7</v>
          </cell>
        </row>
        <row r="536">
          <cell r="B536">
            <v>532</v>
          </cell>
          <cell r="C536">
            <v>1216.9199999999894</v>
          </cell>
          <cell r="D536">
            <v>1703.69</v>
          </cell>
          <cell r="E536">
            <v>0</v>
          </cell>
          <cell r="F536">
            <v>749.0499999999987</v>
          </cell>
          <cell r="G536">
            <v>1048.67</v>
          </cell>
        </row>
        <row r="537">
          <cell r="B537">
            <v>533</v>
          </cell>
          <cell r="C537">
            <v>1219.2099999999893</v>
          </cell>
          <cell r="D537">
            <v>1706.89</v>
          </cell>
          <cell r="E537">
            <v>0</v>
          </cell>
          <cell r="F537">
            <v>750.45999999999867</v>
          </cell>
          <cell r="G537">
            <v>1050.6400000000001</v>
          </cell>
        </row>
        <row r="538">
          <cell r="B538">
            <v>534</v>
          </cell>
          <cell r="C538">
            <v>1221.4999999999893</v>
          </cell>
          <cell r="D538">
            <v>1710.1</v>
          </cell>
          <cell r="E538">
            <v>0</v>
          </cell>
          <cell r="F538">
            <v>751.86999999999864</v>
          </cell>
          <cell r="G538">
            <v>1052.6199999999999</v>
          </cell>
        </row>
        <row r="539">
          <cell r="B539">
            <v>535</v>
          </cell>
          <cell r="C539">
            <v>1223.7899999999893</v>
          </cell>
          <cell r="D539">
            <v>1713.31</v>
          </cell>
          <cell r="E539">
            <v>0</v>
          </cell>
          <cell r="F539">
            <v>753.27999999999861</v>
          </cell>
          <cell r="G539">
            <v>1054.5899999999999</v>
          </cell>
        </row>
        <row r="540">
          <cell r="B540">
            <v>536</v>
          </cell>
          <cell r="C540">
            <v>1226.0799999999892</v>
          </cell>
          <cell r="D540">
            <v>1716.51</v>
          </cell>
          <cell r="E540">
            <v>0</v>
          </cell>
          <cell r="F540">
            <v>754.68999999999858</v>
          </cell>
          <cell r="G540">
            <v>1056.57</v>
          </cell>
        </row>
        <row r="541">
          <cell r="B541">
            <v>537</v>
          </cell>
          <cell r="C541">
            <v>1228.3699999999892</v>
          </cell>
          <cell r="D541">
            <v>1719.72</v>
          </cell>
          <cell r="E541">
            <v>0</v>
          </cell>
          <cell r="F541">
            <v>756.09999999999854</v>
          </cell>
          <cell r="G541">
            <v>1058.54</v>
          </cell>
        </row>
        <row r="542">
          <cell r="B542">
            <v>538</v>
          </cell>
          <cell r="C542">
            <v>1230.6599999999892</v>
          </cell>
          <cell r="D542">
            <v>1722.92</v>
          </cell>
          <cell r="E542">
            <v>0</v>
          </cell>
          <cell r="F542">
            <v>757.50999999999851</v>
          </cell>
          <cell r="G542">
            <v>1060.51</v>
          </cell>
        </row>
        <row r="543">
          <cell r="B543">
            <v>539</v>
          </cell>
          <cell r="C543">
            <v>1232.9499999999891</v>
          </cell>
          <cell r="D543">
            <v>1726.13</v>
          </cell>
          <cell r="E543">
            <v>0</v>
          </cell>
          <cell r="F543">
            <v>758.91999999999848</v>
          </cell>
          <cell r="G543">
            <v>1062.49</v>
          </cell>
        </row>
        <row r="544">
          <cell r="B544">
            <v>540</v>
          </cell>
          <cell r="C544">
            <v>1235.2399999999891</v>
          </cell>
          <cell r="D544">
            <v>1729.34</v>
          </cell>
          <cell r="E544">
            <v>0</v>
          </cell>
          <cell r="F544">
            <v>760.32999999999845</v>
          </cell>
          <cell r="G544">
            <v>1064.46</v>
          </cell>
        </row>
        <row r="545">
          <cell r="B545">
            <v>541</v>
          </cell>
          <cell r="C545">
            <v>1237.5299999999891</v>
          </cell>
          <cell r="D545">
            <v>1732.54</v>
          </cell>
          <cell r="E545">
            <v>0</v>
          </cell>
          <cell r="F545">
            <v>761.73999999999842</v>
          </cell>
          <cell r="G545">
            <v>1066.44</v>
          </cell>
        </row>
        <row r="546">
          <cell r="B546">
            <v>542</v>
          </cell>
          <cell r="C546">
            <v>1239.819999999989</v>
          </cell>
          <cell r="D546">
            <v>1735.75</v>
          </cell>
          <cell r="E546">
            <v>0</v>
          </cell>
          <cell r="F546">
            <v>763.14999999999839</v>
          </cell>
          <cell r="G546">
            <v>1068.4100000000001</v>
          </cell>
        </row>
        <row r="547">
          <cell r="B547">
            <v>543</v>
          </cell>
          <cell r="C547">
            <v>1242.109999999989</v>
          </cell>
          <cell r="D547">
            <v>1738.95</v>
          </cell>
          <cell r="E547">
            <v>0</v>
          </cell>
          <cell r="F547">
            <v>764.55999999999835</v>
          </cell>
          <cell r="G547">
            <v>1070.3800000000001</v>
          </cell>
        </row>
        <row r="548">
          <cell r="B548">
            <v>544</v>
          </cell>
          <cell r="C548">
            <v>1244.3999999999889</v>
          </cell>
          <cell r="D548">
            <v>1742.16</v>
          </cell>
          <cell r="E548">
            <v>0</v>
          </cell>
          <cell r="F548">
            <v>765.96999999999832</v>
          </cell>
          <cell r="G548">
            <v>1072.3599999999999</v>
          </cell>
        </row>
        <row r="549">
          <cell r="B549">
            <v>545</v>
          </cell>
          <cell r="C549">
            <v>1246.6899999999889</v>
          </cell>
          <cell r="D549">
            <v>1745.37</v>
          </cell>
          <cell r="E549">
            <v>0</v>
          </cell>
          <cell r="F549">
            <v>767.37999999999829</v>
          </cell>
          <cell r="G549">
            <v>1074.33</v>
          </cell>
        </row>
        <row r="550">
          <cell r="B550">
            <v>546</v>
          </cell>
          <cell r="C550">
            <v>1248.9799999999889</v>
          </cell>
          <cell r="D550">
            <v>1748.57</v>
          </cell>
          <cell r="E550">
            <v>0</v>
          </cell>
          <cell r="F550">
            <v>768.78999999999826</v>
          </cell>
          <cell r="G550">
            <v>1076.31</v>
          </cell>
        </row>
        <row r="551">
          <cell r="B551">
            <v>547</v>
          </cell>
          <cell r="C551">
            <v>1251.2699999999888</v>
          </cell>
          <cell r="D551">
            <v>1751.78</v>
          </cell>
          <cell r="E551">
            <v>0</v>
          </cell>
          <cell r="F551">
            <v>770.19999999999823</v>
          </cell>
          <cell r="G551">
            <v>1078.28</v>
          </cell>
        </row>
        <row r="552">
          <cell r="B552">
            <v>548</v>
          </cell>
          <cell r="C552">
            <v>1253.5599999999888</v>
          </cell>
          <cell r="D552">
            <v>1754.98</v>
          </cell>
          <cell r="E552">
            <v>0</v>
          </cell>
          <cell r="F552">
            <v>771.60999999999819</v>
          </cell>
          <cell r="G552">
            <v>1080.25</v>
          </cell>
        </row>
        <row r="553">
          <cell r="B553">
            <v>549</v>
          </cell>
          <cell r="C553">
            <v>1255.8499999999888</v>
          </cell>
          <cell r="D553">
            <v>1758.19</v>
          </cell>
          <cell r="E553">
            <v>0</v>
          </cell>
          <cell r="F553">
            <v>773.01999999999816</v>
          </cell>
          <cell r="G553">
            <v>1082.23</v>
          </cell>
        </row>
        <row r="554">
          <cell r="B554">
            <v>550</v>
          </cell>
          <cell r="C554">
            <v>1258.1399999999887</v>
          </cell>
          <cell r="D554">
            <v>1761.4</v>
          </cell>
          <cell r="E554">
            <v>0</v>
          </cell>
          <cell r="F554">
            <v>774.42999999999813</v>
          </cell>
          <cell r="G554">
            <v>1084.2</v>
          </cell>
        </row>
        <row r="555">
          <cell r="B555">
            <v>551</v>
          </cell>
          <cell r="C555">
            <v>1260.4299999999887</v>
          </cell>
          <cell r="D555">
            <v>1764.6</v>
          </cell>
          <cell r="E555">
            <v>0</v>
          </cell>
          <cell r="F555">
            <v>775.8399999999981</v>
          </cell>
          <cell r="G555">
            <v>1086.18</v>
          </cell>
        </row>
        <row r="556">
          <cell r="B556">
            <v>552</v>
          </cell>
          <cell r="C556">
            <v>1262.7199999999887</v>
          </cell>
          <cell r="D556">
            <v>1767.81</v>
          </cell>
          <cell r="E556">
            <v>0</v>
          </cell>
          <cell r="F556">
            <v>777.24999999999807</v>
          </cell>
          <cell r="G556">
            <v>1088.1500000000001</v>
          </cell>
        </row>
        <row r="557">
          <cell r="B557">
            <v>553</v>
          </cell>
          <cell r="C557">
            <v>1265.0099999999886</v>
          </cell>
          <cell r="D557">
            <v>1771.01</v>
          </cell>
          <cell r="E557">
            <v>0</v>
          </cell>
          <cell r="F557">
            <v>778.65999999999804</v>
          </cell>
          <cell r="G557">
            <v>1090.1199999999999</v>
          </cell>
        </row>
        <row r="558">
          <cell r="B558">
            <v>554</v>
          </cell>
          <cell r="C558">
            <v>1267.2999999999886</v>
          </cell>
          <cell r="D558">
            <v>1774.22</v>
          </cell>
          <cell r="E558">
            <v>0</v>
          </cell>
          <cell r="F558">
            <v>780.069999999998</v>
          </cell>
          <cell r="G558">
            <v>1092.0999999999999</v>
          </cell>
        </row>
        <row r="559">
          <cell r="B559">
            <v>555</v>
          </cell>
          <cell r="C559">
            <v>1269.5899999999885</v>
          </cell>
          <cell r="D559">
            <v>1777.43</v>
          </cell>
          <cell r="E559">
            <v>0</v>
          </cell>
          <cell r="F559">
            <v>781.47999999999797</v>
          </cell>
          <cell r="G559">
            <v>1094.07</v>
          </cell>
        </row>
        <row r="560">
          <cell r="B560">
            <v>556</v>
          </cell>
          <cell r="C560">
            <v>1271.8799999999885</v>
          </cell>
          <cell r="D560">
            <v>1780.63</v>
          </cell>
          <cell r="E560">
            <v>0</v>
          </cell>
          <cell r="F560">
            <v>782.88999999999794</v>
          </cell>
          <cell r="G560">
            <v>1096.05</v>
          </cell>
        </row>
        <row r="561">
          <cell r="B561">
            <v>557</v>
          </cell>
          <cell r="C561">
            <v>1274.1699999999885</v>
          </cell>
          <cell r="D561">
            <v>1783.84</v>
          </cell>
          <cell r="E561">
            <v>0</v>
          </cell>
          <cell r="F561">
            <v>784.29999999999791</v>
          </cell>
          <cell r="G561">
            <v>1098.02</v>
          </cell>
        </row>
        <row r="562">
          <cell r="B562">
            <v>558</v>
          </cell>
          <cell r="C562">
            <v>1276.4599999999884</v>
          </cell>
          <cell r="D562">
            <v>1787.04</v>
          </cell>
          <cell r="E562">
            <v>0</v>
          </cell>
          <cell r="F562">
            <v>785.70999999999788</v>
          </cell>
          <cell r="G562">
            <v>1099.99</v>
          </cell>
        </row>
        <row r="563">
          <cell r="B563">
            <v>559</v>
          </cell>
          <cell r="C563">
            <v>1278.7499999999884</v>
          </cell>
          <cell r="D563">
            <v>1790.25</v>
          </cell>
          <cell r="E563">
            <v>0</v>
          </cell>
          <cell r="F563">
            <v>787.11999999999784</v>
          </cell>
          <cell r="G563">
            <v>1101.97</v>
          </cell>
        </row>
        <row r="564">
          <cell r="B564">
            <v>560</v>
          </cell>
          <cell r="C564">
            <v>1281.0399999999884</v>
          </cell>
          <cell r="D564">
            <v>1793.46</v>
          </cell>
          <cell r="E564">
            <v>0</v>
          </cell>
          <cell r="F564">
            <v>788.52999999999781</v>
          </cell>
          <cell r="G564">
            <v>1103.94</v>
          </cell>
        </row>
        <row r="565">
          <cell r="B565">
            <v>561</v>
          </cell>
          <cell r="C565">
            <v>1283.3299999999883</v>
          </cell>
          <cell r="D565">
            <v>1796.66</v>
          </cell>
          <cell r="E565">
            <v>0</v>
          </cell>
          <cell r="F565">
            <v>789.93999999999778</v>
          </cell>
          <cell r="G565">
            <v>1105.92</v>
          </cell>
        </row>
        <row r="566">
          <cell r="B566">
            <v>562</v>
          </cell>
          <cell r="C566">
            <v>1285.6199999999883</v>
          </cell>
          <cell r="D566">
            <v>1799.87</v>
          </cell>
          <cell r="E566">
            <v>0</v>
          </cell>
          <cell r="F566">
            <v>791.34999999999775</v>
          </cell>
          <cell r="G566">
            <v>1107.8900000000001</v>
          </cell>
        </row>
        <row r="567">
          <cell r="B567">
            <v>563</v>
          </cell>
          <cell r="C567">
            <v>1287.9099999999883</v>
          </cell>
          <cell r="D567">
            <v>1803.07</v>
          </cell>
          <cell r="E567">
            <v>0</v>
          </cell>
          <cell r="F567">
            <v>792.75999999999772</v>
          </cell>
          <cell r="G567">
            <v>1109.8599999999999</v>
          </cell>
        </row>
        <row r="568">
          <cell r="B568">
            <v>564</v>
          </cell>
          <cell r="C568">
            <v>1290.1999999999882</v>
          </cell>
          <cell r="D568">
            <v>1806.28</v>
          </cell>
          <cell r="E568">
            <v>0</v>
          </cell>
          <cell r="F568">
            <v>794.16999999999769</v>
          </cell>
          <cell r="G568">
            <v>1111.8399999999999</v>
          </cell>
        </row>
        <row r="569">
          <cell r="B569">
            <v>565</v>
          </cell>
          <cell r="C569">
            <v>1292.4899999999882</v>
          </cell>
          <cell r="D569">
            <v>1809.49</v>
          </cell>
          <cell r="E569">
            <v>0</v>
          </cell>
          <cell r="F569">
            <v>795.57999999999765</v>
          </cell>
          <cell r="G569">
            <v>1113.81</v>
          </cell>
        </row>
        <row r="570">
          <cell r="B570">
            <v>566</v>
          </cell>
          <cell r="C570">
            <v>1294.7799999999881</v>
          </cell>
          <cell r="D570">
            <v>1812.69</v>
          </cell>
          <cell r="E570">
            <v>0</v>
          </cell>
          <cell r="F570">
            <v>796.98999999999762</v>
          </cell>
          <cell r="G570">
            <v>1115.79</v>
          </cell>
        </row>
        <row r="571">
          <cell r="B571">
            <v>567</v>
          </cell>
          <cell r="C571">
            <v>1297.0699999999881</v>
          </cell>
          <cell r="D571">
            <v>1815.9</v>
          </cell>
          <cell r="E571">
            <v>0</v>
          </cell>
          <cell r="F571">
            <v>798.39999999999759</v>
          </cell>
          <cell r="G571">
            <v>1117.76</v>
          </cell>
        </row>
        <row r="572">
          <cell r="B572">
            <v>568</v>
          </cell>
          <cell r="C572">
            <v>1299.3599999999881</v>
          </cell>
          <cell r="D572">
            <v>1819.1</v>
          </cell>
          <cell r="E572">
            <v>0</v>
          </cell>
          <cell r="F572">
            <v>799.80999999999756</v>
          </cell>
          <cell r="G572">
            <v>1119.73</v>
          </cell>
        </row>
        <row r="573">
          <cell r="B573">
            <v>569</v>
          </cell>
          <cell r="C573">
            <v>1301.649999999988</v>
          </cell>
          <cell r="D573">
            <v>1822.31</v>
          </cell>
          <cell r="E573">
            <v>0</v>
          </cell>
          <cell r="F573">
            <v>801.21999999999753</v>
          </cell>
          <cell r="G573">
            <v>1121.71</v>
          </cell>
        </row>
        <row r="574">
          <cell r="B574">
            <v>570</v>
          </cell>
          <cell r="C574">
            <v>1303.939999999988</v>
          </cell>
          <cell r="D574">
            <v>1825.52</v>
          </cell>
          <cell r="E574">
            <v>0</v>
          </cell>
          <cell r="F574">
            <v>802.62999999999749</v>
          </cell>
          <cell r="G574">
            <v>1123.68</v>
          </cell>
        </row>
        <row r="575">
          <cell r="B575">
            <v>571</v>
          </cell>
          <cell r="C575">
            <v>1306.229999999988</v>
          </cell>
          <cell r="D575">
            <v>1828.72</v>
          </cell>
          <cell r="E575">
            <v>0</v>
          </cell>
          <cell r="F575">
            <v>804.03999999999746</v>
          </cell>
          <cell r="G575">
            <v>1125.6600000000001</v>
          </cell>
        </row>
        <row r="576">
          <cell r="B576">
            <v>572</v>
          </cell>
          <cell r="C576">
            <v>1308.5199999999879</v>
          </cell>
          <cell r="D576">
            <v>1831.93</v>
          </cell>
          <cell r="E576">
            <v>0</v>
          </cell>
          <cell r="F576">
            <v>805.44999999999743</v>
          </cell>
          <cell r="G576">
            <v>1127.6300000000001</v>
          </cell>
        </row>
        <row r="577">
          <cell r="B577">
            <v>573</v>
          </cell>
          <cell r="C577">
            <v>1310.8099999999879</v>
          </cell>
          <cell r="D577">
            <v>1835.13</v>
          </cell>
          <cell r="E577">
            <v>0</v>
          </cell>
          <cell r="F577">
            <v>806.8599999999974</v>
          </cell>
          <cell r="G577">
            <v>1129.5999999999999</v>
          </cell>
        </row>
        <row r="578">
          <cell r="B578">
            <v>574</v>
          </cell>
          <cell r="C578">
            <v>1313.0999999999879</v>
          </cell>
          <cell r="D578">
            <v>1838.34</v>
          </cell>
          <cell r="E578">
            <v>0</v>
          </cell>
          <cell r="F578">
            <v>808.26999999999737</v>
          </cell>
          <cell r="G578">
            <v>1131.58</v>
          </cell>
        </row>
        <row r="579">
          <cell r="B579">
            <v>575</v>
          </cell>
          <cell r="C579">
            <v>1315.3899999999878</v>
          </cell>
          <cell r="D579">
            <v>1841.55</v>
          </cell>
          <cell r="E579">
            <v>0</v>
          </cell>
          <cell r="F579">
            <v>809.67999999999734</v>
          </cell>
          <cell r="G579">
            <v>1133.55</v>
          </cell>
        </row>
        <row r="580">
          <cell r="B580">
            <v>576</v>
          </cell>
          <cell r="C580">
            <v>1317.6799999999878</v>
          </cell>
          <cell r="D580">
            <v>1844.75</v>
          </cell>
          <cell r="E580">
            <v>0</v>
          </cell>
          <cell r="F580">
            <v>811.0899999999973</v>
          </cell>
          <cell r="G580">
            <v>1135.53</v>
          </cell>
        </row>
        <row r="581">
          <cell r="B581">
            <v>577</v>
          </cell>
          <cell r="C581">
            <v>1319.9699999999877</v>
          </cell>
          <cell r="D581">
            <v>1847.96</v>
          </cell>
          <cell r="E581">
            <v>0</v>
          </cell>
          <cell r="F581">
            <v>812.49999999999727</v>
          </cell>
          <cell r="G581">
            <v>1137.5</v>
          </cell>
        </row>
        <row r="582">
          <cell r="B582">
            <v>578</v>
          </cell>
          <cell r="C582">
            <v>1322.2599999999877</v>
          </cell>
          <cell r="D582">
            <v>1851.16</v>
          </cell>
          <cell r="E582">
            <v>0</v>
          </cell>
          <cell r="F582">
            <v>813.90999999999724</v>
          </cell>
          <cell r="G582">
            <v>1139.47</v>
          </cell>
        </row>
        <row r="583">
          <cell r="B583">
            <v>579</v>
          </cell>
          <cell r="C583">
            <v>1324.5499999999877</v>
          </cell>
          <cell r="D583">
            <v>1854.37</v>
          </cell>
          <cell r="E583">
            <v>0</v>
          </cell>
          <cell r="F583">
            <v>815.31999999999721</v>
          </cell>
          <cell r="G583">
            <v>1141.45</v>
          </cell>
        </row>
        <row r="584">
          <cell r="B584">
            <v>580</v>
          </cell>
          <cell r="C584">
            <v>1326.8399999999876</v>
          </cell>
          <cell r="D584">
            <v>1857.58</v>
          </cell>
          <cell r="E584">
            <v>0</v>
          </cell>
          <cell r="F584">
            <v>816.72999999999718</v>
          </cell>
          <cell r="G584">
            <v>1143.42</v>
          </cell>
        </row>
        <row r="585">
          <cell r="B585">
            <v>581</v>
          </cell>
          <cell r="C585">
            <v>1329.1299999999876</v>
          </cell>
          <cell r="D585">
            <v>1860.78</v>
          </cell>
          <cell r="E585">
            <v>0</v>
          </cell>
          <cell r="F585">
            <v>818.13999999999714</v>
          </cell>
          <cell r="G585">
            <v>1145.4000000000001</v>
          </cell>
        </row>
        <row r="586">
          <cell r="B586">
            <v>582</v>
          </cell>
          <cell r="C586">
            <v>1331.4199999999876</v>
          </cell>
          <cell r="D586">
            <v>1863.99</v>
          </cell>
          <cell r="E586">
            <v>0</v>
          </cell>
          <cell r="F586">
            <v>819.54999999999711</v>
          </cell>
          <cell r="G586">
            <v>1147.3699999999999</v>
          </cell>
        </row>
        <row r="587">
          <cell r="B587">
            <v>583</v>
          </cell>
          <cell r="C587">
            <v>1333.7099999999875</v>
          </cell>
          <cell r="D587">
            <v>1867.19</v>
          </cell>
          <cell r="E587">
            <v>0</v>
          </cell>
          <cell r="F587">
            <v>820.95999999999708</v>
          </cell>
          <cell r="G587">
            <v>1149.3399999999999</v>
          </cell>
        </row>
        <row r="588">
          <cell r="B588">
            <v>584</v>
          </cell>
          <cell r="C588">
            <v>1335.9999999999875</v>
          </cell>
          <cell r="D588">
            <v>1870.4</v>
          </cell>
          <cell r="E588">
            <v>0</v>
          </cell>
          <cell r="F588">
            <v>822.36999999999705</v>
          </cell>
          <cell r="G588">
            <v>1151.32</v>
          </cell>
        </row>
        <row r="589">
          <cell r="B589">
            <v>585</v>
          </cell>
          <cell r="C589">
            <v>1338.2899999999875</v>
          </cell>
          <cell r="D589">
            <v>1873.61</v>
          </cell>
          <cell r="E589">
            <v>0</v>
          </cell>
          <cell r="F589">
            <v>823.77999999999702</v>
          </cell>
          <cell r="G589">
            <v>1153.29</v>
          </cell>
        </row>
        <row r="590">
          <cell r="B590">
            <v>586</v>
          </cell>
          <cell r="C590">
            <v>1340.5799999999874</v>
          </cell>
          <cell r="D590">
            <v>1876.81</v>
          </cell>
          <cell r="E590">
            <v>0</v>
          </cell>
          <cell r="F590">
            <v>825.18999999999699</v>
          </cell>
          <cell r="G590">
            <v>1155.27</v>
          </cell>
        </row>
        <row r="591">
          <cell r="B591">
            <v>587</v>
          </cell>
          <cell r="C591">
            <v>1342.8699999999874</v>
          </cell>
          <cell r="D591">
            <v>1880.02</v>
          </cell>
          <cell r="E591">
            <v>0</v>
          </cell>
          <cell r="F591">
            <v>826.59999999999695</v>
          </cell>
          <cell r="G591">
            <v>1157.24</v>
          </cell>
        </row>
        <row r="592">
          <cell r="B592">
            <v>588</v>
          </cell>
          <cell r="C592">
            <v>1345.1599999999873</v>
          </cell>
          <cell r="D592">
            <v>1883.22</v>
          </cell>
          <cell r="E592">
            <v>0</v>
          </cell>
          <cell r="F592">
            <v>828.00999999999692</v>
          </cell>
          <cell r="G592">
            <v>1159.21</v>
          </cell>
        </row>
        <row r="593">
          <cell r="B593">
            <v>589</v>
          </cell>
          <cell r="C593">
            <v>1347.4499999999873</v>
          </cell>
          <cell r="D593">
            <v>1886.43</v>
          </cell>
          <cell r="E593">
            <v>0</v>
          </cell>
          <cell r="F593">
            <v>829.41999999999689</v>
          </cell>
          <cell r="G593">
            <v>1161.19</v>
          </cell>
        </row>
        <row r="594">
          <cell r="B594">
            <v>590</v>
          </cell>
          <cell r="C594">
            <v>1349.7399999999873</v>
          </cell>
          <cell r="D594">
            <v>1889.64</v>
          </cell>
          <cell r="E594">
            <v>0</v>
          </cell>
          <cell r="F594">
            <v>830.82999999999686</v>
          </cell>
          <cell r="G594">
            <v>1163.1600000000001</v>
          </cell>
        </row>
        <row r="595">
          <cell r="B595">
            <v>591</v>
          </cell>
          <cell r="C595">
            <v>1352.0299999999872</v>
          </cell>
          <cell r="D595">
            <v>1892.84</v>
          </cell>
          <cell r="E595">
            <v>0</v>
          </cell>
          <cell r="F595">
            <v>832.23999999999683</v>
          </cell>
          <cell r="G595">
            <v>1165.1400000000001</v>
          </cell>
        </row>
        <row r="596">
          <cell r="B596">
            <v>592</v>
          </cell>
          <cell r="C596">
            <v>1354.3199999999872</v>
          </cell>
          <cell r="D596">
            <v>1896.05</v>
          </cell>
          <cell r="E596">
            <v>0</v>
          </cell>
          <cell r="F596">
            <v>833.64999999999679</v>
          </cell>
          <cell r="G596">
            <v>1167.1099999999999</v>
          </cell>
        </row>
        <row r="597">
          <cell r="B597">
            <v>593</v>
          </cell>
          <cell r="C597">
            <v>1356.6099999999872</v>
          </cell>
          <cell r="D597">
            <v>1899.25</v>
          </cell>
          <cell r="E597">
            <v>0</v>
          </cell>
          <cell r="F597">
            <v>835.05999999999676</v>
          </cell>
          <cell r="G597">
            <v>1169.08</v>
          </cell>
        </row>
        <row r="598">
          <cell r="B598">
            <v>594</v>
          </cell>
          <cell r="C598">
            <v>1358.8999999999871</v>
          </cell>
          <cell r="D598">
            <v>1902.46</v>
          </cell>
          <cell r="E598">
            <v>0</v>
          </cell>
          <cell r="F598">
            <v>836.46999999999673</v>
          </cell>
          <cell r="G598">
            <v>1171.06</v>
          </cell>
        </row>
        <row r="599">
          <cell r="B599">
            <v>595</v>
          </cell>
          <cell r="C599">
            <v>1361.1899999999871</v>
          </cell>
          <cell r="D599">
            <v>1905.67</v>
          </cell>
          <cell r="E599">
            <v>0</v>
          </cell>
          <cell r="F599">
            <v>837.8799999999967</v>
          </cell>
          <cell r="G599">
            <v>1173.03</v>
          </cell>
        </row>
        <row r="600">
          <cell r="B600">
            <v>596</v>
          </cell>
          <cell r="C600">
            <v>1363.4799999999871</v>
          </cell>
          <cell r="D600">
            <v>1908.87</v>
          </cell>
          <cell r="E600">
            <v>0</v>
          </cell>
          <cell r="F600">
            <v>839.28999999999667</v>
          </cell>
          <cell r="G600">
            <v>1175.01</v>
          </cell>
        </row>
        <row r="601">
          <cell r="B601">
            <v>597</v>
          </cell>
          <cell r="C601">
            <v>1365.769999999987</v>
          </cell>
          <cell r="D601">
            <v>1912.08</v>
          </cell>
          <cell r="E601">
            <v>0</v>
          </cell>
          <cell r="F601">
            <v>840.69999999999663</v>
          </cell>
          <cell r="G601">
            <v>1176.98</v>
          </cell>
        </row>
        <row r="602">
          <cell r="B602">
            <v>598</v>
          </cell>
          <cell r="C602">
            <v>1368.059999999987</v>
          </cell>
          <cell r="D602">
            <v>1915.28</v>
          </cell>
          <cell r="E602">
            <v>0</v>
          </cell>
          <cell r="F602">
            <v>842.1099999999966</v>
          </cell>
          <cell r="G602">
            <v>1178.95</v>
          </cell>
        </row>
        <row r="603">
          <cell r="B603">
            <v>599</v>
          </cell>
          <cell r="C603">
            <v>1370.3499999999869</v>
          </cell>
          <cell r="D603">
            <v>1918.49</v>
          </cell>
          <cell r="E603">
            <v>0</v>
          </cell>
          <cell r="F603">
            <v>843.51999999999657</v>
          </cell>
          <cell r="G603">
            <v>1180.93</v>
          </cell>
        </row>
        <row r="604">
          <cell r="B604">
            <v>600</v>
          </cell>
          <cell r="C604">
            <v>1372.6399999999869</v>
          </cell>
          <cell r="D604">
            <v>1921.7</v>
          </cell>
          <cell r="E604">
            <v>0</v>
          </cell>
          <cell r="F604">
            <v>844.92999999999654</v>
          </cell>
          <cell r="G604">
            <v>1182.9000000000001</v>
          </cell>
        </row>
        <row r="605">
          <cell r="B605">
            <v>601</v>
          </cell>
          <cell r="C605">
            <v>1374.9299999999869</v>
          </cell>
          <cell r="D605">
            <v>1924.9</v>
          </cell>
          <cell r="E605">
            <v>0</v>
          </cell>
          <cell r="F605">
            <v>846.33999999999651</v>
          </cell>
          <cell r="G605">
            <v>1184.8800000000001</v>
          </cell>
        </row>
        <row r="606">
          <cell r="B606">
            <v>602</v>
          </cell>
          <cell r="C606">
            <v>1377.2199999999868</v>
          </cell>
          <cell r="D606">
            <v>1928.11</v>
          </cell>
          <cell r="E606">
            <v>0</v>
          </cell>
          <cell r="F606">
            <v>847.74999999999648</v>
          </cell>
          <cell r="G606">
            <v>1186.8499999999999</v>
          </cell>
        </row>
        <row r="607">
          <cell r="B607">
            <v>603</v>
          </cell>
          <cell r="C607">
            <v>1379.5099999999868</v>
          </cell>
          <cell r="D607">
            <v>1931.31</v>
          </cell>
          <cell r="E607">
            <v>0</v>
          </cell>
          <cell r="F607">
            <v>849.15999999999644</v>
          </cell>
          <cell r="G607">
            <v>1188.82</v>
          </cell>
        </row>
        <row r="608">
          <cell r="B608">
            <v>604</v>
          </cell>
          <cell r="C608">
            <v>1381.7999999999868</v>
          </cell>
          <cell r="D608">
            <v>1934.52</v>
          </cell>
          <cell r="E608">
            <v>0</v>
          </cell>
          <cell r="F608">
            <v>850.56999999999641</v>
          </cell>
          <cell r="G608">
            <v>1190.8</v>
          </cell>
        </row>
        <row r="609">
          <cell r="B609">
            <v>605</v>
          </cell>
          <cell r="C609">
            <v>1384.0899999999867</v>
          </cell>
          <cell r="D609">
            <v>1937.73</v>
          </cell>
          <cell r="E609">
            <v>0</v>
          </cell>
          <cell r="F609">
            <v>851.97999999999638</v>
          </cell>
          <cell r="G609">
            <v>1192.77</v>
          </cell>
        </row>
        <row r="610">
          <cell r="B610">
            <v>606</v>
          </cell>
          <cell r="C610">
            <v>1386.3799999999867</v>
          </cell>
          <cell r="D610">
            <v>1940.93</v>
          </cell>
          <cell r="E610">
            <v>0</v>
          </cell>
          <cell r="F610">
            <v>853.38999999999635</v>
          </cell>
          <cell r="G610">
            <v>1194.75</v>
          </cell>
        </row>
        <row r="611">
          <cell r="B611">
            <v>607</v>
          </cell>
          <cell r="C611">
            <v>1388.6699999999867</v>
          </cell>
          <cell r="D611">
            <v>1944.14</v>
          </cell>
          <cell r="E611">
            <v>0</v>
          </cell>
          <cell r="F611">
            <v>854.79999999999632</v>
          </cell>
          <cell r="G611">
            <v>1196.72</v>
          </cell>
        </row>
        <row r="612">
          <cell r="B612">
            <v>608</v>
          </cell>
          <cell r="C612">
            <v>1390.9599999999866</v>
          </cell>
          <cell r="D612">
            <v>1947.34</v>
          </cell>
          <cell r="E612">
            <v>0</v>
          </cell>
          <cell r="F612">
            <v>856.20999999999628</v>
          </cell>
          <cell r="G612">
            <v>1198.69</v>
          </cell>
        </row>
        <row r="613">
          <cell r="B613">
            <v>609</v>
          </cell>
          <cell r="C613">
            <v>1393.2499999999866</v>
          </cell>
          <cell r="D613">
            <v>1950.55</v>
          </cell>
          <cell r="E613">
            <v>0</v>
          </cell>
          <cell r="F613">
            <v>857.61999999999625</v>
          </cell>
          <cell r="G613">
            <v>1200.67</v>
          </cell>
        </row>
        <row r="614">
          <cell r="B614">
            <v>610</v>
          </cell>
          <cell r="C614">
            <v>1395.5399999999865</v>
          </cell>
          <cell r="D614">
            <v>1953.76</v>
          </cell>
          <cell r="E614">
            <v>0</v>
          </cell>
          <cell r="F614">
            <v>859.02999999999622</v>
          </cell>
          <cell r="G614">
            <v>1202.6400000000001</v>
          </cell>
        </row>
        <row r="615">
          <cell r="B615">
            <v>611</v>
          </cell>
          <cell r="C615">
            <v>1397.8299999999865</v>
          </cell>
          <cell r="D615">
            <v>1956.96</v>
          </cell>
          <cell r="E615">
            <v>0</v>
          </cell>
          <cell r="F615">
            <v>860.43999999999619</v>
          </cell>
          <cell r="G615">
            <v>1204.6199999999999</v>
          </cell>
        </row>
        <row r="616">
          <cell r="B616">
            <v>612</v>
          </cell>
          <cell r="C616">
            <v>1400.1199999999865</v>
          </cell>
          <cell r="D616">
            <v>1960.17</v>
          </cell>
          <cell r="E616">
            <v>0</v>
          </cell>
          <cell r="F616">
            <v>861.84999999999616</v>
          </cell>
          <cell r="G616">
            <v>1206.5899999999999</v>
          </cell>
        </row>
        <row r="617">
          <cell r="B617">
            <v>613</v>
          </cell>
          <cell r="C617">
            <v>1402.4099999999864</v>
          </cell>
          <cell r="D617">
            <v>1963.37</v>
          </cell>
          <cell r="E617">
            <v>0</v>
          </cell>
          <cell r="F617">
            <v>863.25999999999613</v>
          </cell>
          <cell r="G617">
            <v>1208.56</v>
          </cell>
        </row>
        <row r="618">
          <cell r="B618">
            <v>614</v>
          </cell>
          <cell r="C618">
            <v>1404.6999999999864</v>
          </cell>
          <cell r="D618">
            <v>1966.58</v>
          </cell>
          <cell r="E618">
            <v>0</v>
          </cell>
          <cell r="F618">
            <v>864.66999999999609</v>
          </cell>
          <cell r="G618">
            <v>1210.54</v>
          </cell>
        </row>
        <row r="619">
          <cell r="B619">
            <v>615</v>
          </cell>
          <cell r="C619">
            <v>1406.9899999999864</v>
          </cell>
          <cell r="D619">
            <v>1969.79</v>
          </cell>
          <cell r="E619">
            <v>0</v>
          </cell>
          <cell r="F619">
            <v>866.07999999999606</v>
          </cell>
          <cell r="G619">
            <v>1212.51</v>
          </cell>
        </row>
        <row r="620">
          <cell r="B620">
            <v>616</v>
          </cell>
          <cell r="C620">
            <v>1409.2799999999863</v>
          </cell>
          <cell r="D620">
            <v>1972.99</v>
          </cell>
          <cell r="E620">
            <v>0</v>
          </cell>
          <cell r="F620">
            <v>867.48999999999603</v>
          </cell>
          <cell r="G620">
            <v>1214.49</v>
          </cell>
        </row>
        <row r="621">
          <cell r="B621">
            <v>617</v>
          </cell>
          <cell r="C621">
            <v>1411.5699999999863</v>
          </cell>
          <cell r="D621">
            <v>1976.2</v>
          </cell>
          <cell r="E621">
            <v>0</v>
          </cell>
          <cell r="F621">
            <v>868.899999999996</v>
          </cell>
          <cell r="G621">
            <v>1216.46</v>
          </cell>
        </row>
        <row r="622">
          <cell r="B622">
            <v>618</v>
          </cell>
          <cell r="C622">
            <v>1413.8599999999863</v>
          </cell>
          <cell r="D622">
            <v>1979.4</v>
          </cell>
          <cell r="E622">
            <v>0</v>
          </cell>
          <cell r="F622">
            <v>870.30999999999597</v>
          </cell>
          <cell r="G622">
            <v>1218.43</v>
          </cell>
        </row>
        <row r="623">
          <cell r="B623">
            <v>619</v>
          </cell>
          <cell r="C623">
            <v>1416.1499999999862</v>
          </cell>
          <cell r="D623">
            <v>1982.61</v>
          </cell>
          <cell r="E623">
            <v>0</v>
          </cell>
          <cell r="F623">
            <v>871.71999999999593</v>
          </cell>
          <cell r="G623">
            <v>1220.4100000000001</v>
          </cell>
        </row>
        <row r="624">
          <cell r="B624">
            <v>620</v>
          </cell>
          <cell r="C624">
            <v>1418.4399999999862</v>
          </cell>
          <cell r="D624">
            <v>1985.82</v>
          </cell>
          <cell r="E624">
            <v>0</v>
          </cell>
          <cell r="F624">
            <v>873.1299999999959</v>
          </cell>
          <cell r="G624">
            <v>1222.3800000000001</v>
          </cell>
        </row>
        <row r="625">
          <cell r="B625">
            <v>621</v>
          </cell>
          <cell r="C625">
            <v>1420.7299999999861</v>
          </cell>
          <cell r="D625">
            <v>1989.02</v>
          </cell>
          <cell r="E625">
            <v>0</v>
          </cell>
          <cell r="F625">
            <v>874.53999999999587</v>
          </cell>
          <cell r="G625">
            <v>1224.3599999999999</v>
          </cell>
        </row>
        <row r="626">
          <cell r="B626">
            <v>622</v>
          </cell>
          <cell r="C626">
            <v>1423.0199999999861</v>
          </cell>
          <cell r="D626">
            <v>1992.23</v>
          </cell>
          <cell r="E626">
            <v>0</v>
          </cell>
          <cell r="F626">
            <v>875.94999999999584</v>
          </cell>
          <cell r="G626">
            <v>1226.33</v>
          </cell>
        </row>
        <row r="627">
          <cell r="B627">
            <v>623</v>
          </cell>
          <cell r="C627">
            <v>1425.3099999999861</v>
          </cell>
          <cell r="D627">
            <v>1995.43</v>
          </cell>
          <cell r="E627">
            <v>0</v>
          </cell>
          <cell r="F627">
            <v>877.35999999999581</v>
          </cell>
          <cell r="G627">
            <v>1228.3</v>
          </cell>
        </row>
        <row r="628">
          <cell r="B628">
            <v>624</v>
          </cell>
          <cell r="C628">
            <v>1427.599999999986</v>
          </cell>
          <cell r="D628">
            <v>1998.64</v>
          </cell>
          <cell r="E628">
            <v>0</v>
          </cell>
          <cell r="F628">
            <v>878.76999999999578</v>
          </cell>
          <cell r="G628">
            <v>1230.28</v>
          </cell>
        </row>
        <row r="629">
          <cell r="B629">
            <v>625</v>
          </cell>
          <cell r="C629">
            <v>1429.889999999986</v>
          </cell>
          <cell r="D629">
            <v>2001.85</v>
          </cell>
          <cell r="E629">
            <v>0</v>
          </cell>
          <cell r="F629">
            <v>880.17999999999574</v>
          </cell>
          <cell r="G629">
            <v>1232.25</v>
          </cell>
        </row>
        <row r="630">
          <cell r="B630">
            <v>626</v>
          </cell>
          <cell r="C630">
            <v>1432.179999999986</v>
          </cell>
          <cell r="D630">
            <v>2005.05</v>
          </cell>
          <cell r="E630">
            <v>0</v>
          </cell>
          <cell r="F630">
            <v>881.58999999999571</v>
          </cell>
          <cell r="G630">
            <v>1234.23</v>
          </cell>
        </row>
        <row r="631">
          <cell r="B631">
            <v>627</v>
          </cell>
          <cell r="C631">
            <v>1434.4699999999859</v>
          </cell>
          <cell r="D631">
            <v>2008.26</v>
          </cell>
          <cell r="E631">
            <v>0</v>
          </cell>
          <cell r="F631">
            <v>882.99999999999568</v>
          </cell>
          <cell r="G631">
            <v>1236.2</v>
          </cell>
        </row>
        <row r="632">
          <cell r="B632">
            <v>628</v>
          </cell>
          <cell r="C632">
            <v>1436.7599999999859</v>
          </cell>
          <cell r="D632">
            <v>2011.46</v>
          </cell>
          <cell r="E632">
            <v>0</v>
          </cell>
          <cell r="F632">
            <v>884.40999999999565</v>
          </cell>
          <cell r="G632">
            <v>1238.17</v>
          </cell>
        </row>
        <row r="633">
          <cell r="B633">
            <v>629</v>
          </cell>
          <cell r="C633">
            <v>1439.0499999999859</v>
          </cell>
          <cell r="D633">
            <v>2014.67</v>
          </cell>
          <cell r="E633">
            <v>0</v>
          </cell>
          <cell r="F633">
            <v>885.81999999999562</v>
          </cell>
          <cell r="G633">
            <v>1240.1500000000001</v>
          </cell>
        </row>
        <row r="634">
          <cell r="B634">
            <v>630</v>
          </cell>
          <cell r="C634">
            <v>1441.3399999999858</v>
          </cell>
          <cell r="D634">
            <v>2017.88</v>
          </cell>
          <cell r="E634">
            <v>0</v>
          </cell>
          <cell r="F634">
            <v>887.22999999999558</v>
          </cell>
          <cell r="G634">
            <v>1242.1199999999999</v>
          </cell>
        </row>
        <row r="635">
          <cell r="B635">
            <v>631</v>
          </cell>
          <cell r="C635">
            <v>1443.6299999999858</v>
          </cell>
          <cell r="D635">
            <v>2021.08</v>
          </cell>
          <cell r="E635">
            <v>0</v>
          </cell>
          <cell r="F635">
            <v>888.63999999999555</v>
          </cell>
          <cell r="G635">
            <v>1244.0999999999999</v>
          </cell>
        </row>
        <row r="636">
          <cell r="B636">
            <v>632</v>
          </cell>
          <cell r="C636">
            <v>1445.9199999999857</v>
          </cell>
          <cell r="D636">
            <v>2024.29</v>
          </cell>
          <cell r="E636">
            <v>0</v>
          </cell>
          <cell r="F636">
            <v>890.04999999999552</v>
          </cell>
          <cell r="G636">
            <v>1246.07</v>
          </cell>
        </row>
        <row r="637">
          <cell r="B637">
            <v>633</v>
          </cell>
          <cell r="C637">
            <v>1448.2099999999857</v>
          </cell>
          <cell r="D637">
            <v>2027.49</v>
          </cell>
          <cell r="E637">
            <v>0</v>
          </cell>
          <cell r="F637">
            <v>891.45999999999549</v>
          </cell>
          <cell r="G637">
            <v>1248.04</v>
          </cell>
        </row>
        <row r="638">
          <cell r="B638">
            <v>634</v>
          </cell>
          <cell r="C638">
            <v>1450.4999999999857</v>
          </cell>
          <cell r="D638">
            <v>2030.7</v>
          </cell>
          <cell r="E638">
            <v>0</v>
          </cell>
          <cell r="F638">
            <v>892.86999999999546</v>
          </cell>
          <cell r="G638">
            <v>1250.02</v>
          </cell>
        </row>
        <row r="639">
          <cell r="B639">
            <v>635</v>
          </cell>
          <cell r="C639">
            <v>1452.7899999999856</v>
          </cell>
          <cell r="D639">
            <v>2033.91</v>
          </cell>
          <cell r="E639">
            <v>0</v>
          </cell>
          <cell r="F639">
            <v>894.27999999999543</v>
          </cell>
          <cell r="G639">
            <v>1251.99</v>
          </cell>
        </row>
        <row r="640">
          <cell r="B640">
            <v>636</v>
          </cell>
          <cell r="C640">
            <v>1455.0799999999856</v>
          </cell>
          <cell r="D640">
            <v>2037.11</v>
          </cell>
          <cell r="E640">
            <v>0</v>
          </cell>
          <cell r="F640">
            <v>895.68999999999539</v>
          </cell>
          <cell r="G640">
            <v>1253.97</v>
          </cell>
        </row>
        <row r="641">
          <cell r="B641">
            <v>637</v>
          </cell>
          <cell r="C641">
            <v>1457.3699999999856</v>
          </cell>
          <cell r="D641">
            <v>2040.32</v>
          </cell>
          <cell r="E641">
            <v>0</v>
          </cell>
          <cell r="F641">
            <v>897.09999999999536</v>
          </cell>
          <cell r="G641">
            <v>1255.94</v>
          </cell>
        </row>
        <row r="642">
          <cell r="B642">
            <v>638</v>
          </cell>
          <cell r="C642">
            <v>1459.6599999999855</v>
          </cell>
          <cell r="D642">
            <v>2043.52</v>
          </cell>
          <cell r="E642">
            <v>0</v>
          </cell>
          <cell r="F642">
            <v>898.50999999999533</v>
          </cell>
          <cell r="G642">
            <v>1257.9100000000001</v>
          </cell>
        </row>
        <row r="643">
          <cell r="B643">
            <v>639</v>
          </cell>
          <cell r="C643">
            <v>1461.9499999999855</v>
          </cell>
          <cell r="D643">
            <v>2046.73</v>
          </cell>
          <cell r="E643">
            <v>0</v>
          </cell>
          <cell r="F643">
            <v>899.9199999999953</v>
          </cell>
          <cell r="G643">
            <v>1259.8900000000001</v>
          </cell>
        </row>
        <row r="644">
          <cell r="B644">
            <v>640</v>
          </cell>
          <cell r="C644">
            <v>1464.2399999999855</v>
          </cell>
          <cell r="D644">
            <v>2049.94</v>
          </cell>
          <cell r="E644">
            <v>0</v>
          </cell>
          <cell r="F644">
            <v>901.32999999999527</v>
          </cell>
          <cell r="G644">
            <v>1261.8599999999999</v>
          </cell>
        </row>
        <row r="645">
          <cell r="B645">
            <v>641</v>
          </cell>
          <cell r="C645">
            <v>1466.5299999999854</v>
          </cell>
          <cell r="D645">
            <v>2053.14</v>
          </cell>
          <cell r="E645">
            <v>0</v>
          </cell>
          <cell r="F645">
            <v>902.73999999999523</v>
          </cell>
          <cell r="G645">
            <v>1263.8399999999999</v>
          </cell>
        </row>
        <row r="646">
          <cell r="B646">
            <v>642</v>
          </cell>
          <cell r="C646">
            <v>1468.8199999999854</v>
          </cell>
          <cell r="D646">
            <v>2056.35</v>
          </cell>
          <cell r="E646">
            <v>0</v>
          </cell>
          <cell r="F646">
            <v>904.1499999999952</v>
          </cell>
          <cell r="G646">
            <v>1265.81</v>
          </cell>
        </row>
        <row r="647">
          <cell r="B647">
            <v>643</v>
          </cell>
          <cell r="C647">
            <v>1471.1099999999853</v>
          </cell>
          <cell r="D647">
            <v>2059.5500000000002</v>
          </cell>
          <cell r="E647">
            <v>0</v>
          </cell>
          <cell r="F647">
            <v>905.55999999999517</v>
          </cell>
          <cell r="G647">
            <v>1267.78</v>
          </cell>
        </row>
        <row r="648">
          <cell r="B648">
            <v>644</v>
          </cell>
          <cell r="C648">
            <v>1473.3999999999853</v>
          </cell>
          <cell r="D648">
            <v>2062.7600000000002</v>
          </cell>
          <cell r="E648">
            <v>0</v>
          </cell>
          <cell r="F648">
            <v>906.96999999999514</v>
          </cell>
          <cell r="G648">
            <v>1269.76</v>
          </cell>
        </row>
        <row r="649">
          <cell r="B649">
            <v>645</v>
          </cell>
          <cell r="C649">
            <v>1475.6899999999853</v>
          </cell>
          <cell r="D649">
            <v>2065.9699999999998</v>
          </cell>
          <cell r="E649">
            <v>0</v>
          </cell>
          <cell r="F649">
            <v>908.37999999999511</v>
          </cell>
          <cell r="G649">
            <v>1271.73</v>
          </cell>
        </row>
        <row r="650">
          <cell r="B650">
            <v>646</v>
          </cell>
          <cell r="C650">
            <v>1477.9799999999852</v>
          </cell>
          <cell r="D650">
            <v>2069.17</v>
          </cell>
          <cell r="E650">
            <v>0</v>
          </cell>
          <cell r="F650">
            <v>909.78999999999508</v>
          </cell>
          <cell r="G650">
            <v>1273.71</v>
          </cell>
        </row>
        <row r="651">
          <cell r="B651">
            <v>647</v>
          </cell>
          <cell r="C651">
            <v>1480.2699999999852</v>
          </cell>
          <cell r="D651">
            <v>2072.38</v>
          </cell>
          <cell r="E651">
            <v>0</v>
          </cell>
          <cell r="F651">
            <v>911.19999999999504</v>
          </cell>
          <cell r="G651">
            <v>1275.68</v>
          </cell>
        </row>
        <row r="652">
          <cell r="B652">
            <v>648</v>
          </cell>
          <cell r="C652">
            <v>1482.5599999999852</v>
          </cell>
          <cell r="D652">
            <v>2075.58</v>
          </cell>
          <cell r="E652">
            <v>0</v>
          </cell>
          <cell r="F652">
            <v>912.60999999999501</v>
          </cell>
          <cell r="G652">
            <v>1277.6500000000001</v>
          </cell>
        </row>
        <row r="653">
          <cell r="B653">
            <v>649</v>
          </cell>
          <cell r="C653">
            <v>1484.8499999999851</v>
          </cell>
          <cell r="D653">
            <v>2078.79</v>
          </cell>
          <cell r="E653">
            <v>0</v>
          </cell>
          <cell r="F653">
            <v>914.01999999999498</v>
          </cell>
          <cell r="G653">
            <v>1279.6300000000001</v>
          </cell>
        </row>
        <row r="654">
          <cell r="B654">
            <v>650</v>
          </cell>
          <cell r="C654">
            <v>1487.1399999999851</v>
          </cell>
          <cell r="D654">
            <v>2082</v>
          </cell>
          <cell r="E654">
            <v>0</v>
          </cell>
          <cell r="F654">
            <v>915.42999999999495</v>
          </cell>
          <cell r="G654">
            <v>1281.5999999999999</v>
          </cell>
        </row>
        <row r="655">
          <cell r="B655">
            <v>651</v>
          </cell>
          <cell r="C655">
            <v>1489.4299999999851</v>
          </cell>
          <cell r="D655">
            <v>2085.1999999999998</v>
          </cell>
          <cell r="E655">
            <v>0</v>
          </cell>
          <cell r="F655">
            <v>916.83999999999492</v>
          </cell>
          <cell r="G655">
            <v>1283.58</v>
          </cell>
        </row>
        <row r="656">
          <cell r="B656">
            <v>652</v>
          </cell>
          <cell r="C656">
            <v>1491.719999999985</v>
          </cell>
          <cell r="D656">
            <v>2088.41</v>
          </cell>
          <cell r="E656">
            <v>0</v>
          </cell>
          <cell r="F656">
            <v>918.24999999999488</v>
          </cell>
          <cell r="G656">
            <v>1285.55</v>
          </cell>
        </row>
        <row r="657">
          <cell r="B657">
            <v>653</v>
          </cell>
          <cell r="C657">
            <v>1494.009999999985</v>
          </cell>
          <cell r="D657">
            <v>2091.61</v>
          </cell>
          <cell r="E657">
            <v>0</v>
          </cell>
          <cell r="F657">
            <v>919.65999999999485</v>
          </cell>
          <cell r="G657">
            <v>1287.52</v>
          </cell>
        </row>
        <row r="658">
          <cell r="B658">
            <v>654</v>
          </cell>
          <cell r="C658">
            <v>1496.2999999999849</v>
          </cell>
          <cell r="D658">
            <v>2094.8200000000002</v>
          </cell>
          <cell r="E658">
            <v>0</v>
          </cell>
          <cell r="F658">
            <v>921.06999999999482</v>
          </cell>
          <cell r="G658">
            <v>1289.5</v>
          </cell>
        </row>
        <row r="659">
          <cell r="B659">
            <v>655</v>
          </cell>
          <cell r="C659">
            <v>1498.5899999999849</v>
          </cell>
          <cell r="D659">
            <v>2098.0300000000002</v>
          </cell>
          <cell r="E659">
            <v>0</v>
          </cell>
          <cell r="F659">
            <v>922.47999999999479</v>
          </cell>
          <cell r="G659">
            <v>1291.47</v>
          </cell>
        </row>
        <row r="660">
          <cell r="B660">
            <v>656</v>
          </cell>
          <cell r="C660">
            <v>1500.8799999999849</v>
          </cell>
          <cell r="D660">
            <v>2101.23</v>
          </cell>
          <cell r="E660">
            <v>0</v>
          </cell>
          <cell r="F660">
            <v>923.88999999999476</v>
          </cell>
          <cell r="G660">
            <v>1293.45</v>
          </cell>
        </row>
        <row r="661">
          <cell r="B661">
            <v>657</v>
          </cell>
          <cell r="C661">
            <v>1503.1699999999848</v>
          </cell>
          <cell r="D661">
            <v>2104.44</v>
          </cell>
          <cell r="E661">
            <v>0</v>
          </cell>
          <cell r="F661">
            <v>925.29999999999472</v>
          </cell>
          <cell r="G661">
            <v>1295.42</v>
          </cell>
        </row>
        <row r="662">
          <cell r="B662">
            <v>658</v>
          </cell>
          <cell r="C662">
            <v>1505.4599999999848</v>
          </cell>
          <cell r="D662">
            <v>2107.64</v>
          </cell>
          <cell r="E662">
            <v>0</v>
          </cell>
          <cell r="F662">
            <v>926.70999999999469</v>
          </cell>
          <cell r="G662">
            <v>1297.3900000000001</v>
          </cell>
        </row>
        <row r="663">
          <cell r="B663">
            <v>659</v>
          </cell>
          <cell r="C663">
            <v>1507.7499999999848</v>
          </cell>
          <cell r="D663">
            <v>2110.85</v>
          </cell>
          <cell r="E663">
            <v>0</v>
          </cell>
          <cell r="F663">
            <v>928.11999999999466</v>
          </cell>
          <cell r="G663">
            <v>1299.3699999999999</v>
          </cell>
        </row>
        <row r="664">
          <cell r="B664">
            <v>660</v>
          </cell>
          <cell r="C664">
            <v>1510.0399999999847</v>
          </cell>
          <cell r="D664">
            <v>2114.06</v>
          </cell>
          <cell r="E664">
            <v>0</v>
          </cell>
          <cell r="F664">
            <v>929.52999999999463</v>
          </cell>
          <cell r="G664">
            <v>1301.3399999999999</v>
          </cell>
        </row>
        <row r="665">
          <cell r="B665">
            <v>661</v>
          </cell>
          <cell r="C665">
            <v>1512.3299999999847</v>
          </cell>
          <cell r="D665">
            <v>2117.2600000000002</v>
          </cell>
          <cell r="E665">
            <v>0</v>
          </cell>
          <cell r="F665">
            <v>930.9399999999946</v>
          </cell>
          <cell r="G665">
            <v>1303.32</v>
          </cell>
        </row>
        <row r="666">
          <cell r="B666">
            <v>662</v>
          </cell>
          <cell r="C666">
            <v>1514.6199999999847</v>
          </cell>
          <cell r="D666">
            <v>2120.4699999999998</v>
          </cell>
          <cell r="E666">
            <v>0</v>
          </cell>
          <cell r="F666">
            <v>932.34999999999457</v>
          </cell>
          <cell r="G666">
            <v>1305.29</v>
          </cell>
        </row>
        <row r="667">
          <cell r="B667">
            <v>663</v>
          </cell>
          <cell r="C667">
            <v>1516.9099999999846</v>
          </cell>
          <cell r="D667">
            <v>2123.67</v>
          </cell>
          <cell r="E667">
            <v>0</v>
          </cell>
          <cell r="F667">
            <v>933.75999999999453</v>
          </cell>
          <cell r="G667">
            <v>1307.26</v>
          </cell>
        </row>
        <row r="668">
          <cell r="B668">
            <v>664</v>
          </cell>
          <cell r="C668">
            <v>1519.1999999999846</v>
          </cell>
          <cell r="D668">
            <v>2126.88</v>
          </cell>
          <cell r="E668">
            <v>0</v>
          </cell>
          <cell r="F668">
            <v>935.1699999999945</v>
          </cell>
          <cell r="G668">
            <v>1309.24</v>
          </cell>
        </row>
        <row r="669">
          <cell r="B669">
            <v>665</v>
          </cell>
          <cell r="C669">
            <v>1521.4899999999845</v>
          </cell>
          <cell r="D669">
            <v>2130.09</v>
          </cell>
          <cell r="E669">
            <v>0</v>
          </cell>
          <cell r="F669">
            <v>936.57999999999447</v>
          </cell>
          <cell r="G669">
            <v>1311.21</v>
          </cell>
        </row>
        <row r="670">
          <cell r="B670">
            <v>666</v>
          </cell>
          <cell r="C670">
            <v>1523.7799999999845</v>
          </cell>
          <cell r="D670">
            <v>2133.29</v>
          </cell>
          <cell r="E670">
            <v>0</v>
          </cell>
          <cell r="F670">
            <v>937.98999999999444</v>
          </cell>
          <cell r="G670">
            <v>1313.19</v>
          </cell>
        </row>
        <row r="671">
          <cell r="B671">
            <v>667</v>
          </cell>
          <cell r="C671">
            <v>1526.0699999999845</v>
          </cell>
          <cell r="D671">
            <v>2136.5</v>
          </cell>
          <cell r="E671">
            <v>0</v>
          </cell>
          <cell r="F671">
            <v>939.39999999999441</v>
          </cell>
          <cell r="G671">
            <v>1315.16</v>
          </cell>
        </row>
        <row r="672">
          <cell r="B672">
            <v>668</v>
          </cell>
          <cell r="C672">
            <v>1528.3599999999844</v>
          </cell>
          <cell r="D672">
            <v>2139.6999999999998</v>
          </cell>
          <cell r="E672">
            <v>0</v>
          </cell>
          <cell r="F672">
            <v>940.80999999999437</v>
          </cell>
          <cell r="G672">
            <v>1317.13</v>
          </cell>
        </row>
        <row r="673">
          <cell r="B673">
            <v>669</v>
          </cell>
          <cell r="C673">
            <v>1530.6499999999844</v>
          </cell>
          <cell r="D673">
            <v>2142.91</v>
          </cell>
          <cell r="E673">
            <v>0</v>
          </cell>
          <cell r="F673">
            <v>942.21999999999434</v>
          </cell>
          <cell r="G673">
            <v>1319.11</v>
          </cell>
        </row>
        <row r="674">
          <cell r="B674">
            <v>670</v>
          </cell>
          <cell r="C674">
            <v>1532.9399999999844</v>
          </cell>
          <cell r="D674">
            <v>2146.12</v>
          </cell>
          <cell r="E674">
            <v>0</v>
          </cell>
          <cell r="F674">
            <v>943.62999999999431</v>
          </cell>
          <cell r="G674">
            <v>1321.08</v>
          </cell>
        </row>
        <row r="675">
          <cell r="B675">
            <v>671</v>
          </cell>
          <cell r="C675">
            <v>1535.2299999999843</v>
          </cell>
          <cell r="D675">
            <v>2149.3200000000002</v>
          </cell>
          <cell r="E675">
            <v>0</v>
          </cell>
          <cell r="F675">
            <v>945.03999999999428</v>
          </cell>
          <cell r="G675">
            <v>1323.06</v>
          </cell>
        </row>
        <row r="676">
          <cell r="B676">
            <v>672</v>
          </cell>
          <cell r="C676">
            <v>1537.5199999999843</v>
          </cell>
          <cell r="D676">
            <v>2152.5300000000002</v>
          </cell>
          <cell r="E676">
            <v>0</v>
          </cell>
          <cell r="F676">
            <v>946.44999999999425</v>
          </cell>
          <cell r="G676">
            <v>1325.03</v>
          </cell>
        </row>
        <row r="677">
          <cell r="B677">
            <v>673</v>
          </cell>
          <cell r="C677">
            <v>1539.8099999999843</v>
          </cell>
          <cell r="D677">
            <v>2155.73</v>
          </cell>
          <cell r="E677">
            <v>0</v>
          </cell>
          <cell r="F677">
            <v>947.85999999999422</v>
          </cell>
          <cell r="G677">
            <v>1327</v>
          </cell>
        </row>
        <row r="678">
          <cell r="B678">
            <v>674</v>
          </cell>
          <cell r="C678">
            <v>1542.0999999999842</v>
          </cell>
          <cell r="D678">
            <v>2158.94</v>
          </cell>
          <cell r="E678">
            <v>0</v>
          </cell>
          <cell r="F678">
            <v>949.26999999999418</v>
          </cell>
          <cell r="G678">
            <v>1328.98</v>
          </cell>
        </row>
        <row r="679">
          <cell r="B679">
            <v>675</v>
          </cell>
          <cell r="C679">
            <v>1544.3899999999842</v>
          </cell>
          <cell r="D679">
            <v>2162.15</v>
          </cell>
          <cell r="E679">
            <v>0</v>
          </cell>
          <cell r="F679">
            <v>950.67999999999415</v>
          </cell>
          <cell r="G679">
            <v>1330.95</v>
          </cell>
        </row>
        <row r="680">
          <cell r="B680">
            <v>676</v>
          </cell>
          <cell r="C680">
            <v>1546.6799999999841</v>
          </cell>
          <cell r="D680">
            <v>2165.35</v>
          </cell>
          <cell r="E680">
            <v>0</v>
          </cell>
          <cell r="F680">
            <v>952.08999999999412</v>
          </cell>
          <cell r="G680">
            <v>1332.93</v>
          </cell>
        </row>
        <row r="681">
          <cell r="B681">
            <v>677</v>
          </cell>
          <cell r="C681">
            <v>1548.9699999999841</v>
          </cell>
          <cell r="D681">
            <v>2168.56</v>
          </cell>
          <cell r="E681">
            <v>0</v>
          </cell>
          <cell r="F681">
            <v>953.49999999999409</v>
          </cell>
          <cell r="G681">
            <v>1334.9</v>
          </cell>
        </row>
        <row r="682">
          <cell r="B682">
            <v>678</v>
          </cell>
          <cell r="C682">
            <v>1551.2599999999841</v>
          </cell>
          <cell r="D682">
            <v>2171.7600000000002</v>
          </cell>
          <cell r="E682">
            <v>0</v>
          </cell>
          <cell r="F682">
            <v>954.90999999999406</v>
          </cell>
          <cell r="G682">
            <v>1336.87</v>
          </cell>
        </row>
        <row r="683">
          <cell r="B683">
            <v>679</v>
          </cell>
          <cell r="C683">
            <v>1553.549999999984</v>
          </cell>
          <cell r="D683">
            <v>2174.9699999999998</v>
          </cell>
          <cell r="E683">
            <v>0</v>
          </cell>
          <cell r="F683">
            <v>956.31999999999402</v>
          </cell>
          <cell r="G683">
            <v>1338.85</v>
          </cell>
        </row>
        <row r="684">
          <cell r="B684">
            <v>680</v>
          </cell>
          <cell r="C684">
            <v>1555.839999999984</v>
          </cell>
          <cell r="D684">
            <v>2178.1799999999998</v>
          </cell>
          <cell r="E684">
            <v>0</v>
          </cell>
          <cell r="F684">
            <v>957.72999999999399</v>
          </cell>
          <cell r="G684">
            <v>1340.82</v>
          </cell>
        </row>
        <row r="685">
          <cell r="B685">
            <v>681</v>
          </cell>
          <cell r="C685">
            <v>1558.129999999984</v>
          </cell>
          <cell r="D685">
            <v>2181.38</v>
          </cell>
          <cell r="E685">
            <v>0</v>
          </cell>
          <cell r="F685">
            <v>959.13999999999396</v>
          </cell>
          <cell r="G685">
            <v>1342.8</v>
          </cell>
        </row>
        <row r="686">
          <cell r="B686">
            <v>682</v>
          </cell>
          <cell r="C686">
            <v>1560.4199999999839</v>
          </cell>
          <cell r="D686">
            <v>2184.59</v>
          </cell>
          <cell r="E686">
            <v>0</v>
          </cell>
          <cell r="F686">
            <v>960.54999999999393</v>
          </cell>
          <cell r="G686">
            <v>1344.77</v>
          </cell>
        </row>
        <row r="687">
          <cell r="B687">
            <v>683</v>
          </cell>
          <cell r="C687">
            <v>1562.7099999999839</v>
          </cell>
          <cell r="D687">
            <v>2187.79</v>
          </cell>
          <cell r="E687">
            <v>0</v>
          </cell>
          <cell r="F687">
            <v>961.9599999999939</v>
          </cell>
          <cell r="G687">
            <v>1346.74</v>
          </cell>
        </row>
        <row r="688">
          <cell r="B688">
            <v>684</v>
          </cell>
          <cell r="C688">
            <v>1564.9999999999839</v>
          </cell>
          <cell r="D688">
            <v>2191</v>
          </cell>
          <cell r="E688">
            <v>0</v>
          </cell>
          <cell r="F688">
            <v>963.36999999999387</v>
          </cell>
          <cell r="G688">
            <v>1348.72</v>
          </cell>
        </row>
        <row r="689">
          <cell r="B689">
            <v>685</v>
          </cell>
          <cell r="C689">
            <v>1567.2899999999838</v>
          </cell>
          <cell r="D689">
            <v>2194.21</v>
          </cell>
          <cell r="E689">
            <v>0</v>
          </cell>
          <cell r="F689">
            <v>964.77999999999383</v>
          </cell>
          <cell r="G689">
            <v>1350.69</v>
          </cell>
        </row>
        <row r="690">
          <cell r="B690">
            <v>686</v>
          </cell>
          <cell r="C690">
            <v>1569.5799999999838</v>
          </cell>
          <cell r="D690">
            <v>2197.41</v>
          </cell>
          <cell r="E690">
            <v>0</v>
          </cell>
          <cell r="F690">
            <v>966.1899999999938</v>
          </cell>
          <cell r="G690">
            <v>1352.67</v>
          </cell>
        </row>
        <row r="691">
          <cell r="B691">
            <v>687</v>
          </cell>
          <cell r="C691">
            <v>1571.8699999999837</v>
          </cell>
          <cell r="D691">
            <v>2200.62</v>
          </cell>
          <cell r="E691">
            <v>0</v>
          </cell>
          <cell r="F691">
            <v>967.59999999999377</v>
          </cell>
          <cell r="G691">
            <v>1354.64</v>
          </cell>
        </row>
        <row r="692">
          <cell r="B692">
            <v>688</v>
          </cell>
          <cell r="C692">
            <v>1574.1599999999837</v>
          </cell>
          <cell r="D692">
            <v>2203.8200000000002</v>
          </cell>
          <cell r="E692">
            <v>0</v>
          </cell>
          <cell r="F692">
            <v>969.00999999999374</v>
          </cell>
          <cell r="G692">
            <v>1356.61</v>
          </cell>
        </row>
        <row r="693">
          <cell r="B693">
            <v>689</v>
          </cell>
          <cell r="C693">
            <v>1576.4499999999837</v>
          </cell>
          <cell r="D693">
            <v>2207.0300000000002</v>
          </cell>
          <cell r="E693">
            <v>0</v>
          </cell>
          <cell r="F693">
            <v>970.41999999999371</v>
          </cell>
          <cell r="G693">
            <v>1358.59</v>
          </cell>
        </row>
        <row r="694">
          <cell r="B694">
            <v>690</v>
          </cell>
          <cell r="C694">
            <v>1578.7399999999836</v>
          </cell>
          <cell r="D694">
            <v>2210.2399999999998</v>
          </cell>
          <cell r="E694">
            <v>0</v>
          </cell>
          <cell r="F694">
            <v>971.82999999999367</v>
          </cell>
          <cell r="G694">
            <v>1360.56</v>
          </cell>
        </row>
        <row r="695">
          <cell r="B695">
            <v>691</v>
          </cell>
          <cell r="C695">
            <v>1581.0299999999836</v>
          </cell>
          <cell r="D695">
            <v>2213.44</v>
          </cell>
          <cell r="E695">
            <v>0</v>
          </cell>
          <cell r="F695">
            <v>973.23999999999364</v>
          </cell>
          <cell r="G695">
            <v>1362.54</v>
          </cell>
        </row>
        <row r="696">
          <cell r="B696">
            <v>692</v>
          </cell>
          <cell r="C696">
            <v>1583.3199999999836</v>
          </cell>
          <cell r="D696">
            <v>2216.65</v>
          </cell>
          <cell r="E696">
            <v>0</v>
          </cell>
          <cell r="F696">
            <v>974.64999999999361</v>
          </cell>
          <cell r="G696">
            <v>1364.51</v>
          </cell>
        </row>
        <row r="697">
          <cell r="B697">
            <v>693</v>
          </cell>
          <cell r="C697">
            <v>1585.6099999999835</v>
          </cell>
          <cell r="D697">
            <v>2219.85</v>
          </cell>
          <cell r="E697">
            <v>0</v>
          </cell>
          <cell r="F697">
            <v>976.05999999999358</v>
          </cell>
          <cell r="G697">
            <v>1366.48</v>
          </cell>
        </row>
        <row r="698">
          <cell r="B698">
            <v>694</v>
          </cell>
          <cell r="C698">
            <v>1587.8999999999835</v>
          </cell>
          <cell r="D698">
            <v>2223.06</v>
          </cell>
          <cell r="E698">
            <v>0</v>
          </cell>
          <cell r="F698">
            <v>977.46999999999355</v>
          </cell>
          <cell r="G698">
            <v>1368.46</v>
          </cell>
        </row>
        <row r="699">
          <cell r="B699">
            <v>695</v>
          </cell>
          <cell r="C699">
            <v>1590.1899999999835</v>
          </cell>
          <cell r="D699">
            <v>2226.27</v>
          </cell>
          <cell r="E699">
            <v>0</v>
          </cell>
          <cell r="F699">
            <v>978.87999999999352</v>
          </cell>
          <cell r="G699">
            <v>1370.43</v>
          </cell>
        </row>
        <row r="700">
          <cell r="B700">
            <v>696</v>
          </cell>
          <cell r="C700">
            <v>1592.4799999999834</v>
          </cell>
          <cell r="D700">
            <v>2229.4699999999998</v>
          </cell>
          <cell r="E700">
            <v>0</v>
          </cell>
          <cell r="F700">
            <v>980.28999999999348</v>
          </cell>
          <cell r="G700">
            <v>1372.41</v>
          </cell>
        </row>
        <row r="701">
          <cell r="B701">
            <v>697</v>
          </cell>
          <cell r="C701">
            <v>1594.7699999999834</v>
          </cell>
          <cell r="D701">
            <v>2232.6799999999998</v>
          </cell>
          <cell r="E701">
            <v>0</v>
          </cell>
          <cell r="F701">
            <v>981.69999999999345</v>
          </cell>
          <cell r="G701">
            <v>1374.38</v>
          </cell>
        </row>
        <row r="702">
          <cell r="B702">
            <v>698</v>
          </cell>
          <cell r="C702">
            <v>1597.0599999999833</v>
          </cell>
          <cell r="D702">
            <v>2235.88</v>
          </cell>
          <cell r="E702">
            <v>0</v>
          </cell>
          <cell r="F702">
            <v>983.10999999999342</v>
          </cell>
          <cell r="G702">
            <v>1376.35</v>
          </cell>
        </row>
        <row r="703">
          <cell r="B703">
            <v>699</v>
          </cell>
          <cell r="C703">
            <v>1599.3499999999833</v>
          </cell>
          <cell r="D703">
            <v>2239.09</v>
          </cell>
          <cell r="E703">
            <v>0</v>
          </cell>
          <cell r="F703">
            <v>984.51999999999339</v>
          </cell>
          <cell r="G703">
            <v>1378.33</v>
          </cell>
        </row>
        <row r="704">
          <cell r="B704">
            <v>700</v>
          </cell>
          <cell r="C704">
            <v>1601.6399999999833</v>
          </cell>
          <cell r="D704">
            <v>2242.3000000000002</v>
          </cell>
          <cell r="E704">
            <v>0</v>
          </cell>
          <cell r="F704">
            <v>985.92999999999336</v>
          </cell>
          <cell r="G704">
            <v>1380.3</v>
          </cell>
        </row>
        <row r="705">
          <cell r="B705">
            <v>701</v>
          </cell>
          <cell r="C705">
            <v>1603.9299999999832</v>
          </cell>
          <cell r="D705">
            <v>2245.5</v>
          </cell>
          <cell r="E705">
            <v>0</v>
          </cell>
          <cell r="F705">
            <v>987.33999999999332</v>
          </cell>
          <cell r="G705">
            <v>1382.28</v>
          </cell>
        </row>
        <row r="706">
          <cell r="B706">
            <v>702</v>
          </cell>
          <cell r="C706">
            <v>1606.2199999999832</v>
          </cell>
          <cell r="D706">
            <v>2248.71</v>
          </cell>
          <cell r="E706">
            <v>0</v>
          </cell>
          <cell r="F706">
            <v>988.74999999999329</v>
          </cell>
          <cell r="G706">
            <v>1384.25</v>
          </cell>
        </row>
        <row r="707">
          <cell r="B707">
            <v>703</v>
          </cell>
          <cell r="C707">
            <v>1608.5099999999832</v>
          </cell>
          <cell r="D707">
            <v>2251.91</v>
          </cell>
          <cell r="E707">
            <v>0</v>
          </cell>
          <cell r="F707">
            <v>990.15999999999326</v>
          </cell>
          <cell r="G707">
            <v>1386.22</v>
          </cell>
        </row>
        <row r="708">
          <cell r="B708">
            <v>704</v>
          </cell>
          <cell r="C708">
            <v>1610.7999999999831</v>
          </cell>
          <cell r="D708">
            <v>2255.12</v>
          </cell>
          <cell r="E708">
            <v>0</v>
          </cell>
          <cell r="F708">
            <v>991.56999999999323</v>
          </cell>
          <cell r="G708">
            <v>1388.2</v>
          </cell>
        </row>
        <row r="709">
          <cell r="B709">
            <v>705</v>
          </cell>
          <cell r="C709">
            <v>1613.0899999999831</v>
          </cell>
          <cell r="D709">
            <v>2258.33</v>
          </cell>
          <cell r="E709">
            <v>0</v>
          </cell>
          <cell r="F709">
            <v>992.9799999999932</v>
          </cell>
          <cell r="G709">
            <v>1390.17</v>
          </cell>
        </row>
        <row r="710">
          <cell r="B710">
            <v>706</v>
          </cell>
          <cell r="C710">
            <v>1615.3799999999831</v>
          </cell>
          <cell r="D710">
            <v>2261.5300000000002</v>
          </cell>
          <cell r="E710">
            <v>0</v>
          </cell>
          <cell r="F710">
            <v>994.38999999999317</v>
          </cell>
          <cell r="G710">
            <v>1392.15</v>
          </cell>
        </row>
        <row r="711">
          <cell r="B711">
            <v>707</v>
          </cell>
          <cell r="C711">
            <v>1617.669999999983</v>
          </cell>
          <cell r="D711">
            <v>2264.7399999999998</v>
          </cell>
          <cell r="E711">
            <v>0</v>
          </cell>
          <cell r="F711">
            <v>995.79999999999313</v>
          </cell>
          <cell r="G711">
            <v>1394.12</v>
          </cell>
        </row>
        <row r="712">
          <cell r="B712">
            <v>708</v>
          </cell>
          <cell r="C712">
            <v>1619.959999999983</v>
          </cell>
          <cell r="D712">
            <v>2267.94</v>
          </cell>
          <cell r="E712">
            <v>0</v>
          </cell>
          <cell r="F712">
            <v>997.2099999999931</v>
          </cell>
          <cell r="G712">
            <v>1396.09</v>
          </cell>
        </row>
        <row r="713">
          <cell r="B713">
            <v>709</v>
          </cell>
          <cell r="C713">
            <v>1622.2499999999829</v>
          </cell>
          <cell r="D713">
            <v>2271.15</v>
          </cell>
          <cell r="E713">
            <v>0</v>
          </cell>
          <cell r="F713">
            <v>998.61999999999307</v>
          </cell>
          <cell r="G713">
            <v>1398.07</v>
          </cell>
        </row>
        <row r="714">
          <cell r="B714">
            <v>710</v>
          </cell>
          <cell r="C714">
            <v>1624.5399999999829</v>
          </cell>
          <cell r="D714">
            <v>2274.36</v>
          </cell>
          <cell r="E714">
            <v>0</v>
          </cell>
          <cell r="F714">
            <v>1000.029999999993</v>
          </cell>
          <cell r="G714">
            <v>1400.04</v>
          </cell>
        </row>
        <row r="715">
          <cell r="B715">
            <v>711</v>
          </cell>
          <cell r="C715">
            <v>1626.8299999999829</v>
          </cell>
          <cell r="D715">
            <v>2277.56</v>
          </cell>
          <cell r="E715">
            <v>0</v>
          </cell>
          <cell r="F715">
            <v>1001.439999999993</v>
          </cell>
          <cell r="G715">
            <v>1402.02</v>
          </cell>
        </row>
        <row r="716">
          <cell r="B716">
            <v>712</v>
          </cell>
          <cell r="C716">
            <v>1629.1199999999828</v>
          </cell>
          <cell r="D716">
            <v>2280.77</v>
          </cell>
          <cell r="E716">
            <v>0</v>
          </cell>
          <cell r="F716">
            <v>1002.849999999993</v>
          </cell>
          <cell r="G716">
            <v>1403.99</v>
          </cell>
        </row>
        <row r="717">
          <cell r="B717">
            <v>713</v>
          </cell>
          <cell r="C717">
            <v>1631.4099999999828</v>
          </cell>
          <cell r="D717">
            <v>2283.9699999999998</v>
          </cell>
          <cell r="E717">
            <v>0</v>
          </cell>
          <cell r="F717">
            <v>1004.2599999999929</v>
          </cell>
          <cell r="G717">
            <v>1405.96</v>
          </cell>
        </row>
        <row r="718">
          <cell r="B718">
            <v>714</v>
          </cell>
          <cell r="C718">
            <v>1633.6999999999828</v>
          </cell>
          <cell r="D718">
            <v>2287.1799999999998</v>
          </cell>
          <cell r="E718">
            <v>0</v>
          </cell>
          <cell r="F718">
            <v>1005.6699999999929</v>
          </cell>
          <cell r="G718">
            <v>1407.94</v>
          </cell>
        </row>
        <row r="719">
          <cell r="B719">
            <v>715</v>
          </cell>
          <cell r="C719">
            <v>1635.9899999999827</v>
          </cell>
          <cell r="D719">
            <v>2290.39</v>
          </cell>
          <cell r="E719">
            <v>0</v>
          </cell>
          <cell r="F719">
            <v>1007.0799999999929</v>
          </cell>
          <cell r="G719">
            <v>1409.91</v>
          </cell>
        </row>
        <row r="720">
          <cell r="B720">
            <v>716</v>
          </cell>
          <cell r="C720">
            <v>1638.2799999999827</v>
          </cell>
          <cell r="D720">
            <v>2293.59</v>
          </cell>
          <cell r="E720">
            <v>0</v>
          </cell>
          <cell r="F720">
            <v>1008.4899999999928</v>
          </cell>
          <cell r="G720">
            <v>1411.89</v>
          </cell>
        </row>
        <row r="721">
          <cell r="B721">
            <v>717</v>
          </cell>
          <cell r="C721">
            <v>1640.5699999999827</v>
          </cell>
          <cell r="D721">
            <v>2296.8000000000002</v>
          </cell>
          <cell r="E721">
            <v>0</v>
          </cell>
          <cell r="F721">
            <v>1009.8999999999928</v>
          </cell>
          <cell r="G721">
            <v>1413.86</v>
          </cell>
        </row>
        <row r="722">
          <cell r="B722">
            <v>718</v>
          </cell>
          <cell r="C722">
            <v>1642.8599999999826</v>
          </cell>
          <cell r="D722">
            <v>2300</v>
          </cell>
          <cell r="E722">
            <v>0</v>
          </cell>
          <cell r="F722">
            <v>1011.3099999999928</v>
          </cell>
          <cell r="G722">
            <v>1415.83</v>
          </cell>
        </row>
        <row r="723">
          <cell r="B723">
            <v>719</v>
          </cell>
          <cell r="C723">
            <v>1645.1499999999826</v>
          </cell>
          <cell r="D723">
            <v>2303.21</v>
          </cell>
          <cell r="E723">
            <v>0</v>
          </cell>
          <cell r="F723">
            <v>1012.7199999999928</v>
          </cell>
          <cell r="G723">
            <v>1417.81</v>
          </cell>
        </row>
        <row r="724">
          <cell r="B724">
            <v>720</v>
          </cell>
          <cell r="C724">
            <v>1647.4399999999825</v>
          </cell>
          <cell r="D724">
            <v>2306.42</v>
          </cell>
          <cell r="E724">
            <v>0</v>
          </cell>
          <cell r="F724">
            <v>1014.1299999999927</v>
          </cell>
          <cell r="G724">
            <v>1419.78</v>
          </cell>
        </row>
        <row r="725">
          <cell r="B725">
            <v>721</v>
          </cell>
          <cell r="C725">
            <v>1649.7299999999825</v>
          </cell>
          <cell r="D725">
            <v>2309.62</v>
          </cell>
          <cell r="E725">
            <v>0</v>
          </cell>
          <cell r="F725">
            <v>1015.5399999999927</v>
          </cell>
          <cell r="G725">
            <v>1421.76</v>
          </cell>
        </row>
        <row r="726">
          <cell r="B726">
            <v>722</v>
          </cell>
          <cell r="C726">
            <v>1652.0199999999825</v>
          </cell>
          <cell r="D726">
            <v>2312.83</v>
          </cell>
          <cell r="E726">
            <v>0</v>
          </cell>
          <cell r="F726">
            <v>1016.9499999999927</v>
          </cell>
          <cell r="G726">
            <v>1423.73</v>
          </cell>
        </row>
        <row r="727">
          <cell r="B727">
            <v>723</v>
          </cell>
          <cell r="C727">
            <v>1654.3099999999824</v>
          </cell>
          <cell r="D727">
            <v>2316.0300000000002</v>
          </cell>
          <cell r="E727">
            <v>0</v>
          </cell>
          <cell r="F727">
            <v>1018.3599999999926</v>
          </cell>
          <cell r="G727">
            <v>1425.7</v>
          </cell>
        </row>
        <row r="728">
          <cell r="B728">
            <v>724</v>
          </cell>
          <cell r="C728">
            <v>1656.5999999999824</v>
          </cell>
          <cell r="D728">
            <v>2319.2399999999998</v>
          </cell>
          <cell r="E728">
            <v>0</v>
          </cell>
          <cell r="F728">
            <v>1019.7699999999926</v>
          </cell>
          <cell r="G728">
            <v>1427.68</v>
          </cell>
        </row>
        <row r="729">
          <cell r="B729">
            <v>725</v>
          </cell>
          <cell r="C729">
            <v>1658.8899999999824</v>
          </cell>
          <cell r="D729">
            <v>2322.4499999999998</v>
          </cell>
          <cell r="E729">
            <v>0</v>
          </cell>
          <cell r="F729">
            <v>1021.1799999999926</v>
          </cell>
          <cell r="G729">
            <v>1429.65</v>
          </cell>
        </row>
        <row r="730">
          <cell r="B730">
            <v>726</v>
          </cell>
          <cell r="C730">
            <v>1661.1799999999823</v>
          </cell>
          <cell r="D730">
            <v>2325.65</v>
          </cell>
          <cell r="E730">
            <v>0</v>
          </cell>
          <cell r="F730">
            <v>1022.5899999999925</v>
          </cell>
          <cell r="G730">
            <v>1431.63</v>
          </cell>
        </row>
        <row r="731">
          <cell r="B731">
            <v>727</v>
          </cell>
          <cell r="C731">
            <v>1663.4699999999823</v>
          </cell>
          <cell r="D731">
            <v>2328.86</v>
          </cell>
          <cell r="E731">
            <v>0</v>
          </cell>
          <cell r="F731">
            <v>1023.9999999999925</v>
          </cell>
          <cell r="G731">
            <v>1433.6</v>
          </cell>
        </row>
        <row r="732">
          <cell r="B732">
            <v>728</v>
          </cell>
          <cell r="C732">
            <v>1665.7599999999823</v>
          </cell>
          <cell r="D732">
            <v>2332.06</v>
          </cell>
          <cell r="E732">
            <v>0</v>
          </cell>
          <cell r="F732">
            <v>1025.4099999999926</v>
          </cell>
          <cell r="G732">
            <v>1435.57</v>
          </cell>
        </row>
        <row r="733">
          <cell r="B733">
            <v>729</v>
          </cell>
          <cell r="C733">
            <v>1668.0499999999822</v>
          </cell>
          <cell r="D733">
            <v>2335.27</v>
          </cell>
          <cell r="E733">
            <v>0</v>
          </cell>
          <cell r="F733">
            <v>1026.8199999999927</v>
          </cell>
          <cell r="G733">
            <v>1437.55</v>
          </cell>
        </row>
        <row r="734">
          <cell r="B734">
            <v>730</v>
          </cell>
          <cell r="C734">
            <v>1670.3399999999822</v>
          </cell>
          <cell r="D734">
            <v>2338.48</v>
          </cell>
          <cell r="E734">
            <v>0</v>
          </cell>
          <cell r="F734">
            <v>1028.2299999999927</v>
          </cell>
          <cell r="G734">
            <v>1439.52</v>
          </cell>
        </row>
        <row r="735">
          <cell r="B735">
            <v>731</v>
          </cell>
          <cell r="C735">
            <v>1672.6299999999821</v>
          </cell>
          <cell r="D735">
            <v>2341.6799999999998</v>
          </cell>
          <cell r="E735">
            <v>0</v>
          </cell>
          <cell r="F735">
            <v>1029.6399999999928</v>
          </cell>
          <cell r="G735">
            <v>1441.5</v>
          </cell>
        </row>
        <row r="736">
          <cell r="B736">
            <v>732</v>
          </cell>
          <cell r="C736">
            <v>1674.9199999999821</v>
          </cell>
          <cell r="D736">
            <v>2344.89</v>
          </cell>
          <cell r="E736">
            <v>0</v>
          </cell>
          <cell r="F736">
            <v>1031.0499999999929</v>
          </cell>
          <cell r="G736">
            <v>1443.47</v>
          </cell>
        </row>
        <row r="737">
          <cell r="B737">
            <v>733</v>
          </cell>
          <cell r="C737">
            <v>1677.2099999999821</v>
          </cell>
          <cell r="D737">
            <v>2348.09</v>
          </cell>
          <cell r="E737">
            <v>0</v>
          </cell>
          <cell r="F737">
            <v>1032.459999999993</v>
          </cell>
          <cell r="G737">
            <v>1445.44</v>
          </cell>
        </row>
        <row r="738">
          <cell r="B738">
            <v>734</v>
          </cell>
          <cell r="C738">
            <v>1679.499999999982</v>
          </cell>
          <cell r="D738">
            <v>2351.3000000000002</v>
          </cell>
          <cell r="E738">
            <v>0</v>
          </cell>
          <cell r="F738">
            <v>1033.8699999999931</v>
          </cell>
          <cell r="G738">
            <v>1447.42</v>
          </cell>
        </row>
        <row r="739">
          <cell r="B739">
            <v>735</v>
          </cell>
          <cell r="C739">
            <v>1681.789999999982</v>
          </cell>
          <cell r="D739">
            <v>2354.5100000000002</v>
          </cell>
          <cell r="E739">
            <v>0</v>
          </cell>
          <cell r="F739">
            <v>1035.2799999999932</v>
          </cell>
          <cell r="G739">
            <v>1449.39</v>
          </cell>
        </row>
        <row r="740">
          <cell r="B740">
            <v>736</v>
          </cell>
          <cell r="C740">
            <v>1684.079999999982</v>
          </cell>
          <cell r="D740">
            <v>2357.71</v>
          </cell>
          <cell r="E740">
            <v>0</v>
          </cell>
          <cell r="F740">
            <v>1036.6899999999932</v>
          </cell>
          <cell r="G740">
            <v>1451.37</v>
          </cell>
        </row>
        <row r="741">
          <cell r="B741">
            <v>737</v>
          </cell>
          <cell r="C741">
            <v>1686.3699999999819</v>
          </cell>
          <cell r="D741">
            <v>2360.92</v>
          </cell>
          <cell r="E741">
            <v>0</v>
          </cell>
          <cell r="F741">
            <v>1038.0999999999933</v>
          </cell>
          <cell r="G741">
            <v>1453.34</v>
          </cell>
        </row>
        <row r="742">
          <cell r="B742">
            <v>738</v>
          </cell>
          <cell r="C742">
            <v>1688.6599999999819</v>
          </cell>
          <cell r="D742">
            <v>2364.12</v>
          </cell>
          <cell r="E742">
            <v>0</v>
          </cell>
          <cell r="F742">
            <v>1039.5099999999934</v>
          </cell>
          <cell r="G742">
            <v>1455.31</v>
          </cell>
        </row>
        <row r="743">
          <cell r="B743">
            <v>739</v>
          </cell>
          <cell r="C743">
            <v>1690.9499999999819</v>
          </cell>
          <cell r="D743">
            <v>2367.33</v>
          </cell>
          <cell r="E743">
            <v>0</v>
          </cell>
          <cell r="F743">
            <v>1040.9199999999935</v>
          </cell>
          <cell r="G743">
            <v>1457.29</v>
          </cell>
        </row>
        <row r="744">
          <cell r="B744">
            <v>740</v>
          </cell>
          <cell r="C744">
            <v>1693.2399999999818</v>
          </cell>
          <cell r="D744">
            <v>2370.54</v>
          </cell>
          <cell r="E744">
            <v>0</v>
          </cell>
          <cell r="F744">
            <v>1042.3299999999936</v>
          </cell>
          <cell r="G744">
            <v>1459.26</v>
          </cell>
        </row>
        <row r="745">
          <cell r="B745">
            <v>741</v>
          </cell>
          <cell r="C745">
            <v>1695.5299999999818</v>
          </cell>
          <cell r="D745">
            <v>2373.7399999999998</v>
          </cell>
          <cell r="E745">
            <v>0</v>
          </cell>
          <cell r="F745">
            <v>1043.7399999999936</v>
          </cell>
          <cell r="G745">
            <v>1461.24</v>
          </cell>
        </row>
        <row r="746">
          <cell r="B746">
            <v>742</v>
          </cell>
          <cell r="C746">
            <v>1697.8199999999817</v>
          </cell>
          <cell r="D746">
            <v>2376.9499999999998</v>
          </cell>
          <cell r="E746">
            <v>0</v>
          </cell>
          <cell r="F746">
            <v>1045.1499999999937</v>
          </cell>
          <cell r="G746">
            <v>1463.21</v>
          </cell>
        </row>
        <row r="747">
          <cell r="B747">
            <v>743</v>
          </cell>
          <cell r="C747">
            <v>1700.1099999999817</v>
          </cell>
          <cell r="D747">
            <v>2380.15</v>
          </cell>
          <cell r="E747">
            <v>0</v>
          </cell>
          <cell r="F747">
            <v>1046.5599999999938</v>
          </cell>
          <cell r="G747">
            <v>1465.18</v>
          </cell>
        </row>
        <row r="748">
          <cell r="B748">
            <v>744</v>
          </cell>
          <cell r="C748">
            <v>1702.3999999999817</v>
          </cell>
          <cell r="D748">
            <v>2383.36</v>
          </cell>
          <cell r="E748">
            <v>0</v>
          </cell>
          <cell r="F748">
            <v>1047.9699999999939</v>
          </cell>
          <cell r="G748">
            <v>1467.16</v>
          </cell>
        </row>
        <row r="749">
          <cell r="B749">
            <v>745</v>
          </cell>
          <cell r="C749">
            <v>1704.6899999999816</v>
          </cell>
          <cell r="D749">
            <v>2386.5700000000002</v>
          </cell>
          <cell r="E749">
            <v>0</v>
          </cell>
          <cell r="F749">
            <v>1049.379999999994</v>
          </cell>
          <cell r="G749">
            <v>1469.13</v>
          </cell>
        </row>
        <row r="750">
          <cell r="B750">
            <v>746</v>
          </cell>
          <cell r="C750">
            <v>1706.9799999999816</v>
          </cell>
          <cell r="D750">
            <v>2389.77</v>
          </cell>
          <cell r="E750">
            <v>0</v>
          </cell>
          <cell r="F750">
            <v>1050.7899999999941</v>
          </cell>
          <cell r="G750">
            <v>1471.11</v>
          </cell>
        </row>
        <row r="751">
          <cell r="B751">
            <v>747</v>
          </cell>
          <cell r="C751">
            <v>1709.2699999999816</v>
          </cell>
          <cell r="D751">
            <v>2392.98</v>
          </cell>
          <cell r="E751">
            <v>0</v>
          </cell>
          <cell r="F751">
            <v>1052.1999999999941</v>
          </cell>
          <cell r="G751">
            <v>1473.08</v>
          </cell>
        </row>
        <row r="752">
          <cell r="B752">
            <v>748</v>
          </cell>
          <cell r="C752">
            <v>1711.5599999999815</v>
          </cell>
          <cell r="D752">
            <v>2396.1799999999998</v>
          </cell>
          <cell r="E752">
            <v>0</v>
          </cell>
          <cell r="F752">
            <v>1053.6099999999942</v>
          </cell>
          <cell r="G752">
            <v>1475.05</v>
          </cell>
        </row>
        <row r="753">
          <cell r="B753">
            <v>749</v>
          </cell>
          <cell r="C753">
            <v>1713.8499999999815</v>
          </cell>
          <cell r="D753">
            <v>2399.39</v>
          </cell>
          <cell r="E753">
            <v>0</v>
          </cell>
          <cell r="F753">
            <v>1055.0199999999943</v>
          </cell>
          <cell r="G753">
            <v>1477.03</v>
          </cell>
        </row>
        <row r="754">
          <cell r="B754">
            <v>750</v>
          </cell>
          <cell r="C754">
            <v>1716.1399999999815</v>
          </cell>
          <cell r="D754">
            <v>2402.6</v>
          </cell>
          <cell r="E754">
            <v>0</v>
          </cell>
          <cell r="F754">
            <v>1056.4299999999944</v>
          </cell>
          <cell r="G754">
            <v>1479</v>
          </cell>
        </row>
        <row r="755">
          <cell r="B755">
            <v>751</v>
          </cell>
          <cell r="C755">
            <v>1718.4299999999814</v>
          </cell>
          <cell r="D755">
            <v>2405.8000000000002</v>
          </cell>
          <cell r="E755">
            <v>0</v>
          </cell>
          <cell r="F755">
            <v>1057.8399999999945</v>
          </cell>
          <cell r="G755">
            <v>1480.98</v>
          </cell>
        </row>
        <row r="756">
          <cell r="B756">
            <v>752</v>
          </cell>
          <cell r="C756">
            <v>1720.7199999999814</v>
          </cell>
          <cell r="D756">
            <v>2409.0100000000002</v>
          </cell>
          <cell r="E756">
            <v>0</v>
          </cell>
          <cell r="F756">
            <v>1059.2499999999945</v>
          </cell>
          <cell r="G756">
            <v>1482.95</v>
          </cell>
        </row>
        <row r="757">
          <cell r="B757">
            <v>753</v>
          </cell>
          <cell r="C757">
            <v>1723.0099999999813</v>
          </cell>
          <cell r="D757">
            <v>2412.21</v>
          </cell>
          <cell r="E757">
            <v>0</v>
          </cell>
          <cell r="F757">
            <v>1060.6599999999946</v>
          </cell>
          <cell r="G757">
            <v>1484.92</v>
          </cell>
        </row>
        <row r="758">
          <cell r="B758">
            <v>754</v>
          </cell>
          <cell r="C758">
            <v>1725.2999999999813</v>
          </cell>
          <cell r="D758">
            <v>2415.42</v>
          </cell>
          <cell r="E758">
            <v>0</v>
          </cell>
          <cell r="F758">
            <v>1062.0699999999947</v>
          </cell>
          <cell r="G758">
            <v>1486.9</v>
          </cell>
        </row>
        <row r="759">
          <cell r="B759">
            <v>755</v>
          </cell>
          <cell r="C759">
            <v>1727.5899999999813</v>
          </cell>
          <cell r="D759">
            <v>2418.63</v>
          </cell>
          <cell r="E759">
            <v>0</v>
          </cell>
          <cell r="F759">
            <v>1063.4799999999948</v>
          </cell>
          <cell r="G759">
            <v>1488.87</v>
          </cell>
        </row>
        <row r="760">
          <cell r="B760">
            <v>756</v>
          </cell>
          <cell r="C760">
            <v>1729.8799999999812</v>
          </cell>
          <cell r="D760">
            <v>2421.83</v>
          </cell>
          <cell r="E760">
            <v>0</v>
          </cell>
          <cell r="F760">
            <v>1064.8899999999949</v>
          </cell>
          <cell r="G760">
            <v>1490.85</v>
          </cell>
        </row>
        <row r="761">
          <cell r="B761">
            <v>757</v>
          </cell>
          <cell r="C761">
            <v>1732.1699999999812</v>
          </cell>
          <cell r="D761">
            <v>2425.04</v>
          </cell>
          <cell r="E761">
            <v>0</v>
          </cell>
          <cell r="F761">
            <v>1066.299999999995</v>
          </cell>
          <cell r="G761">
            <v>1492.82</v>
          </cell>
        </row>
        <row r="762">
          <cell r="B762">
            <v>758</v>
          </cell>
          <cell r="C762">
            <v>1734.4599999999812</v>
          </cell>
          <cell r="D762">
            <v>2428.2399999999998</v>
          </cell>
          <cell r="E762">
            <v>0</v>
          </cell>
          <cell r="F762">
            <v>1067.709999999995</v>
          </cell>
          <cell r="G762">
            <v>1494.79</v>
          </cell>
        </row>
        <row r="763">
          <cell r="B763">
            <v>759</v>
          </cell>
          <cell r="C763">
            <v>1736.7499999999811</v>
          </cell>
          <cell r="D763">
            <v>2431.4499999999998</v>
          </cell>
          <cell r="E763">
            <v>0</v>
          </cell>
          <cell r="F763">
            <v>1069.1199999999951</v>
          </cell>
          <cell r="G763">
            <v>1496.77</v>
          </cell>
        </row>
        <row r="764">
          <cell r="B764">
            <v>760</v>
          </cell>
          <cell r="C764">
            <v>1739.0399999999811</v>
          </cell>
          <cell r="D764">
            <v>2434.66</v>
          </cell>
          <cell r="E764">
            <v>0</v>
          </cell>
          <cell r="F764">
            <v>1070.5299999999952</v>
          </cell>
          <cell r="G764">
            <v>1498.74</v>
          </cell>
        </row>
        <row r="765">
          <cell r="B765">
            <v>761</v>
          </cell>
          <cell r="C765">
            <v>1741.3299999999811</v>
          </cell>
          <cell r="D765">
            <v>2437.86</v>
          </cell>
          <cell r="E765">
            <v>0</v>
          </cell>
          <cell r="F765">
            <v>1071.9399999999953</v>
          </cell>
          <cell r="G765">
            <v>1500.72</v>
          </cell>
        </row>
        <row r="766">
          <cell r="B766">
            <v>762</v>
          </cell>
          <cell r="C766">
            <v>1743.619999999981</v>
          </cell>
          <cell r="D766">
            <v>2441.0700000000002</v>
          </cell>
          <cell r="E766">
            <v>0</v>
          </cell>
          <cell r="F766">
            <v>1073.3499999999954</v>
          </cell>
          <cell r="G766">
            <v>1502.69</v>
          </cell>
        </row>
        <row r="767">
          <cell r="B767">
            <v>763</v>
          </cell>
          <cell r="C767">
            <v>1745.909999999981</v>
          </cell>
          <cell r="D767">
            <v>2444.27</v>
          </cell>
          <cell r="E767">
            <v>0</v>
          </cell>
          <cell r="F767">
            <v>1074.7599999999954</v>
          </cell>
          <cell r="G767">
            <v>1504.66</v>
          </cell>
        </row>
        <row r="768">
          <cell r="B768">
            <v>764</v>
          </cell>
          <cell r="C768">
            <v>1748.1999999999809</v>
          </cell>
          <cell r="D768">
            <v>2447.48</v>
          </cell>
          <cell r="E768">
            <v>0</v>
          </cell>
          <cell r="F768">
            <v>1076.1699999999955</v>
          </cell>
          <cell r="G768">
            <v>1506.64</v>
          </cell>
        </row>
        <row r="769">
          <cell r="B769">
            <v>765</v>
          </cell>
          <cell r="C769">
            <v>1750.4899999999809</v>
          </cell>
          <cell r="D769">
            <v>2450.69</v>
          </cell>
          <cell r="E769">
            <v>0</v>
          </cell>
          <cell r="F769">
            <v>1077.5799999999956</v>
          </cell>
          <cell r="G769">
            <v>1508.61</v>
          </cell>
        </row>
        <row r="770">
          <cell r="B770">
            <v>766</v>
          </cell>
          <cell r="C770">
            <v>1752.7799999999809</v>
          </cell>
          <cell r="D770">
            <v>2453.89</v>
          </cell>
          <cell r="E770">
            <v>0</v>
          </cell>
          <cell r="F770">
            <v>1078.9899999999957</v>
          </cell>
          <cell r="G770">
            <v>1510.59</v>
          </cell>
        </row>
        <row r="771">
          <cell r="B771">
            <v>767</v>
          </cell>
          <cell r="C771">
            <v>1755.0699999999808</v>
          </cell>
          <cell r="D771">
            <v>2457.1</v>
          </cell>
          <cell r="E771">
            <v>0</v>
          </cell>
          <cell r="F771">
            <v>1080.3999999999958</v>
          </cell>
          <cell r="G771">
            <v>1512.56</v>
          </cell>
        </row>
        <row r="772">
          <cell r="B772">
            <v>768</v>
          </cell>
          <cell r="C772">
            <v>1757.3599999999808</v>
          </cell>
          <cell r="D772">
            <v>2460.3000000000002</v>
          </cell>
          <cell r="E772">
            <v>0</v>
          </cell>
          <cell r="F772">
            <v>1081.8099999999959</v>
          </cell>
          <cell r="G772">
            <v>1514.53</v>
          </cell>
        </row>
        <row r="773">
          <cell r="B773">
            <v>769</v>
          </cell>
          <cell r="C773">
            <v>1759.6499999999808</v>
          </cell>
          <cell r="D773">
            <v>2463.5100000000002</v>
          </cell>
          <cell r="E773">
            <v>0</v>
          </cell>
          <cell r="F773">
            <v>1083.2199999999959</v>
          </cell>
          <cell r="G773">
            <v>1516.51</v>
          </cell>
        </row>
        <row r="774">
          <cell r="B774">
            <v>770</v>
          </cell>
          <cell r="C774">
            <v>1761.9399999999807</v>
          </cell>
          <cell r="D774">
            <v>2466.7199999999998</v>
          </cell>
          <cell r="E774">
            <v>0</v>
          </cell>
          <cell r="F774">
            <v>1084.629999999996</v>
          </cell>
          <cell r="G774">
            <v>1518.48</v>
          </cell>
        </row>
        <row r="775">
          <cell r="B775">
            <v>771</v>
          </cell>
          <cell r="C775">
            <v>1764.2299999999807</v>
          </cell>
          <cell r="D775">
            <v>2469.92</v>
          </cell>
          <cell r="E775">
            <v>0</v>
          </cell>
          <cell r="F775">
            <v>1086.0399999999961</v>
          </cell>
          <cell r="G775">
            <v>1520.46</v>
          </cell>
        </row>
        <row r="776">
          <cell r="B776">
            <v>772</v>
          </cell>
          <cell r="C776">
            <v>1766.5199999999807</v>
          </cell>
          <cell r="D776">
            <v>2473.13</v>
          </cell>
          <cell r="E776">
            <v>0</v>
          </cell>
          <cell r="F776">
            <v>1087.4499999999962</v>
          </cell>
          <cell r="G776">
            <v>1522.43</v>
          </cell>
        </row>
        <row r="777">
          <cell r="B777">
            <v>773</v>
          </cell>
          <cell r="C777">
            <v>1768.8099999999806</v>
          </cell>
          <cell r="D777">
            <v>2476.33</v>
          </cell>
          <cell r="E777">
            <v>0</v>
          </cell>
          <cell r="F777">
            <v>1088.8599999999963</v>
          </cell>
          <cell r="G777">
            <v>1524.4</v>
          </cell>
        </row>
        <row r="778">
          <cell r="B778">
            <v>774</v>
          </cell>
          <cell r="C778">
            <v>1771.0999999999806</v>
          </cell>
          <cell r="D778">
            <v>2479.54</v>
          </cell>
          <cell r="E778">
            <v>0</v>
          </cell>
          <cell r="F778">
            <v>1090.2699999999963</v>
          </cell>
          <cell r="G778">
            <v>1526.38</v>
          </cell>
        </row>
        <row r="779">
          <cell r="B779">
            <v>775</v>
          </cell>
          <cell r="C779">
            <v>1773.3899999999805</v>
          </cell>
          <cell r="D779">
            <v>2482.75</v>
          </cell>
          <cell r="E779">
            <v>0</v>
          </cell>
          <cell r="F779">
            <v>1091.6799999999964</v>
          </cell>
          <cell r="G779">
            <v>1528.35</v>
          </cell>
        </row>
        <row r="780">
          <cell r="B780">
            <v>776</v>
          </cell>
          <cell r="C780">
            <v>1775.6799999999805</v>
          </cell>
          <cell r="D780">
            <v>2485.9499999999998</v>
          </cell>
          <cell r="E780">
            <v>0</v>
          </cell>
          <cell r="F780">
            <v>1093.0899999999965</v>
          </cell>
          <cell r="G780">
            <v>1530.33</v>
          </cell>
        </row>
        <row r="781">
          <cell r="B781">
            <v>777</v>
          </cell>
          <cell r="C781">
            <v>1777.9699999999805</v>
          </cell>
          <cell r="D781">
            <v>2489.16</v>
          </cell>
          <cell r="E781">
            <v>0</v>
          </cell>
          <cell r="F781">
            <v>1094.4999999999966</v>
          </cell>
          <cell r="G781">
            <v>1532.3</v>
          </cell>
        </row>
        <row r="782">
          <cell r="B782">
            <v>778</v>
          </cell>
          <cell r="C782">
            <v>1780.2599999999804</v>
          </cell>
          <cell r="D782">
            <v>2492.36</v>
          </cell>
          <cell r="E782">
            <v>0</v>
          </cell>
          <cell r="F782">
            <v>1095.9099999999967</v>
          </cell>
          <cell r="G782">
            <v>1534.27</v>
          </cell>
        </row>
        <row r="783">
          <cell r="B783">
            <v>779</v>
          </cell>
          <cell r="C783">
            <v>1782.5499999999804</v>
          </cell>
          <cell r="D783">
            <v>2495.5700000000002</v>
          </cell>
          <cell r="E783">
            <v>0</v>
          </cell>
          <cell r="F783">
            <v>1097.3199999999968</v>
          </cell>
          <cell r="G783">
            <v>1536.25</v>
          </cell>
        </row>
        <row r="784">
          <cell r="B784">
            <v>780</v>
          </cell>
          <cell r="C784">
            <v>1784.8399999999804</v>
          </cell>
          <cell r="D784">
            <v>2498.7800000000002</v>
          </cell>
          <cell r="E784">
            <v>0</v>
          </cell>
          <cell r="F784">
            <v>1098.7299999999968</v>
          </cell>
          <cell r="G784">
            <v>1538.22</v>
          </cell>
        </row>
        <row r="785">
          <cell r="B785">
            <v>781</v>
          </cell>
          <cell r="C785">
            <v>1787.1299999999803</v>
          </cell>
          <cell r="D785">
            <v>2501.98</v>
          </cell>
          <cell r="E785">
            <v>0</v>
          </cell>
          <cell r="F785">
            <v>1100.1399999999969</v>
          </cell>
          <cell r="G785">
            <v>1540.2</v>
          </cell>
        </row>
        <row r="786">
          <cell r="B786">
            <v>782</v>
          </cell>
          <cell r="C786">
            <v>1789.4199999999803</v>
          </cell>
          <cell r="D786">
            <v>2505.19</v>
          </cell>
          <cell r="E786">
            <v>0</v>
          </cell>
          <cell r="F786">
            <v>1101.549999999997</v>
          </cell>
          <cell r="G786">
            <v>1542.17</v>
          </cell>
        </row>
        <row r="787">
          <cell r="B787">
            <v>783</v>
          </cell>
          <cell r="C787">
            <v>1791.7099999999803</v>
          </cell>
          <cell r="D787">
            <v>2508.39</v>
          </cell>
          <cell r="E787">
            <v>0</v>
          </cell>
          <cell r="F787">
            <v>1102.9599999999971</v>
          </cell>
          <cell r="G787">
            <v>1544.14</v>
          </cell>
        </row>
        <row r="788">
          <cell r="B788">
            <v>784</v>
          </cell>
          <cell r="C788">
            <v>1793.9999999999802</v>
          </cell>
          <cell r="D788">
            <v>2511.6</v>
          </cell>
          <cell r="E788">
            <v>0</v>
          </cell>
          <cell r="F788">
            <v>1104.3699999999972</v>
          </cell>
          <cell r="G788">
            <v>1546.12</v>
          </cell>
        </row>
        <row r="789">
          <cell r="B789">
            <v>785</v>
          </cell>
          <cell r="C789">
            <v>1796.2899999999802</v>
          </cell>
          <cell r="D789">
            <v>2514.81</v>
          </cell>
          <cell r="E789">
            <v>0</v>
          </cell>
          <cell r="F789">
            <v>1105.7799999999972</v>
          </cell>
          <cell r="G789">
            <v>1548.09</v>
          </cell>
        </row>
        <row r="790">
          <cell r="B790">
            <v>786</v>
          </cell>
          <cell r="C790">
            <v>1798.5799999999801</v>
          </cell>
          <cell r="D790">
            <v>2518.0100000000002</v>
          </cell>
          <cell r="E790">
            <v>0</v>
          </cell>
          <cell r="F790">
            <v>1107.1899999999973</v>
          </cell>
          <cell r="G790">
            <v>1550.07</v>
          </cell>
        </row>
        <row r="791">
          <cell r="B791">
            <v>787</v>
          </cell>
          <cell r="C791">
            <v>1800.8699999999801</v>
          </cell>
          <cell r="D791">
            <v>2521.2199999999998</v>
          </cell>
          <cell r="E791">
            <v>0</v>
          </cell>
          <cell r="F791">
            <v>1108.5999999999974</v>
          </cell>
          <cell r="G791">
            <v>1552.04</v>
          </cell>
        </row>
        <row r="792">
          <cell r="B792">
            <v>788</v>
          </cell>
          <cell r="C792">
            <v>1803.1599999999801</v>
          </cell>
          <cell r="D792">
            <v>2524.42</v>
          </cell>
          <cell r="E792">
            <v>0</v>
          </cell>
          <cell r="F792">
            <v>1110.0099999999975</v>
          </cell>
          <cell r="G792">
            <v>1554.01</v>
          </cell>
        </row>
        <row r="793">
          <cell r="B793">
            <v>789</v>
          </cell>
          <cell r="C793">
            <v>1805.44999999998</v>
          </cell>
          <cell r="D793">
            <v>2527.63</v>
          </cell>
          <cell r="E793">
            <v>0</v>
          </cell>
          <cell r="F793">
            <v>1111.4199999999976</v>
          </cell>
          <cell r="G793">
            <v>1555.99</v>
          </cell>
        </row>
        <row r="794">
          <cell r="B794">
            <v>790</v>
          </cell>
          <cell r="C794">
            <v>1807.73999999998</v>
          </cell>
          <cell r="D794">
            <v>2530.84</v>
          </cell>
          <cell r="E794">
            <v>0</v>
          </cell>
          <cell r="F794">
            <v>1112.8299999999977</v>
          </cell>
          <cell r="G794">
            <v>1557.96</v>
          </cell>
        </row>
        <row r="795">
          <cell r="B795">
            <v>791</v>
          </cell>
          <cell r="C795">
            <v>1810.02999999998</v>
          </cell>
          <cell r="D795">
            <v>2534.04</v>
          </cell>
          <cell r="E795">
            <v>0</v>
          </cell>
          <cell r="F795">
            <v>1114.2399999999977</v>
          </cell>
          <cell r="G795">
            <v>1559.94</v>
          </cell>
        </row>
        <row r="796">
          <cell r="B796">
            <v>792</v>
          </cell>
          <cell r="C796">
            <v>1812.3199999999799</v>
          </cell>
          <cell r="D796">
            <v>2537.25</v>
          </cell>
          <cell r="E796">
            <v>0</v>
          </cell>
          <cell r="F796">
            <v>1115.6499999999978</v>
          </cell>
          <cell r="G796">
            <v>1561.91</v>
          </cell>
        </row>
        <row r="797">
          <cell r="B797">
            <v>793</v>
          </cell>
          <cell r="C797">
            <v>1814.6099999999799</v>
          </cell>
          <cell r="D797">
            <v>2540.4499999999998</v>
          </cell>
          <cell r="E797">
            <v>0</v>
          </cell>
          <cell r="F797">
            <v>1117.0599999999979</v>
          </cell>
          <cell r="G797">
            <v>1563.88</v>
          </cell>
        </row>
        <row r="798">
          <cell r="B798">
            <v>794</v>
          </cell>
          <cell r="C798">
            <v>1816.8999999999799</v>
          </cell>
          <cell r="D798">
            <v>2543.66</v>
          </cell>
          <cell r="E798">
            <v>0</v>
          </cell>
          <cell r="F798">
            <v>1118.469999999998</v>
          </cell>
          <cell r="G798">
            <v>1565.86</v>
          </cell>
        </row>
        <row r="799">
          <cell r="B799">
            <v>795</v>
          </cell>
          <cell r="C799">
            <v>1819.1899999999798</v>
          </cell>
          <cell r="D799">
            <v>2546.87</v>
          </cell>
          <cell r="E799">
            <v>0</v>
          </cell>
          <cell r="F799">
            <v>1119.8799999999981</v>
          </cell>
          <cell r="G799">
            <v>1567.83</v>
          </cell>
        </row>
        <row r="800">
          <cell r="B800">
            <v>796</v>
          </cell>
          <cell r="C800">
            <v>1821.4799999999798</v>
          </cell>
          <cell r="D800">
            <v>2550.0700000000002</v>
          </cell>
          <cell r="E800">
            <v>0</v>
          </cell>
          <cell r="F800">
            <v>1121.2899999999981</v>
          </cell>
          <cell r="G800">
            <v>1569.81</v>
          </cell>
        </row>
        <row r="801">
          <cell r="B801">
            <v>797</v>
          </cell>
          <cell r="C801">
            <v>1823.7699999999797</v>
          </cell>
          <cell r="D801">
            <v>2553.2800000000002</v>
          </cell>
          <cell r="E801">
            <v>0</v>
          </cell>
          <cell r="F801">
            <v>1122.6999999999982</v>
          </cell>
          <cell r="G801">
            <v>1571.78</v>
          </cell>
        </row>
        <row r="802">
          <cell r="B802">
            <v>798</v>
          </cell>
          <cell r="C802">
            <v>1826.0599999999797</v>
          </cell>
          <cell r="D802">
            <v>2556.48</v>
          </cell>
          <cell r="E802">
            <v>0</v>
          </cell>
          <cell r="F802">
            <v>1124.1099999999983</v>
          </cell>
          <cell r="G802">
            <v>1573.75</v>
          </cell>
        </row>
        <row r="803">
          <cell r="B803">
            <v>799</v>
          </cell>
          <cell r="C803">
            <v>1828.3499999999797</v>
          </cell>
          <cell r="D803">
            <v>2559.69</v>
          </cell>
          <cell r="E803">
            <v>0</v>
          </cell>
          <cell r="F803">
            <v>1125.5199999999984</v>
          </cell>
          <cell r="G803">
            <v>1575.73</v>
          </cell>
        </row>
        <row r="804">
          <cell r="B804">
            <v>800</v>
          </cell>
          <cell r="C804">
            <v>1830.6399999999796</v>
          </cell>
          <cell r="D804">
            <v>2562.9</v>
          </cell>
          <cell r="E804">
            <v>0</v>
          </cell>
          <cell r="F804">
            <v>1126.9299999999985</v>
          </cell>
          <cell r="G804">
            <v>1577.7</v>
          </cell>
        </row>
        <row r="805">
          <cell r="B805">
            <v>801</v>
          </cell>
          <cell r="C805">
            <v>1832.9299999999796</v>
          </cell>
          <cell r="D805">
            <v>2566.1</v>
          </cell>
          <cell r="E805">
            <v>0</v>
          </cell>
          <cell r="F805">
            <v>1128.3399999999986</v>
          </cell>
          <cell r="G805">
            <v>1579.68</v>
          </cell>
        </row>
        <row r="806">
          <cell r="B806">
            <v>802</v>
          </cell>
          <cell r="C806">
            <v>1835.2199999999796</v>
          </cell>
          <cell r="D806">
            <v>2569.31</v>
          </cell>
          <cell r="E806">
            <v>0</v>
          </cell>
          <cell r="F806">
            <v>1129.7499999999986</v>
          </cell>
          <cell r="G806">
            <v>1581.65</v>
          </cell>
        </row>
        <row r="807">
          <cell r="B807">
            <v>803</v>
          </cell>
          <cell r="C807">
            <v>1837.5099999999795</v>
          </cell>
          <cell r="D807">
            <v>2572.5100000000002</v>
          </cell>
          <cell r="E807">
            <v>0</v>
          </cell>
          <cell r="F807">
            <v>1131.1599999999987</v>
          </cell>
          <cell r="G807">
            <v>1583.62</v>
          </cell>
        </row>
        <row r="808">
          <cell r="B808">
            <v>804</v>
          </cell>
          <cell r="C808">
            <v>1839.7999999999795</v>
          </cell>
          <cell r="D808">
            <v>2575.7199999999998</v>
          </cell>
          <cell r="E808">
            <v>0</v>
          </cell>
          <cell r="F808">
            <v>1132.5699999999988</v>
          </cell>
          <cell r="G808">
            <v>1585.6</v>
          </cell>
        </row>
        <row r="809">
          <cell r="B809">
            <v>805</v>
          </cell>
          <cell r="C809">
            <v>1842.0899999999795</v>
          </cell>
          <cell r="D809">
            <v>2578.9299999999998</v>
          </cell>
          <cell r="E809">
            <v>0</v>
          </cell>
          <cell r="F809">
            <v>1133.9799999999989</v>
          </cell>
          <cell r="G809">
            <v>1587.57</v>
          </cell>
        </row>
        <row r="810">
          <cell r="B810">
            <v>806</v>
          </cell>
          <cell r="C810">
            <v>1844.3799999999794</v>
          </cell>
          <cell r="D810">
            <v>2582.13</v>
          </cell>
          <cell r="E810">
            <v>0</v>
          </cell>
          <cell r="F810">
            <v>1135.389999999999</v>
          </cell>
          <cell r="G810">
            <v>1589.55</v>
          </cell>
        </row>
        <row r="811">
          <cell r="B811">
            <v>807</v>
          </cell>
          <cell r="C811">
            <v>1846.6699999999794</v>
          </cell>
          <cell r="D811">
            <v>2585.34</v>
          </cell>
          <cell r="E811">
            <v>0</v>
          </cell>
          <cell r="F811">
            <v>1136.799999999999</v>
          </cell>
          <cell r="G811">
            <v>1591.52</v>
          </cell>
        </row>
        <row r="812">
          <cell r="B812">
            <v>808</v>
          </cell>
          <cell r="C812">
            <v>1848.9599999999793</v>
          </cell>
          <cell r="D812">
            <v>2588.54</v>
          </cell>
          <cell r="E812">
            <v>0</v>
          </cell>
          <cell r="F812">
            <v>1138.2099999999991</v>
          </cell>
          <cell r="G812">
            <v>1593.49</v>
          </cell>
        </row>
        <row r="813">
          <cell r="B813">
            <v>809</v>
          </cell>
          <cell r="C813">
            <v>1851.2499999999793</v>
          </cell>
          <cell r="D813">
            <v>2591.75</v>
          </cell>
          <cell r="E813">
            <v>0</v>
          </cell>
          <cell r="F813">
            <v>1139.6199999999992</v>
          </cell>
          <cell r="G813">
            <v>1595.47</v>
          </cell>
        </row>
        <row r="814">
          <cell r="B814">
            <v>810</v>
          </cell>
          <cell r="C814">
            <v>1853.5399999999793</v>
          </cell>
          <cell r="D814">
            <v>2594.96</v>
          </cell>
          <cell r="E814">
            <v>0</v>
          </cell>
          <cell r="F814">
            <v>1141.0299999999993</v>
          </cell>
          <cell r="G814">
            <v>1597.44</v>
          </cell>
        </row>
        <row r="815">
          <cell r="B815">
            <v>811</v>
          </cell>
          <cell r="C815">
            <v>1855.8299999999792</v>
          </cell>
          <cell r="D815">
            <v>2598.16</v>
          </cell>
          <cell r="E815">
            <v>0</v>
          </cell>
          <cell r="F815">
            <v>1142.4399999999994</v>
          </cell>
          <cell r="G815">
            <v>1599.42</v>
          </cell>
        </row>
        <row r="816">
          <cell r="B816">
            <v>812</v>
          </cell>
          <cell r="C816">
            <v>1858.1199999999792</v>
          </cell>
          <cell r="D816">
            <v>2601.37</v>
          </cell>
          <cell r="E816">
            <v>0</v>
          </cell>
          <cell r="F816">
            <v>1143.8499999999995</v>
          </cell>
          <cell r="G816">
            <v>1601.39</v>
          </cell>
        </row>
        <row r="817">
          <cell r="B817">
            <v>813</v>
          </cell>
          <cell r="C817">
            <v>1860.4099999999792</v>
          </cell>
          <cell r="D817">
            <v>2604.5700000000002</v>
          </cell>
          <cell r="E817">
            <v>0</v>
          </cell>
          <cell r="F817">
            <v>1145.2599999999995</v>
          </cell>
          <cell r="G817">
            <v>1603.36</v>
          </cell>
        </row>
        <row r="818">
          <cell r="B818">
            <v>814</v>
          </cell>
          <cell r="C818">
            <v>1862.6999999999791</v>
          </cell>
          <cell r="D818">
            <v>2607.7800000000002</v>
          </cell>
          <cell r="E818">
            <v>0</v>
          </cell>
          <cell r="F818">
            <v>1146.6699999999996</v>
          </cell>
          <cell r="G818">
            <v>1605.34</v>
          </cell>
        </row>
        <row r="819">
          <cell r="B819">
            <v>815</v>
          </cell>
          <cell r="C819">
            <v>1864.9899999999791</v>
          </cell>
          <cell r="D819">
            <v>2610.9899999999998</v>
          </cell>
          <cell r="E819">
            <v>0</v>
          </cell>
          <cell r="F819">
            <v>1148.0799999999997</v>
          </cell>
          <cell r="G819">
            <v>1607.31</v>
          </cell>
        </row>
        <row r="820">
          <cell r="B820">
            <v>816</v>
          </cell>
          <cell r="C820">
            <v>1867.2799999999791</v>
          </cell>
          <cell r="D820">
            <v>2614.19</v>
          </cell>
          <cell r="E820">
            <v>0</v>
          </cell>
          <cell r="F820">
            <v>1149.4899999999998</v>
          </cell>
          <cell r="G820">
            <v>1609.29</v>
          </cell>
        </row>
        <row r="821">
          <cell r="B821">
            <v>817</v>
          </cell>
          <cell r="C821">
            <v>1869.569999999979</v>
          </cell>
          <cell r="D821">
            <v>2617.4</v>
          </cell>
          <cell r="E821">
            <v>0</v>
          </cell>
          <cell r="F821">
            <v>1150.8999999999999</v>
          </cell>
          <cell r="G821">
            <v>1611.26</v>
          </cell>
        </row>
        <row r="822">
          <cell r="B822">
            <v>818</v>
          </cell>
          <cell r="C822">
            <v>1871.859999999979</v>
          </cell>
          <cell r="D822">
            <v>2620.6</v>
          </cell>
          <cell r="E822">
            <v>0</v>
          </cell>
          <cell r="F822">
            <v>1152.31</v>
          </cell>
          <cell r="G822">
            <v>1613.23</v>
          </cell>
        </row>
        <row r="823">
          <cell r="B823">
            <v>819</v>
          </cell>
          <cell r="C823">
            <v>1874.1499999999789</v>
          </cell>
          <cell r="D823">
            <v>2623.81</v>
          </cell>
          <cell r="E823">
            <v>0</v>
          </cell>
          <cell r="F823">
            <v>1153.72</v>
          </cell>
          <cell r="G823">
            <v>1615.21</v>
          </cell>
        </row>
        <row r="824">
          <cell r="B824">
            <v>820</v>
          </cell>
          <cell r="C824">
            <v>1876.4399999999789</v>
          </cell>
          <cell r="D824">
            <v>2627.02</v>
          </cell>
          <cell r="E824">
            <v>0</v>
          </cell>
          <cell r="F824">
            <v>1155.1300000000001</v>
          </cell>
          <cell r="G824">
            <v>1617.18</v>
          </cell>
        </row>
        <row r="825">
          <cell r="B825">
            <v>821</v>
          </cell>
          <cell r="C825">
            <v>1878.7299999999789</v>
          </cell>
          <cell r="D825">
            <v>2630.22</v>
          </cell>
          <cell r="E825">
            <v>0</v>
          </cell>
          <cell r="F825">
            <v>1156.5400000000002</v>
          </cell>
          <cell r="G825">
            <v>1619.16</v>
          </cell>
        </row>
        <row r="826">
          <cell r="B826">
            <v>822</v>
          </cell>
          <cell r="C826">
            <v>1881.0199999999788</v>
          </cell>
          <cell r="D826">
            <v>2633.43</v>
          </cell>
          <cell r="E826">
            <v>0</v>
          </cell>
          <cell r="F826">
            <v>1157.9500000000003</v>
          </cell>
          <cell r="G826">
            <v>1621.13</v>
          </cell>
        </row>
        <row r="827">
          <cell r="B827">
            <v>823</v>
          </cell>
          <cell r="C827">
            <v>1883.3099999999788</v>
          </cell>
          <cell r="D827">
            <v>2636.63</v>
          </cell>
          <cell r="E827">
            <v>0</v>
          </cell>
          <cell r="F827">
            <v>1159.3600000000004</v>
          </cell>
          <cell r="G827">
            <v>1623.1</v>
          </cell>
        </row>
        <row r="828">
          <cell r="B828">
            <v>824</v>
          </cell>
          <cell r="C828">
            <v>1885.5999999999788</v>
          </cell>
          <cell r="D828">
            <v>2639.84</v>
          </cell>
          <cell r="E828">
            <v>0</v>
          </cell>
          <cell r="F828">
            <v>1160.7700000000004</v>
          </cell>
          <cell r="G828">
            <v>1625.08</v>
          </cell>
        </row>
        <row r="829">
          <cell r="B829">
            <v>825</v>
          </cell>
          <cell r="C829">
            <v>1887.8899999999787</v>
          </cell>
          <cell r="D829">
            <v>2643.05</v>
          </cell>
          <cell r="E829">
            <v>0</v>
          </cell>
          <cell r="F829">
            <v>1162.1800000000005</v>
          </cell>
          <cell r="G829">
            <v>1627.05</v>
          </cell>
        </row>
        <row r="830">
          <cell r="B830">
            <v>826</v>
          </cell>
          <cell r="C830">
            <v>1890.1799999999787</v>
          </cell>
          <cell r="D830">
            <v>2646.25</v>
          </cell>
          <cell r="E830">
            <v>0</v>
          </cell>
          <cell r="F830">
            <v>1163.5900000000006</v>
          </cell>
          <cell r="G830">
            <v>1629.03</v>
          </cell>
        </row>
        <row r="831">
          <cell r="B831">
            <v>827</v>
          </cell>
          <cell r="C831">
            <v>1892.4699999999787</v>
          </cell>
          <cell r="D831">
            <v>2649.46</v>
          </cell>
          <cell r="E831">
            <v>0</v>
          </cell>
          <cell r="F831">
            <v>1165.0000000000007</v>
          </cell>
          <cell r="G831">
            <v>1631</v>
          </cell>
        </row>
        <row r="832">
          <cell r="B832">
            <v>828</v>
          </cell>
          <cell r="C832">
            <v>1894.7599999999786</v>
          </cell>
          <cell r="D832">
            <v>2652.66</v>
          </cell>
          <cell r="E832">
            <v>0</v>
          </cell>
          <cell r="F832">
            <v>1166.4100000000008</v>
          </cell>
          <cell r="G832">
            <v>1632.97</v>
          </cell>
        </row>
        <row r="833">
          <cell r="B833">
            <v>829</v>
          </cell>
          <cell r="C833">
            <v>1897.0499999999786</v>
          </cell>
          <cell r="D833">
            <v>2655.87</v>
          </cell>
          <cell r="E833">
            <v>0</v>
          </cell>
          <cell r="F833">
            <v>1167.8200000000008</v>
          </cell>
          <cell r="G833">
            <v>1634.95</v>
          </cell>
        </row>
        <row r="834">
          <cell r="B834">
            <v>830</v>
          </cell>
          <cell r="C834">
            <v>1899.3399999999785</v>
          </cell>
          <cell r="D834">
            <v>2659.08</v>
          </cell>
          <cell r="E834">
            <v>0</v>
          </cell>
          <cell r="F834">
            <v>1169.2300000000009</v>
          </cell>
          <cell r="G834">
            <v>1636.92</v>
          </cell>
        </row>
        <row r="835">
          <cell r="B835">
            <v>831</v>
          </cell>
          <cell r="C835">
            <v>1901.6299999999785</v>
          </cell>
          <cell r="D835">
            <v>2662.28</v>
          </cell>
          <cell r="E835">
            <v>0</v>
          </cell>
          <cell r="F835">
            <v>1170.640000000001</v>
          </cell>
          <cell r="G835">
            <v>1638.9</v>
          </cell>
        </row>
        <row r="836">
          <cell r="B836">
            <v>832</v>
          </cell>
          <cell r="C836">
            <v>1903.9199999999785</v>
          </cell>
          <cell r="D836">
            <v>2665.49</v>
          </cell>
          <cell r="E836">
            <v>0</v>
          </cell>
          <cell r="F836">
            <v>1172.0500000000011</v>
          </cell>
          <cell r="G836">
            <v>1640.87</v>
          </cell>
        </row>
        <row r="837">
          <cell r="B837">
            <v>833</v>
          </cell>
          <cell r="C837">
            <v>1906.2099999999784</v>
          </cell>
          <cell r="D837">
            <v>2668.69</v>
          </cell>
          <cell r="E837">
            <v>0</v>
          </cell>
          <cell r="F837">
            <v>1173.4600000000012</v>
          </cell>
          <cell r="G837">
            <v>1642.84</v>
          </cell>
        </row>
        <row r="838">
          <cell r="B838">
            <v>834</v>
          </cell>
          <cell r="C838">
            <v>1908.4999999999784</v>
          </cell>
          <cell r="D838">
            <v>2671.9</v>
          </cell>
          <cell r="E838">
            <v>0</v>
          </cell>
          <cell r="F838">
            <v>1174.8700000000013</v>
          </cell>
          <cell r="G838">
            <v>1644.82</v>
          </cell>
        </row>
        <row r="839">
          <cell r="B839">
            <v>835</v>
          </cell>
          <cell r="C839">
            <v>1910.7899999999784</v>
          </cell>
          <cell r="D839">
            <v>2675.11</v>
          </cell>
          <cell r="E839">
            <v>0</v>
          </cell>
          <cell r="F839">
            <v>1176.2800000000013</v>
          </cell>
          <cell r="G839">
            <v>1646.79</v>
          </cell>
        </row>
        <row r="840">
          <cell r="B840">
            <v>836</v>
          </cell>
          <cell r="C840">
            <v>1913.0799999999783</v>
          </cell>
          <cell r="D840">
            <v>2678.31</v>
          </cell>
          <cell r="E840">
            <v>0</v>
          </cell>
          <cell r="F840">
            <v>1177.6900000000014</v>
          </cell>
          <cell r="G840">
            <v>1648.77</v>
          </cell>
        </row>
        <row r="841">
          <cell r="B841">
            <v>837</v>
          </cell>
          <cell r="C841">
            <v>1915.3699999999783</v>
          </cell>
          <cell r="D841">
            <v>2681.52</v>
          </cell>
          <cell r="E841">
            <v>0</v>
          </cell>
          <cell r="F841">
            <v>1179.1000000000015</v>
          </cell>
          <cell r="G841">
            <v>1650.74</v>
          </cell>
        </row>
        <row r="842">
          <cell r="B842">
            <v>838</v>
          </cell>
          <cell r="C842">
            <v>1917.6599999999783</v>
          </cell>
          <cell r="D842">
            <v>2684.72</v>
          </cell>
          <cell r="E842">
            <v>0</v>
          </cell>
          <cell r="F842">
            <v>1180.5100000000016</v>
          </cell>
          <cell r="G842">
            <v>1652.71</v>
          </cell>
        </row>
        <row r="843">
          <cell r="B843">
            <v>839</v>
          </cell>
          <cell r="C843">
            <v>1919.9499999999782</v>
          </cell>
          <cell r="D843">
            <v>2687.93</v>
          </cell>
          <cell r="E843">
            <v>0</v>
          </cell>
          <cell r="F843">
            <v>1181.9200000000017</v>
          </cell>
          <cell r="G843">
            <v>1654.69</v>
          </cell>
        </row>
        <row r="844">
          <cell r="B844">
            <v>840</v>
          </cell>
          <cell r="C844">
            <v>1922.2399999999782</v>
          </cell>
          <cell r="D844">
            <v>2691.14</v>
          </cell>
          <cell r="E844">
            <v>0</v>
          </cell>
          <cell r="F844">
            <v>1183.3300000000017</v>
          </cell>
          <cell r="G844">
            <v>1656.66</v>
          </cell>
        </row>
        <row r="845">
          <cell r="B845">
            <v>841</v>
          </cell>
          <cell r="C845">
            <v>1924.5299999999781</v>
          </cell>
          <cell r="D845">
            <v>2694.34</v>
          </cell>
          <cell r="E845">
            <v>0</v>
          </cell>
          <cell r="F845">
            <v>1184.7400000000018</v>
          </cell>
          <cell r="G845">
            <v>1658.64</v>
          </cell>
        </row>
        <row r="846">
          <cell r="B846">
            <v>842</v>
          </cell>
          <cell r="C846">
            <v>1926.8199999999781</v>
          </cell>
          <cell r="D846">
            <v>2697.55</v>
          </cell>
          <cell r="E846">
            <v>0</v>
          </cell>
          <cell r="F846">
            <v>1186.1500000000019</v>
          </cell>
          <cell r="G846">
            <v>1660.61</v>
          </cell>
        </row>
        <row r="847">
          <cell r="B847">
            <v>843</v>
          </cell>
          <cell r="C847">
            <v>1929.1099999999781</v>
          </cell>
          <cell r="D847">
            <v>2700.75</v>
          </cell>
          <cell r="E847">
            <v>0</v>
          </cell>
          <cell r="F847">
            <v>1187.560000000002</v>
          </cell>
          <cell r="G847">
            <v>1662.58</v>
          </cell>
        </row>
        <row r="848">
          <cell r="B848">
            <v>844</v>
          </cell>
          <cell r="C848">
            <v>1931.399999999978</v>
          </cell>
          <cell r="D848">
            <v>2703.96</v>
          </cell>
          <cell r="E848">
            <v>0</v>
          </cell>
          <cell r="F848">
            <v>1188.9700000000021</v>
          </cell>
          <cell r="G848">
            <v>1664.56</v>
          </cell>
        </row>
        <row r="849">
          <cell r="B849">
            <v>845</v>
          </cell>
          <cell r="C849">
            <v>1933.689999999978</v>
          </cell>
          <cell r="D849">
            <v>2707.17</v>
          </cell>
          <cell r="E849">
            <v>0</v>
          </cell>
          <cell r="F849">
            <v>1190.3800000000022</v>
          </cell>
          <cell r="G849">
            <v>1666.53</v>
          </cell>
        </row>
        <row r="850">
          <cell r="B850">
            <v>846</v>
          </cell>
          <cell r="C850">
            <v>1935.979999999978</v>
          </cell>
          <cell r="D850">
            <v>2710.37</v>
          </cell>
          <cell r="E850">
            <v>0</v>
          </cell>
          <cell r="F850">
            <v>1191.7900000000022</v>
          </cell>
          <cell r="G850">
            <v>1668.51</v>
          </cell>
        </row>
        <row r="851">
          <cell r="B851">
            <v>847</v>
          </cell>
          <cell r="C851">
            <v>1938.2699999999779</v>
          </cell>
          <cell r="D851">
            <v>2713.58</v>
          </cell>
          <cell r="E851">
            <v>0</v>
          </cell>
          <cell r="F851">
            <v>1193.2000000000023</v>
          </cell>
          <cell r="G851">
            <v>1670.48</v>
          </cell>
        </row>
        <row r="852">
          <cell r="B852">
            <v>848</v>
          </cell>
          <cell r="C852">
            <v>1940.5599999999779</v>
          </cell>
          <cell r="D852">
            <v>2716.78</v>
          </cell>
          <cell r="E852">
            <v>0</v>
          </cell>
          <cell r="F852">
            <v>1194.6100000000024</v>
          </cell>
          <cell r="G852">
            <v>1672.45</v>
          </cell>
        </row>
        <row r="853">
          <cell r="B853">
            <v>849</v>
          </cell>
          <cell r="C853">
            <v>1942.8499999999779</v>
          </cell>
          <cell r="D853">
            <v>2719.99</v>
          </cell>
          <cell r="E853">
            <v>0</v>
          </cell>
          <cell r="F853">
            <v>1196.0200000000025</v>
          </cell>
          <cell r="G853">
            <v>1674.43</v>
          </cell>
        </row>
        <row r="854">
          <cell r="B854">
            <v>850</v>
          </cell>
          <cell r="C854">
            <v>1945.1399999999778</v>
          </cell>
          <cell r="D854">
            <v>2723.2</v>
          </cell>
          <cell r="E854">
            <v>0</v>
          </cell>
          <cell r="F854">
            <v>1197.4300000000026</v>
          </cell>
          <cell r="G854">
            <v>1676.4</v>
          </cell>
        </row>
        <row r="855">
          <cell r="B855">
            <v>851</v>
          </cell>
          <cell r="C855">
            <v>1947.4299999999778</v>
          </cell>
          <cell r="D855">
            <v>2726.4</v>
          </cell>
          <cell r="E855">
            <v>0</v>
          </cell>
          <cell r="F855">
            <v>1198.8400000000026</v>
          </cell>
          <cell r="G855">
            <v>1678.38</v>
          </cell>
        </row>
        <row r="856">
          <cell r="B856">
            <v>852</v>
          </cell>
          <cell r="C856">
            <v>1949.7199999999777</v>
          </cell>
          <cell r="D856">
            <v>2729.61</v>
          </cell>
          <cell r="E856">
            <v>0</v>
          </cell>
          <cell r="F856">
            <v>1200.2500000000027</v>
          </cell>
          <cell r="G856">
            <v>1680.35</v>
          </cell>
        </row>
        <row r="857">
          <cell r="B857">
            <v>853</v>
          </cell>
          <cell r="C857">
            <v>1952.0099999999777</v>
          </cell>
          <cell r="D857">
            <v>2732.81</v>
          </cell>
          <cell r="E857">
            <v>0</v>
          </cell>
          <cell r="F857">
            <v>1201.6600000000028</v>
          </cell>
          <cell r="G857">
            <v>1682.32</v>
          </cell>
        </row>
        <row r="858">
          <cell r="B858">
            <v>854</v>
          </cell>
          <cell r="C858">
            <v>1954.2999999999777</v>
          </cell>
          <cell r="D858">
            <v>2736.02</v>
          </cell>
          <cell r="E858">
            <v>0</v>
          </cell>
          <cell r="F858">
            <v>1203.0700000000029</v>
          </cell>
          <cell r="G858">
            <v>1684.3</v>
          </cell>
        </row>
        <row r="859">
          <cell r="B859">
            <v>855</v>
          </cell>
          <cell r="C859">
            <v>1956.5899999999776</v>
          </cell>
          <cell r="D859">
            <v>2739.23</v>
          </cell>
          <cell r="E859">
            <v>0</v>
          </cell>
          <cell r="F859">
            <v>1204.480000000003</v>
          </cell>
          <cell r="G859">
            <v>1686.27</v>
          </cell>
        </row>
        <row r="860">
          <cell r="B860">
            <v>856</v>
          </cell>
          <cell r="C860">
            <v>1958.8799999999776</v>
          </cell>
          <cell r="D860">
            <v>2742.43</v>
          </cell>
          <cell r="E860">
            <v>0</v>
          </cell>
          <cell r="F860">
            <v>1205.8900000000031</v>
          </cell>
          <cell r="G860">
            <v>1688.25</v>
          </cell>
        </row>
        <row r="861">
          <cell r="B861">
            <v>857</v>
          </cell>
          <cell r="C861">
            <v>1961.1699999999776</v>
          </cell>
          <cell r="D861">
            <v>2745.64</v>
          </cell>
          <cell r="E861">
            <v>0</v>
          </cell>
          <cell r="F861">
            <v>1207.3000000000031</v>
          </cell>
          <cell r="G861">
            <v>1690.22</v>
          </cell>
        </row>
        <row r="862">
          <cell r="B862">
            <v>858</v>
          </cell>
          <cell r="C862">
            <v>1963.4599999999775</v>
          </cell>
          <cell r="D862">
            <v>2748.84</v>
          </cell>
          <cell r="E862">
            <v>0</v>
          </cell>
          <cell r="F862">
            <v>1208.7100000000032</v>
          </cell>
          <cell r="G862">
            <v>1692.19</v>
          </cell>
        </row>
        <row r="863">
          <cell r="B863">
            <v>859</v>
          </cell>
          <cell r="C863">
            <v>1965.7499999999775</v>
          </cell>
          <cell r="D863">
            <v>2752.05</v>
          </cell>
          <cell r="E863">
            <v>0</v>
          </cell>
          <cell r="F863">
            <v>1210.1200000000033</v>
          </cell>
          <cell r="G863">
            <v>1694.17</v>
          </cell>
        </row>
        <row r="864">
          <cell r="B864">
            <v>860</v>
          </cell>
          <cell r="C864">
            <v>1968.0399999999775</v>
          </cell>
          <cell r="D864">
            <v>2755.26</v>
          </cell>
          <cell r="E864">
            <v>0</v>
          </cell>
          <cell r="F864">
            <v>1211.5300000000034</v>
          </cell>
          <cell r="G864">
            <v>1696.14</v>
          </cell>
        </row>
        <row r="865">
          <cell r="B865">
            <v>861</v>
          </cell>
          <cell r="C865">
            <v>1970.3299999999774</v>
          </cell>
          <cell r="D865">
            <v>2758.46</v>
          </cell>
          <cell r="E865">
            <v>0</v>
          </cell>
          <cell r="F865">
            <v>1212.9400000000035</v>
          </cell>
          <cell r="G865">
            <v>1698.12</v>
          </cell>
        </row>
        <row r="866">
          <cell r="B866">
            <v>862</v>
          </cell>
          <cell r="C866">
            <v>1972.6199999999774</v>
          </cell>
          <cell r="D866">
            <v>2761.67</v>
          </cell>
          <cell r="E866">
            <v>0</v>
          </cell>
          <cell r="F866">
            <v>1214.3500000000035</v>
          </cell>
          <cell r="G866">
            <v>1700.09</v>
          </cell>
        </row>
        <row r="867">
          <cell r="B867">
            <v>863</v>
          </cell>
          <cell r="C867">
            <v>1974.9099999999773</v>
          </cell>
          <cell r="D867">
            <v>2764.87</v>
          </cell>
          <cell r="E867">
            <v>0</v>
          </cell>
          <cell r="F867">
            <v>1215.7600000000036</v>
          </cell>
          <cell r="G867">
            <v>1702.06</v>
          </cell>
        </row>
        <row r="868">
          <cell r="B868">
            <v>864</v>
          </cell>
          <cell r="C868">
            <v>1977.1999999999773</v>
          </cell>
          <cell r="D868">
            <v>2768.08</v>
          </cell>
          <cell r="E868">
            <v>0</v>
          </cell>
          <cell r="F868">
            <v>1217.1700000000037</v>
          </cell>
          <cell r="G868">
            <v>1704.04</v>
          </cell>
        </row>
        <row r="869">
          <cell r="B869">
            <v>865</v>
          </cell>
          <cell r="C869">
            <v>1979.4899999999773</v>
          </cell>
          <cell r="D869">
            <v>2771.29</v>
          </cell>
          <cell r="E869">
            <v>0</v>
          </cell>
          <cell r="F869">
            <v>1218.5800000000038</v>
          </cell>
          <cell r="G869">
            <v>1706.01</v>
          </cell>
        </row>
        <row r="870">
          <cell r="B870">
            <v>866</v>
          </cell>
          <cell r="C870">
            <v>1981.7799999999772</v>
          </cell>
          <cell r="D870">
            <v>2774.49</v>
          </cell>
          <cell r="E870">
            <v>0</v>
          </cell>
          <cell r="F870">
            <v>1219.9900000000039</v>
          </cell>
          <cell r="G870">
            <v>1707.99</v>
          </cell>
        </row>
        <row r="871">
          <cell r="B871">
            <v>867</v>
          </cell>
          <cell r="C871">
            <v>1984.0699999999772</v>
          </cell>
          <cell r="D871">
            <v>2777.7</v>
          </cell>
          <cell r="E871">
            <v>0</v>
          </cell>
          <cell r="F871">
            <v>1221.400000000004</v>
          </cell>
          <cell r="G871">
            <v>1709.96</v>
          </cell>
        </row>
        <row r="872">
          <cell r="B872">
            <v>868</v>
          </cell>
          <cell r="C872">
            <v>1986.3599999999772</v>
          </cell>
          <cell r="D872">
            <v>2780.9</v>
          </cell>
          <cell r="E872">
            <v>0</v>
          </cell>
          <cell r="F872">
            <v>1222.810000000004</v>
          </cell>
          <cell r="G872">
            <v>1711.93</v>
          </cell>
        </row>
        <row r="873">
          <cell r="B873">
            <v>869</v>
          </cell>
          <cell r="C873">
            <v>1988.6499999999771</v>
          </cell>
          <cell r="D873">
            <v>2784.11</v>
          </cell>
          <cell r="E873">
            <v>0</v>
          </cell>
          <cell r="F873">
            <v>1224.2200000000041</v>
          </cell>
          <cell r="G873">
            <v>1713.91</v>
          </cell>
        </row>
        <row r="874">
          <cell r="B874">
            <v>870</v>
          </cell>
          <cell r="C874">
            <v>1990.9399999999771</v>
          </cell>
          <cell r="D874">
            <v>2787.32</v>
          </cell>
          <cell r="E874">
            <v>0</v>
          </cell>
          <cell r="F874">
            <v>1225.6300000000042</v>
          </cell>
          <cell r="G874">
            <v>1715.88</v>
          </cell>
        </row>
        <row r="875">
          <cell r="B875">
            <v>871</v>
          </cell>
          <cell r="C875">
            <v>1993.2299999999771</v>
          </cell>
          <cell r="D875">
            <v>2790.52</v>
          </cell>
          <cell r="E875">
            <v>0</v>
          </cell>
          <cell r="F875">
            <v>1227.0400000000043</v>
          </cell>
          <cell r="G875">
            <v>1717.86</v>
          </cell>
        </row>
        <row r="876">
          <cell r="B876">
            <v>872</v>
          </cell>
          <cell r="C876">
            <v>1995.519999999977</v>
          </cell>
          <cell r="D876">
            <v>2793.73</v>
          </cell>
          <cell r="E876">
            <v>0</v>
          </cell>
          <cell r="F876">
            <v>1228.4500000000044</v>
          </cell>
          <cell r="G876">
            <v>1719.83</v>
          </cell>
        </row>
        <row r="877">
          <cell r="B877">
            <v>873</v>
          </cell>
          <cell r="C877">
            <v>1997.809999999977</v>
          </cell>
          <cell r="D877">
            <v>2796.93</v>
          </cell>
          <cell r="E877">
            <v>0</v>
          </cell>
          <cell r="F877">
            <v>1229.8600000000044</v>
          </cell>
          <cell r="G877">
            <v>1721.8</v>
          </cell>
        </row>
        <row r="878">
          <cell r="B878">
            <v>874</v>
          </cell>
          <cell r="C878">
            <v>2000.0999999999769</v>
          </cell>
          <cell r="D878">
            <v>2800.14</v>
          </cell>
          <cell r="E878">
            <v>0</v>
          </cell>
          <cell r="F878">
            <v>1231.2700000000045</v>
          </cell>
          <cell r="G878">
            <v>1723.78</v>
          </cell>
        </row>
        <row r="879">
          <cell r="B879">
            <v>875</v>
          </cell>
          <cell r="C879">
            <v>2002.3899999999769</v>
          </cell>
          <cell r="D879">
            <v>2803.35</v>
          </cell>
          <cell r="E879">
            <v>0</v>
          </cell>
          <cell r="F879">
            <v>1232.6800000000046</v>
          </cell>
          <cell r="G879">
            <v>1725.75</v>
          </cell>
        </row>
        <row r="880">
          <cell r="B880">
            <v>876</v>
          </cell>
          <cell r="C880">
            <v>2004.6799999999769</v>
          </cell>
          <cell r="D880">
            <v>2806.55</v>
          </cell>
          <cell r="E880">
            <v>0</v>
          </cell>
          <cell r="F880">
            <v>1234.0900000000047</v>
          </cell>
          <cell r="G880">
            <v>1727.73</v>
          </cell>
        </row>
        <row r="881">
          <cell r="B881">
            <v>877</v>
          </cell>
          <cell r="C881">
            <v>2006.9699999999768</v>
          </cell>
          <cell r="D881">
            <v>2809.76</v>
          </cell>
          <cell r="E881">
            <v>0</v>
          </cell>
          <cell r="F881">
            <v>1235.5000000000048</v>
          </cell>
          <cell r="G881">
            <v>1729.7</v>
          </cell>
        </row>
        <row r="882">
          <cell r="B882">
            <v>878</v>
          </cell>
          <cell r="C882">
            <v>2009.2599999999768</v>
          </cell>
          <cell r="D882">
            <v>2812.96</v>
          </cell>
          <cell r="E882">
            <v>0</v>
          </cell>
          <cell r="F882">
            <v>1236.9100000000049</v>
          </cell>
          <cell r="G882">
            <v>1731.67</v>
          </cell>
        </row>
        <row r="883">
          <cell r="B883">
            <v>879</v>
          </cell>
          <cell r="C883">
            <v>2011.5499999999768</v>
          </cell>
          <cell r="D883">
            <v>2816.17</v>
          </cell>
          <cell r="E883">
            <v>0</v>
          </cell>
          <cell r="F883">
            <v>1238.3200000000049</v>
          </cell>
          <cell r="G883">
            <v>1733.65</v>
          </cell>
        </row>
        <row r="884">
          <cell r="B884">
            <v>880</v>
          </cell>
          <cell r="C884">
            <v>2013.8399999999767</v>
          </cell>
          <cell r="D884">
            <v>2819.38</v>
          </cell>
          <cell r="E884">
            <v>0</v>
          </cell>
          <cell r="F884">
            <v>1239.730000000005</v>
          </cell>
          <cell r="G884">
            <v>1735.62</v>
          </cell>
        </row>
        <row r="885">
          <cell r="B885">
            <v>881</v>
          </cell>
          <cell r="C885">
            <v>2016.1299999999767</v>
          </cell>
          <cell r="D885">
            <v>2822.58</v>
          </cell>
          <cell r="E885">
            <v>0</v>
          </cell>
          <cell r="F885">
            <v>1241.1400000000051</v>
          </cell>
          <cell r="G885">
            <v>1737.6</v>
          </cell>
        </row>
        <row r="886">
          <cell r="B886">
            <v>882</v>
          </cell>
          <cell r="C886">
            <v>2018.4199999999767</v>
          </cell>
          <cell r="D886">
            <v>2825.79</v>
          </cell>
          <cell r="E886">
            <v>0</v>
          </cell>
          <cell r="F886">
            <v>1242.5500000000052</v>
          </cell>
          <cell r="G886">
            <v>1739.57</v>
          </cell>
        </row>
        <row r="887">
          <cell r="B887">
            <v>883</v>
          </cell>
          <cell r="C887">
            <v>2020.7099999999766</v>
          </cell>
          <cell r="D887">
            <v>2828.99</v>
          </cell>
          <cell r="E887">
            <v>0</v>
          </cell>
          <cell r="F887">
            <v>1243.9600000000053</v>
          </cell>
          <cell r="G887">
            <v>1741.54</v>
          </cell>
        </row>
        <row r="888">
          <cell r="B888">
            <v>884</v>
          </cell>
          <cell r="C888">
            <v>2022.9999999999766</v>
          </cell>
          <cell r="D888">
            <v>2832.2</v>
          </cell>
          <cell r="E888">
            <v>0</v>
          </cell>
          <cell r="F888">
            <v>1245.3700000000053</v>
          </cell>
          <cell r="G888">
            <v>1743.52</v>
          </cell>
        </row>
        <row r="889">
          <cell r="B889">
            <v>885</v>
          </cell>
          <cell r="C889">
            <v>2025.2899999999765</v>
          </cell>
          <cell r="D889">
            <v>2835.41</v>
          </cell>
          <cell r="E889">
            <v>0</v>
          </cell>
          <cell r="F889">
            <v>1246.7800000000054</v>
          </cell>
          <cell r="G889">
            <v>1745.49</v>
          </cell>
        </row>
        <row r="890">
          <cell r="B890">
            <v>886</v>
          </cell>
          <cell r="C890">
            <v>2027.5799999999765</v>
          </cell>
          <cell r="D890">
            <v>2838.61</v>
          </cell>
          <cell r="E890">
            <v>0</v>
          </cell>
          <cell r="F890">
            <v>1248.1900000000055</v>
          </cell>
          <cell r="G890">
            <v>1747.47</v>
          </cell>
        </row>
        <row r="891">
          <cell r="B891">
            <v>887</v>
          </cell>
          <cell r="C891">
            <v>2029.8699999999765</v>
          </cell>
          <cell r="D891">
            <v>2841.82</v>
          </cell>
          <cell r="E891">
            <v>0</v>
          </cell>
          <cell r="F891">
            <v>1249.6000000000056</v>
          </cell>
          <cell r="G891">
            <v>1749.44</v>
          </cell>
        </row>
        <row r="892">
          <cell r="B892">
            <v>888</v>
          </cell>
          <cell r="C892">
            <v>2032.1599999999764</v>
          </cell>
          <cell r="D892">
            <v>2845.02</v>
          </cell>
          <cell r="E892">
            <v>0</v>
          </cell>
          <cell r="F892">
            <v>1251.0100000000057</v>
          </cell>
          <cell r="G892">
            <v>1751.41</v>
          </cell>
        </row>
        <row r="893">
          <cell r="B893">
            <v>889</v>
          </cell>
          <cell r="C893">
            <v>2034.4499999999764</v>
          </cell>
          <cell r="D893">
            <v>2848.23</v>
          </cell>
          <cell r="E893">
            <v>0</v>
          </cell>
          <cell r="F893">
            <v>1252.4200000000058</v>
          </cell>
          <cell r="G893">
            <v>1753.39</v>
          </cell>
        </row>
        <row r="894">
          <cell r="B894">
            <v>890</v>
          </cell>
          <cell r="C894">
            <v>2036.7399999999764</v>
          </cell>
          <cell r="D894">
            <v>2851.44</v>
          </cell>
          <cell r="E894">
            <v>0</v>
          </cell>
          <cell r="F894">
            <v>1253.8300000000058</v>
          </cell>
          <cell r="G894">
            <v>1755.36</v>
          </cell>
        </row>
        <row r="895">
          <cell r="B895">
            <v>891</v>
          </cell>
          <cell r="C895">
            <v>2039.0299999999763</v>
          </cell>
          <cell r="D895">
            <v>2854.64</v>
          </cell>
          <cell r="E895">
            <v>0</v>
          </cell>
          <cell r="F895">
            <v>1255.2400000000059</v>
          </cell>
          <cell r="G895">
            <v>1757.34</v>
          </cell>
        </row>
        <row r="896">
          <cell r="B896">
            <v>892</v>
          </cell>
          <cell r="C896">
            <v>2041.3199999999763</v>
          </cell>
          <cell r="D896">
            <v>2857.85</v>
          </cell>
          <cell r="E896">
            <v>0</v>
          </cell>
          <cell r="F896">
            <v>1256.650000000006</v>
          </cell>
          <cell r="G896">
            <v>1759.31</v>
          </cell>
        </row>
        <row r="897">
          <cell r="B897">
            <v>893</v>
          </cell>
          <cell r="C897">
            <v>2043.6099999999763</v>
          </cell>
          <cell r="D897">
            <v>2861.05</v>
          </cell>
          <cell r="E897">
            <v>0</v>
          </cell>
          <cell r="F897">
            <v>1258.0600000000061</v>
          </cell>
          <cell r="G897">
            <v>1761.28</v>
          </cell>
        </row>
        <row r="898">
          <cell r="B898">
            <v>894</v>
          </cell>
          <cell r="C898">
            <v>2045.8999999999762</v>
          </cell>
          <cell r="D898">
            <v>2864.26</v>
          </cell>
          <cell r="E898">
            <v>0</v>
          </cell>
          <cell r="F898">
            <v>1259.4700000000062</v>
          </cell>
          <cell r="G898">
            <v>1763.26</v>
          </cell>
        </row>
        <row r="899">
          <cell r="B899">
            <v>895</v>
          </cell>
          <cell r="C899">
            <v>2048.1899999999764</v>
          </cell>
          <cell r="D899">
            <v>2867.47</v>
          </cell>
          <cell r="E899">
            <v>0</v>
          </cell>
          <cell r="F899">
            <v>1260.8800000000062</v>
          </cell>
          <cell r="G899">
            <v>1765.23</v>
          </cell>
        </row>
        <row r="900">
          <cell r="B900">
            <v>896</v>
          </cell>
          <cell r="C900">
            <v>2050.4799999999764</v>
          </cell>
          <cell r="D900">
            <v>2870.67</v>
          </cell>
          <cell r="E900">
            <v>0</v>
          </cell>
          <cell r="F900">
            <v>1262.2900000000063</v>
          </cell>
          <cell r="G900">
            <v>1767.21</v>
          </cell>
        </row>
        <row r="901">
          <cell r="B901">
            <v>897</v>
          </cell>
          <cell r="C901">
            <v>2052.7699999999763</v>
          </cell>
          <cell r="D901">
            <v>2873.88</v>
          </cell>
          <cell r="E901">
            <v>0</v>
          </cell>
          <cell r="F901">
            <v>1263.7000000000064</v>
          </cell>
          <cell r="G901">
            <v>1769.18</v>
          </cell>
        </row>
        <row r="902">
          <cell r="B902">
            <v>898</v>
          </cell>
          <cell r="C902">
            <v>2055.0599999999763</v>
          </cell>
          <cell r="D902">
            <v>2877.08</v>
          </cell>
          <cell r="E902">
            <v>0</v>
          </cell>
          <cell r="F902">
            <v>1265.1100000000065</v>
          </cell>
          <cell r="G902">
            <v>1771.15</v>
          </cell>
        </row>
        <row r="903">
          <cell r="B903">
            <v>899</v>
          </cell>
          <cell r="C903">
            <v>2057.3499999999763</v>
          </cell>
          <cell r="D903">
            <v>2880.29</v>
          </cell>
          <cell r="E903">
            <v>0</v>
          </cell>
          <cell r="F903">
            <v>1266.5200000000066</v>
          </cell>
          <cell r="G903">
            <v>1773.13</v>
          </cell>
        </row>
        <row r="904">
          <cell r="B904">
            <v>900</v>
          </cell>
          <cell r="C904">
            <v>2059.6399999999762</v>
          </cell>
          <cell r="D904">
            <v>2883.5</v>
          </cell>
          <cell r="E904">
            <v>0</v>
          </cell>
          <cell r="F904">
            <v>1267.9300000000067</v>
          </cell>
          <cell r="G904">
            <v>1775.1</v>
          </cell>
        </row>
        <row r="905">
          <cell r="B905">
            <v>901</v>
          </cell>
          <cell r="C905">
            <v>2061.9299999999762</v>
          </cell>
          <cell r="D905">
            <v>2886.7</v>
          </cell>
          <cell r="E905">
            <v>0</v>
          </cell>
          <cell r="F905">
            <v>1269.3400000000067</v>
          </cell>
          <cell r="G905">
            <v>1777.08</v>
          </cell>
        </row>
        <row r="906">
          <cell r="B906">
            <v>902</v>
          </cell>
          <cell r="C906">
            <v>2064.2199999999762</v>
          </cell>
          <cell r="D906">
            <v>2889.91</v>
          </cell>
          <cell r="E906">
            <v>0</v>
          </cell>
          <cell r="F906">
            <v>1270.7500000000068</v>
          </cell>
          <cell r="G906">
            <v>1779.05</v>
          </cell>
        </row>
        <row r="907">
          <cell r="B907">
            <v>903</v>
          </cell>
          <cell r="C907">
            <v>2066.5099999999761</v>
          </cell>
          <cell r="D907">
            <v>2893.11</v>
          </cell>
          <cell r="E907">
            <v>0</v>
          </cell>
          <cell r="F907">
            <v>1272.1600000000069</v>
          </cell>
          <cell r="G907">
            <v>1781.02</v>
          </cell>
        </row>
        <row r="908">
          <cell r="B908">
            <v>904</v>
          </cell>
          <cell r="C908">
            <v>2068.7999999999761</v>
          </cell>
          <cell r="D908">
            <v>2896.32</v>
          </cell>
          <cell r="E908">
            <v>0</v>
          </cell>
          <cell r="F908">
            <v>1273.570000000007</v>
          </cell>
          <cell r="G908">
            <v>1783</v>
          </cell>
        </row>
        <row r="909">
          <cell r="B909">
            <v>905</v>
          </cell>
          <cell r="C909">
            <v>2071.089999999976</v>
          </cell>
          <cell r="D909">
            <v>2899.53</v>
          </cell>
          <cell r="E909">
            <v>0</v>
          </cell>
          <cell r="F909">
            <v>1274.9800000000071</v>
          </cell>
          <cell r="G909">
            <v>1784.97</v>
          </cell>
        </row>
        <row r="910">
          <cell r="B910">
            <v>906</v>
          </cell>
          <cell r="C910">
            <v>2073.379999999976</v>
          </cell>
          <cell r="D910">
            <v>2902.73</v>
          </cell>
          <cell r="E910">
            <v>0</v>
          </cell>
          <cell r="F910">
            <v>1276.3900000000071</v>
          </cell>
          <cell r="G910">
            <v>1786.95</v>
          </cell>
        </row>
        <row r="911">
          <cell r="B911">
            <v>907</v>
          </cell>
          <cell r="C911">
            <v>2075.669999999976</v>
          </cell>
          <cell r="D911">
            <v>2905.94</v>
          </cell>
          <cell r="E911">
            <v>0</v>
          </cell>
          <cell r="F911">
            <v>1277.8000000000072</v>
          </cell>
          <cell r="G911">
            <v>1788.92</v>
          </cell>
        </row>
        <row r="912">
          <cell r="B912">
            <v>908</v>
          </cell>
          <cell r="C912">
            <v>2077.9599999999759</v>
          </cell>
          <cell r="D912">
            <v>2909.14</v>
          </cell>
          <cell r="E912">
            <v>0</v>
          </cell>
          <cell r="F912">
            <v>1279.2100000000073</v>
          </cell>
          <cell r="G912">
            <v>1790.89</v>
          </cell>
        </row>
        <row r="913">
          <cell r="B913">
            <v>909</v>
          </cell>
          <cell r="C913">
            <v>2080.2499999999759</v>
          </cell>
          <cell r="D913">
            <v>2912.35</v>
          </cell>
          <cell r="E913">
            <v>0</v>
          </cell>
          <cell r="F913">
            <v>1280.6200000000074</v>
          </cell>
          <cell r="G913">
            <v>1792.87</v>
          </cell>
        </row>
        <row r="914">
          <cell r="B914">
            <v>910</v>
          </cell>
          <cell r="C914">
            <v>2082.5399999999759</v>
          </cell>
          <cell r="D914">
            <v>2915.56</v>
          </cell>
          <cell r="E914">
            <v>0</v>
          </cell>
          <cell r="F914">
            <v>1282.0300000000075</v>
          </cell>
          <cell r="G914">
            <v>1794.84</v>
          </cell>
        </row>
        <row r="915">
          <cell r="B915">
            <v>911</v>
          </cell>
          <cell r="C915">
            <v>2084.8299999999758</v>
          </cell>
          <cell r="D915">
            <v>2918.76</v>
          </cell>
          <cell r="E915">
            <v>0</v>
          </cell>
          <cell r="F915">
            <v>1283.4400000000076</v>
          </cell>
          <cell r="G915">
            <v>1796.82</v>
          </cell>
        </row>
        <row r="916">
          <cell r="B916">
            <v>912</v>
          </cell>
          <cell r="C916">
            <v>2087.1199999999758</v>
          </cell>
          <cell r="D916">
            <v>2921.97</v>
          </cell>
          <cell r="E916">
            <v>0</v>
          </cell>
          <cell r="F916">
            <v>1284.8500000000076</v>
          </cell>
          <cell r="G916">
            <v>1798.79</v>
          </cell>
        </row>
        <row r="917">
          <cell r="B917">
            <v>913</v>
          </cell>
          <cell r="C917">
            <v>2089.4099999999758</v>
          </cell>
          <cell r="D917">
            <v>2925.17</v>
          </cell>
          <cell r="E917">
            <v>0</v>
          </cell>
          <cell r="F917">
            <v>1286.2600000000077</v>
          </cell>
          <cell r="G917">
            <v>1800.76</v>
          </cell>
        </row>
        <row r="918">
          <cell r="B918">
            <v>914</v>
          </cell>
          <cell r="C918">
            <v>2091.6999999999757</v>
          </cell>
          <cell r="D918">
            <v>2928.38</v>
          </cell>
          <cell r="E918">
            <v>0</v>
          </cell>
          <cell r="F918">
            <v>1287.6700000000078</v>
          </cell>
          <cell r="G918">
            <v>1802.74</v>
          </cell>
        </row>
        <row r="919">
          <cell r="B919">
            <v>915</v>
          </cell>
          <cell r="C919">
            <v>2093.9899999999757</v>
          </cell>
          <cell r="D919">
            <v>2931.59</v>
          </cell>
          <cell r="E919">
            <v>0</v>
          </cell>
          <cell r="F919">
            <v>1289.0800000000079</v>
          </cell>
          <cell r="G919">
            <v>1804.71</v>
          </cell>
        </row>
        <row r="920">
          <cell r="B920">
            <v>916</v>
          </cell>
          <cell r="C920">
            <v>2096.2799999999756</v>
          </cell>
          <cell r="D920">
            <v>2934.79</v>
          </cell>
          <cell r="E920">
            <v>0</v>
          </cell>
          <cell r="F920">
            <v>1290.490000000008</v>
          </cell>
          <cell r="G920">
            <v>1806.69</v>
          </cell>
        </row>
        <row r="921">
          <cell r="B921">
            <v>917</v>
          </cell>
          <cell r="C921">
            <v>2098.5699999999756</v>
          </cell>
          <cell r="D921">
            <v>2938</v>
          </cell>
          <cell r="E921">
            <v>0</v>
          </cell>
          <cell r="F921">
            <v>1291.900000000008</v>
          </cell>
          <cell r="G921">
            <v>1808.66</v>
          </cell>
        </row>
        <row r="922">
          <cell r="B922">
            <v>918</v>
          </cell>
          <cell r="C922">
            <v>2100.8599999999756</v>
          </cell>
          <cell r="D922">
            <v>2941.2</v>
          </cell>
          <cell r="E922">
            <v>0</v>
          </cell>
          <cell r="F922">
            <v>1293.3100000000081</v>
          </cell>
          <cell r="G922">
            <v>1810.63</v>
          </cell>
        </row>
        <row r="923">
          <cell r="B923">
            <v>919</v>
          </cell>
          <cell r="C923">
            <v>2103.1499999999755</v>
          </cell>
          <cell r="D923">
            <v>2944.41</v>
          </cell>
          <cell r="E923">
            <v>0</v>
          </cell>
          <cell r="F923">
            <v>1294.7200000000082</v>
          </cell>
          <cell r="G923">
            <v>1812.61</v>
          </cell>
        </row>
        <row r="924">
          <cell r="B924">
            <v>920</v>
          </cell>
          <cell r="C924">
            <v>2105.4399999999755</v>
          </cell>
          <cell r="D924">
            <v>2947.62</v>
          </cell>
          <cell r="E924">
            <v>0</v>
          </cell>
          <cell r="F924">
            <v>1296.1300000000083</v>
          </cell>
          <cell r="G924">
            <v>1814.58</v>
          </cell>
        </row>
        <row r="925">
          <cell r="B925">
            <v>921</v>
          </cell>
          <cell r="C925">
            <v>2107.7299999999755</v>
          </cell>
          <cell r="D925">
            <v>2950.82</v>
          </cell>
          <cell r="E925">
            <v>0</v>
          </cell>
          <cell r="F925">
            <v>1297.5400000000084</v>
          </cell>
          <cell r="G925">
            <v>1816.56</v>
          </cell>
        </row>
        <row r="926">
          <cell r="B926">
            <v>922</v>
          </cell>
          <cell r="C926">
            <v>2110.0199999999754</v>
          </cell>
          <cell r="D926">
            <v>2954.03</v>
          </cell>
          <cell r="E926">
            <v>0</v>
          </cell>
          <cell r="F926">
            <v>1298.9500000000085</v>
          </cell>
          <cell r="G926">
            <v>1818.53</v>
          </cell>
        </row>
        <row r="927">
          <cell r="B927">
            <v>923</v>
          </cell>
          <cell r="C927">
            <v>2112.3099999999754</v>
          </cell>
          <cell r="D927">
            <v>2957.23</v>
          </cell>
          <cell r="E927">
            <v>0</v>
          </cell>
          <cell r="F927">
            <v>1300.3600000000085</v>
          </cell>
          <cell r="G927">
            <v>1820.5</v>
          </cell>
        </row>
        <row r="928">
          <cell r="B928">
            <v>924</v>
          </cell>
          <cell r="C928">
            <v>2114.5999999999754</v>
          </cell>
          <cell r="D928">
            <v>2960.44</v>
          </cell>
          <cell r="E928">
            <v>0</v>
          </cell>
          <cell r="F928">
            <v>1301.7700000000086</v>
          </cell>
          <cell r="G928">
            <v>1822.48</v>
          </cell>
        </row>
        <row r="929">
          <cell r="B929">
            <v>925</v>
          </cell>
          <cell r="C929">
            <v>2116.8899999999753</v>
          </cell>
          <cell r="D929">
            <v>2963.65</v>
          </cell>
          <cell r="E929">
            <v>0</v>
          </cell>
          <cell r="F929">
            <v>1303.1800000000087</v>
          </cell>
          <cell r="G929">
            <v>1824.45</v>
          </cell>
        </row>
        <row r="930">
          <cell r="B930">
            <v>926</v>
          </cell>
          <cell r="C930">
            <v>2119.1799999999753</v>
          </cell>
          <cell r="D930">
            <v>2966.85</v>
          </cell>
          <cell r="E930">
            <v>0</v>
          </cell>
          <cell r="F930">
            <v>1304.5900000000088</v>
          </cell>
          <cell r="G930">
            <v>1826.43</v>
          </cell>
        </row>
        <row r="931">
          <cell r="B931">
            <v>927</v>
          </cell>
          <cell r="C931">
            <v>2121.4699999999752</v>
          </cell>
          <cell r="D931">
            <v>2970.06</v>
          </cell>
          <cell r="E931">
            <v>0</v>
          </cell>
          <cell r="F931">
            <v>1306.0000000000089</v>
          </cell>
          <cell r="G931">
            <v>1828.4</v>
          </cell>
        </row>
        <row r="932">
          <cell r="B932">
            <v>928</v>
          </cell>
          <cell r="C932">
            <v>2123.7599999999752</v>
          </cell>
          <cell r="D932">
            <v>2973.26</v>
          </cell>
          <cell r="E932">
            <v>0</v>
          </cell>
          <cell r="F932">
            <v>1307.4100000000089</v>
          </cell>
          <cell r="G932">
            <v>1830.37</v>
          </cell>
        </row>
        <row r="933">
          <cell r="B933">
            <v>929</v>
          </cell>
          <cell r="C933">
            <v>2126.0499999999752</v>
          </cell>
          <cell r="D933">
            <v>2976.47</v>
          </cell>
          <cell r="E933">
            <v>0</v>
          </cell>
          <cell r="F933">
            <v>1308.820000000009</v>
          </cell>
          <cell r="G933">
            <v>1832.35</v>
          </cell>
        </row>
        <row r="934">
          <cell r="B934">
            <v>930</v>
          </cell>
          <cell r="C934">
            <v>2128.3399999999751</v>
          </cell>
          <cell r="D934">
            <v>2979.68</v>
          </cell>
          <cell r="E934">
            <v>0</v>
          </cell>
          <cell r="F934">
            <v>1310.2300000000091</v>
          </cell>
          <cell r="G934">
            <v>1834.32</v>
          </cell>
        </row>
        <row r="935">
          <cell r="B935">
            <v>931</v>
          </cell>
          <cell r="C935">
            <v>2130.6299999999751</v>
          </cell>
          <cell r="D935">
            <v>2982.88</v>
          </cell>
          <cell r="E935">
            <v>0</v>
          </cell>
          <cell r="F935">
            <v>1311.6400000000092</v>
          </cell>
          <cell r="G935">
            <v>1836.3</v>
          </cell>
        </row>
        <row r="936">
          <cell r="B936">
            <v>932</v>
          </cell>
          <cell r="C936">
            <v>2132.9199999999751</v>
          </cell>
          <cell r="D936">
            <v>2986.09</v>
          </cell>
          <cell r="E936">
            <v>0</v>
          </cell>
          <cell r="F936">
            <v>1313.0500000000093</v>
          </cell>
          <cell r="G936">
            <v>1838.27</v>
          </cell>
        </row>
        <row r="937">
          <cell r="B937">
            <v>933</v>
          </cell>
          <cell r="C937">
            <v>2135.209999999975</v>
          </cell>
          <cell r="D937">
            <v>2989.29</v>
          </cell>
          <cell r="E937">
            <v>0</v>
          </cell>
          <cell r="F937">
            <v>1314.4600000000094</v>
          </cell>
          <cell r="G937">
            <v>1840.24</v>
          </cell>
        </row>
        <row r="938">
          <cell r="B938">
            <v>934</v>
          </cell>
          <cell r="C938">
            <v>2137.499999999975</v>
          </cell>
          <cell r="D938">
            <v>2992.5</v>
          </cell>
          <cell r="E938">
            <v>0</v>
          </cell>
          <cell r="F938">
            <v>1315.8700000000094</v>
          </cell>
          <cell r="G938">
            <v>1842.22</v>
          </cell>
        </row>
        <row r="939">
          <cell r="B939">
            <v>935</v>
          </cell>
          <cell r="C939">
            <v>2139.789999999975</v>
          </cell>
          <cell r="D939">
            <v>2995.71</v>
          </cell>
          <cell r="E939">
            <v>0</v>
          </cell>
          <cell r="F939">
            <v>1317.2800000000095</v>
          </cell>
          <cell r="G939">
            <v>1844.19</v>
          </cell>
        </row>
        <row r="940">
          <cell r="B940">
            <v>936</v>
          </cell>
          <cell r="C940">
            <v>2142.0799999999749</v>
          </cell>
          <cell r="D940">
            <v>2998.91</v>
          </cell>
          <cell r="E940">
            <v>0</v>
          </cell>
          <cell r="F940">
            <v>1318.6900000000096</v>
          </cell>
          <cell r="G940">
            <v>1846.17</v>
          </cell>
        </row>
        <row r="941">
          <cell r="B941">
            <v>937</v>
          </cell>
          <cell r="C941">
            <v>2144.3699999999749</v>
          </cell>
          <cell r="D941">
            <v>3002.12</v>
          </cell>
          <cell r="E941">
            <v>0</v>
          </cell>
          <cell r="F941">
            <v>1320.1000000000097</v>
          </cell>
          <cell r="G941">
            <v>1848.14</v>
          </cell>
        </row>
        <row r="942">
          <cell r="B942">
            <v>938</v>
          </cell>
          <cell r="C942">
            <v>2146.6599999999748</v>
          </cell>
          <cell r="D942">
            <v>3005.32</v>
          </cell>
          <cell r="E942">
            <v>0</v>
          </cell>
          <cell r="F942">
            <v>1321.5100000000098</v>
          </cell>
          <cell r="G942">
            <v>1850.11</v>
          </cell>
        </row>
        <row r="943">
          <cell r="B943">
            <v>939</v>
          </cell>
          <cell r="C943">
            <v>2148.9499999999748</v>
          </cell>
          <cell r="D943">
            <v>3008.53</v>
          </cell>
          <cell r="E943">
            <v>0</v>
          </cell>
          <cell r="F943">
            <v>1322.9200000000098</v>
          </cell>
          <cell r="G943">
            <v>1852.09</v>
          </cell>
        </row>
        <row r="944">
          <cell r="B944">
            <v>940</v>
          </cell>
          <cell r="C944">
            <v>2151.2399999999748</v>
          </cell>
          <cell r="D944">
            <v>3011.74</v>
          </cell>
          <cell r="E944">
            <v>0</v>
          </cell>
          <cell r="F944">
            <v>1324.3300000000099</v>
          </cell>
          <cell r="G944">
            <v>1854.06</v>
          </cell>
        </row>
        <row r="945">
          <cell r="B945">
            <v>941</v>
          </cell>
          <cell r="C945">
            <v>2153.5299999999747</v>
          </cell>
          <cell r="D945">
            <v>3014.94</v>
          </cell>
          <cell r="E945">
            <v>0</v>
          </cell>
          <cell r="F945">
            <v>1325.74000000001</v>
          </cell>
          <cell r="G945">
            <v>1856.04</v>
          </cell>
        </row>
        <row r="946">
          <cell r="B946">
            <v>942</v>
          </cell>
          <cell r="C946">
            <v>2155.8199999999747</v>
          </cell>
          <cell r="D946">
            <v>3018.15</v>
          </cell>
          <cell r="E946">
            <v>0</v>
          </cell>
          <cell r="F946">
            <v>1327.1500000000101</v>
          </cell>
          <cell r="G946">
            <v>1858.01</v>
          </cell>
        </row>
        <row r="947">
          <cell r="B947">
            <v>943</v>
          </cell>
          <cell r="C947">
            <v>2158.1099999999747</v>
          </cell>
          <cell r="D947">
            <v>3021.35</v>
          </cell>
          <cell r="E947">
            <v>0</v>
          </cell>
          <cell r="F947">
            <v>1328.5600000000102</v>
          </cell>
          <cell r="G947">
            <v>1859.98</v>
          </cell>
        </row>
        <row r="948">
          <cell r="B948">
            <v>944</v>
          </cell>
          <cell r="C948">
            <v>2160.3999999999746</v>
          </cell>
          <cell r="D948">
            <v>3024.56</v>
          </cell>
          <cell r="E948">
            <v>0</v>
          </cell>
          <cell r="F948">
            <v>1329.9700000000103</v>
          </cell>
          <cell r="G948">
            <v>1861.96</v>
          </cell>
        </row>
        <row r="949">
          <cell r="B949">
            <v>945</v>
          </cell>
          <cell r="C949">
            <v>2162.6899999999746</v>
          </cell>
          <cell r="D949">
            <v>3027.77</v>
          </cell>
          <cell r="E949">
            <v>0</v>
          </cell>
          <cell r="F949">
            <v>1331.3800000000103</v>
          </cell>
          <cell r="G949">
            <v>1863.93</v>
          </cell>
        </row>
        <row r="950">
          <cell r="B950">
            <v>946</v>
          </cell>
          <cell r="C950">
            <v>2164.9799999999746</v>
          </cell>
          <cell r="D950">
            <v>3030.97</v>
          </cell>
          <cell r="E950">
            <v>0</v>
          </cell>
          <cell r="F950">
            <v>1332.7900000000104</v>
          </cell>
          <cell r="G950">
            <v>1865.91</v>
          </cell>
        </row>
        <row r="951">
          <cell r="B951">
            <v>947</v>
          </cell>
          <cell r="C951">
            <v>2167.2699999999745</v>
          </cell>
          <cell r="D951">
            <v>3034.18</v>
          </cell>
          <cell r="E951">
            <v>0</v>
          </cell>
          <cell r="F951">
            <v>1334.2000000000105</v>
          </cell>
          <cell r="G951">
            <v>1867.88</v>
          </cell>
        </row>
        <row r="952">
          <cell r="B952">
            <v>948</v>
          </cell>
          <cell r="C952">
            <v>2169.5599999999745</v>
          </cell>
          <cell r="D952">
            <v>3037.38</v>
          </cell>
          <cell r="E952">
            <v>0</v>
          </cell>
          <cell r="F952">
            <v>1335.6100000000106</v>
          </cell>
          <cell r="G952">
            <v>1869.85</v>
          </cell>
        </row>
        <row r="953">
          <cell r="B953">
            <v>949</v>
          </cell>
          <cell r="C953">
            <v>2171.8499999999744</v>
          </cell>
          <cell r="D953">
            <v>3040.59</v>
          </cell>
          <cell r="E953">
            <v>0</v>
          </cell>
          <cell r="F953">
            <v>1337.0200000000107</v>
          </cell>
          <cell r="G953">
            <v>1871.83</v>
          </cell>
        </row>
        <row r="954">
          <cell r="B954">
            <v>950</v>
          </cell>
          <cell r="C954">
            <v>2174.1399999999744</v>
          </cell>
          <cell r="D954">
            <v>3043.8</v>
          </cell>
          <cell r="E954">
            <v>0</v>
          </cell>
          <cell r="F954">
            <v>1338.4300000000108</v>
          </cell>
          <cell r="G954">
            <v>1873.8</v>
          </cell>
        </row>
        <row r="955">
          <cell r="B955">
            <v>951</v>
          </cell>
          <cell r="C955">
            <v>2176.4299999999744</v>
          </cell>
          <cell r="D955">
            <v>3047</v>
          </cell>
          <cell r="E955">
            <v>0</v>
          </cell>
          <cell r="F955">
            <v>1339.8400000000108</v>
          </cell>
          <cell r="G955">
            <v>1875.78</v>
          </cell>
        </row>
        <row r="956">
          <cell r="B956">
            <v>952</v>
          </cell>
          <cell r="C956">
            <v>2178.7199999999743</v>
          </cell>
          <cell r="D956">
            <v>3050.21</v>
          </cell>
          <cell r="E956">
            <v>0</v>
          </cell>
          <cell r="F956">
            <v>1341.2500000000109</v>
          </cell>
          <cell r="G956">
            <v>1877.75</v>
          </cell>
        </row>
        <row r="957">
          <cell r="B957">
            <v>953</v>
          </cell>
          <cell r="C957">
            <v>2181.0099999999743</v>
          </cell>
          <cell r="D957">
            <v>3053.41</v>
          </cell>
          <cell r="E957">
            <v>0</v>
          </cell>
          <cell r="F957">
            <v>1342.660000000011</v>
          </cell>
          <cell r="G957">
            <v>1879.72</v>
          </cell>
        </row>
        <row r="958">
          <cell r="B958">
            <v>954</v>
          </cell>
          <cell r="C958">
            <v>2183.2999999999743</v>
          </cell>
          <cell r="D958">
            <v>3056.62</v>
          </cell>
          <cell r="E958">
            <v>0</v>
          </cell>
          <cell r="F958">
            <v>1344.0700000000111</v>
          </cell>
          <cell r="G958">
            <v>1881.7</v>
          </cell>
        </row>
        <row r="959">
          <cell r="B959">
            <v>955</v>
          </cell>
          <cell r="C959">
            <v>2185.5899999999742</v>
          </cell>
          <cell r="D959">
            <v>3059.83</v>
          </cell>
          <cell r="E959">
            <v>0</v>
          </cell>
          <cell r="F959">
            <v>1345.4800000000112</v>
          </cell>
          <cell r="G959">
            <v>1883.67</v>
          </cell>
        </row>
        <row r="960">
          <cell r="B960">
            <v>956</v>
          </cell>
          <cell r="C960">
            <v>2187.8799999999742</v>
          </cell>
          <cell r="D960">
            <v>3063.03</v>
          </cell>
          <cell r="E960">
            <v>0</v>
          </cell>
          <cell r="F960">
            <v>1346.8900000000112</v>
          </cell>
          <cell r="G960">
            <v>1885.65</v>
          </cell>
        </row>
        <row r="961">
          <cell r="B961">
            <v>957</v>
          </cell>
          <cell r="C961">
            <v>2190.1699999999742</v>
          </cell>
          <cell r="D961">
            <v>3066.24</v>
          </cell>
          <cell r="E961">
            <v>0</v>
          </cell>
          <cell r="F961">
            <v>1348.3000000000113</v>
          </cell>
          <cell r="G961">
            <v>1887.62</v>
          </cell>
        </row>
        <row r="962">
          <cell r="B962">
            <v>958</v>
          </cell>
          <cell r="C962">
            <v>2192.4599999999741</v>
          </cell>
          <cell r="D962">
            <v>3069.44</v>
          </cell>
          <cell r="E962">
            <v>0</v>
          </cell>
          <cell r="F962">
            <v>1349.7100000000114</v>
          </cell>
          <cell r="G962">
            <v>1889.59</v>
          </cell>
        </row>
        <row r="963">
          <cell r="B963">
            <v>959</v>
          </cell>
          <cell r="C963">
            <v>2194.7499999999741</v>
          </cell>
          <cell r="D963">
            <v>3072.65</v>
          </cell>
          <cell r="E963">
            <v>0</v>
          </cell>
          <cell r="F963">
            <v>1351.1200000000115</v>
          </cell>
          <cell r="G963">
            <v>1891.57</v>
          </cell>
        </row>
        <row r="964">
          <cell r="B964">
            <v>960</v>
          </cell>
          <cell r="C964">
            <v>2197.039999999974</v>
          </cell>
          <cell r="D964">
            <v>3075.86</v>
          </cell>
          <cell r="E964">
            <v>0</v>
          </cell>
          <cell r="F964">
            <v>1352.5300000000116</v>
          </cell>
          <cell r="G964">
            <v>1893.54</v>
          </cell>
        </row>
        <row r="965">
          <cell r="B965">
            <v>961</v>
          </cell>
          <cell r="C965">
            <v>2199.329999999974</v>
          </cell>
          <cell r="D965">
            <v>3079.06</v>
          </cell>
          <cell r="E965">
            <v>0</v>
          </cell>
          <cell r="F965">
            <v>1353.9400000000117</v>
          </cell>
          <cell r="G965">
            <v>1895.52</v>
          </cell>
        </row>
        <row r="966">
          <cell r="B966">
            <v>962</v>
          </cell>
          <cell r="C966">
            <v>2201.619999999974</v>
          </cell>
          <cell r="D966">
            <v>3082.27</v>
          </cell>
          <cell r="E966">
            <v>0</v>
          </cell>
          <cell r="F966">
            <v>1355.3500000000117</v>
          </cell>
          <cell r="G966">
            <v>1897.49</v>
          </cell>
        </row>
        <row r="967">
          <cell r="B967">
            <v>963</v>
          </cell>
          <cell r="C967">
            <v>2203.9099999999739</v>
          </cell>
          <cell r="D967">
            <v>3085.47</v>
          </cell>
          <cell r="E967">
            <v>0</v>
          </cell>
          <cell r="F967">
            <v>1356.7600000000118</v>
          </cell>
          <cell r="G967">
            <v>1899.46</v>
          </cell>
        </row>
        <row r="968">
          <cell r="B968">
            <v>964</v>
          </cell>
          <cell r="C968">
            <v>2206.1999999999739</v>
          </cell>
          <cell r="D968">
            <v>3088.68</v>
          </cell>
          <cell r="E968">
            <v>0</v>
          </cell>
          <cell r="F968">
            <v>1358.1700000000119</v>
          </cell>
          <cell r="G968">
            <v>1901.44</v>
          </cell>
        </row>
        <row r="969">
          <cell r="B969">
            <v>965</v>
          </cell>
          <cell r="C969">
            <v>2208.4899999999739</v>
          </cell>
          <cell r="D969">
            <v>3091.89</v>
          </cell>
          <cell r="E969">
            <v>0</v>
          </cell>
          <cell r="F969">
            <v>1359.580000000012</v>
          </cell>
          <cell r="G969">
            <v>1903.41</v>
          </cell>
        </row>
        <row r="970">
          <cell r="B970">
            <v>966</v>
          </cell>
          <cell r="C970">
            <v>2210.7799999999738</v>
          </cell>
          <cell r="D970">
            <v>3095.09</v>
          </cell>
          <cell r="E970">
            <v>0</v>
          </cell>
          <cell r="F970">
            <v>1360.9900000000121</v>
          </cell>
          <cell r="G970">
            <v>1905.39</v>
          </cell>
        </row>
        <row r="971">
          <cell r="B971">
            <v>967</v>
          </cell>
          <cell r="C971">
            <v>2213.0699999999738</v>
          </cell>
          <cell r="D971">
            <v>3098.3</v>
          </cell>
          <cell r="E971">
            <v>0</v>
          </cell>
          <cell r="F971">
            <v>1362.4000000000121</v>
          </cell>
          <cell r="G971">
            <v>1907.36</v>
          </cell>
        </row>
        <row r="972">
          <cell r="B972">
            <v>968</v>
          </cell>
          <cell r="C972">
            <v>2215.3599999999738</v>
          </cell>
          <cell r="D972">
            <v>3101.5</v>
          </cell>
          <cell r="E972">
            <v>0</v>
          </cell>
          <cell r="F972">
            <v>1363.8100000000122</v>
          </cell>
          <cell r="G972">
            <v>1909.33</v>
          </cell>
        </row>
        <row r="973">
          <cell r="B973">
            <v>969</v>
          </cell>
          <cell r="C973">
            <v>2217.6499999999737</v>
          </cell>
          <cell r="D973">
            <v>3104.71</v>
          </cell>
          <cell r="E973">
            <v>0</v>
          </cell>
          <cell r="F973">
            <v>1365.2200000000123</v>
          </cell>
          <cell r="G973">
            <v>1911.31</v>
          </cell>
        </row>
        <row r="974">
          <cell r="B974">
            <v>970</v>
          </cell>
          <cell r="C974">
            <v>2219.9399999999737</v>
          </cell>
          <cell r="D974">
            <v>3107.92</v>
          </cell>
          <cell r="E974">
            <v>0</v>
          </cell>
          <cell r="F974">
            <v>1366.6300000000124</v>
          </cell>
          <cell r="G974">
            <v>1913.28</v>
          </cell>
        </row>
        <row r="975">
          <cell r="B975">
            <v>971</v>
          </cell>
          <cell r="C975">
            <v>2222.2299999999736</v>
          </cell>
          <cell r="D975">
            <v>3111.12</v>
          </cell>
          <cell r="E975">
            <v>0</v>
          </cell>
          <cell r="F975">
            <v>1368.0400000000125</v>
          </cell>
          <cell r="G975">
            <v>1915.26</v>
          </cell>
        </row>
        <row r="976">
          <cell r="B976">
            <v>972</v>
          </cell>
          <cell r="C976">
            <v>2224.5199999999736</v>
          </cell>
          <cell r="D976">
            <v>3114.33</v>
          </cell>
          <cell r="E976">
            <v>0</v>
          </cell>
          <cell r="F976">
            <v>1369.4500000000126</v>
          </cell>
          <cell r="G976">
            <v>1917.23</v>
          </cell>
        </row>
        <row r="977">
          <cell r="B977">
            <v>973</v>
          </cell>
          <cell r="C977">
            <v>2226.8099999999736</v>
          </cell>
          <cell r="D977">
            <v>3117.53</v>
          </cell>
          <cell r="E977">
            <v>0</v>
          </cell>
          <cell r="F977">
            <v>1370.8600000000126</v>
          </cell>
          <cell r="G977">
            <v>1919.2</v>
          </cell>
        </row>
        <row r="978">
          <cell r="B978">
            <v>974</v>
          </cell>
          <cell r="C978">
            <v>2229.0999999999735</v>
          </cell>
          <cell r="D978">
            <v>3120.74</v>
          </cell>
          <cell r="E978">
            <v>0</v>
          </cell>
          <cell r="F978">
            <v>1372.2700000000127</v>
          </cell>
          <cell r="G978">
            <v>1921.18</v>
          </cell>
        </row>
        <row r="979">
          <cell r="B979">
            <v>975</v>
          </cell>
          <cell r="C979">
            <v>2231.3899999999735</v>
          </cell>
          <cell r="D979">
            <v>3123.95</v>
          </cell>
          <cell r="E979">
            <v>0</v>
          </cell>
          <cell r="F979">
            <v>1373.6800000000128</v>
          </cell>
          <cell r="G979">
            <v>1923.15</v>
          </cell>
        </row>
        <row r="980">
          <cell r="B980">
            <v>976</v>
          </cell>
          <cell r="C980">
            <v>2233.6799999999735</v>
          </cell>
          <cell r="D980">
            <v>3127.15</v>
          </cell>
          <cell r="E980">
            <v>0</v>
          </cell>
          <cell r="F980">
            <v>1375.0900000000129</v>
          </cell>
          <cell r="G980">
            <v>1925.13</v>
          </cell>
        </row>
        <row r="981">
          <cell r="B981">
            <v>977</v>
          </cell>
          <cell r="C981">
            <v>2235.9699999999734</v>
          </cell>
          <cell r="D981">
            <v>3130.36</v>
          </cell>
          <cell r="E981">
            <v>0</v>
          </cell>
          <cell r="F981">
            <v>1376.500000000013</v>
          </cell>
          <cell r="G981">
            <v>1927.1</v>
          </cell>
        </row>
        <row r="982">
          <cell r="B982">
            <v>978</v>
          </cell>
          <cell r="C982">
            <v>2238.2599999999734</v>
          </cell>
          <cell r="D982">
            <v>3133.56</v>
          </cell>
          <cell r="E982">
            <v>0</v>
          </cell>
          <cell r="F982">
            <v>1377.910000000013</v>
          </cell>
          <cell r="G982">
            <v>1929.07</v>
          </cell>
        </row>
        <row r="983">
          <cell r="B983">
            <v>979</v>
          </cell>
          <cell r="C983">
            <v>2240.5499999999734</v>
          </cell>
          <cell r="D983">
            <v>3136.77</v>
          </cell>
          <cell r="E983">
            <v>0</v>
          </cell>
          <cell r="F983">
            <v>1379.3200000000131</v>
          </cell>
          <cell r="G983">
            <v>1931.05</v>
          </cell>
        </row>
        <row r="984">
          <cell r="B984">
            <v>980</v>
          </cell>
          <cell r="C984">
            <v>2242.8399999999733</v>
          </cell>
          <cell r="D984">
            <v>3139.98</v>
          </cell>
          <cell r="E984">
            <v>0</v>
          </cell>
          <cell r="F984">
            <v>1380.7300000000132</v>
          </cell>
          <cell r="G984">
            <v>1933.02</v>
          </cell>
        </row>
        <row r="985">
          <cell r="B985">
            <v>981</v>
          </cell>
          <cell r="C985">
            <v>2245.1299999999733</v>
          </cell>
          <cell r="D985">
            <v>3143.18</v>
          </cell>
          <cell r="E985">
            <v>0</v>
          </cell>
          <cell r="F985">
            <v>1382.1400000000133</v>
          </cell>
          <cell r="G985">
            <v>1935</v>
          </cell>
        </row>
        <row r="986">
          <cell r="B986">
            <v>982</v>
          </cell>
          <cell r="C986">
            <v>2247.4199999999732</v>
          </cell>
          <cell r="D986">
            <v>3146.39</v>
          </cell>
          <cell r="E986">
            <v>0</v>
          </cell>
          <cell r="F986">
            <v>1383.5500000000134</v>
          </cell>
          <cell r="G986">
            <v>1936.97</v>
          </cell>
        </row>
        <row r="987">
          <cell r="B987">
            <v>983</v>
          </cell>
          <cell r="C987">
            <v>2249.7099999999732</v>
          </cell>
          <cell r="D987">
            <v>3149.59</v>
          </cell>
          <cell r="E987">
            <v>0</v>
          </cell>
          <cell r="F987">
            <v>1384.9600000000135</v>
          </cell>
          <cell r="G987">
            <v>1938.94</v>
          </cell>
        </row>
        <row r="988">
          <cell r="B988">
            <v>984</v>
          </cell>
          <cell r="C988">
            <v>2251.9999999999732</v>
          </cell>
          <cell r="D988">
            <v>3152.8</v>
          </cell>
          <cell r="E988">
            <v>0</v>
          </cell>
          <cell r="F988">
            <v>1386.3700000000135</v>
          </cell>
          <cell r="G988">
            <v>1940.92</v>
          </cell>
        </row>
        <row r="989">
          <cell r="B989">
            <v>985</v>
          </cell>
          <cell r="C989">
            <v>2254.2899999999731</v>
          </cell>
          <cell r="D989">
            <v>3156.01</v>
          </cell>
          <cell r="E989">
            <v>0</v>
          </cell>
          <cell r="F989">
            <v>1387.7800000000136</v>
          </cell>
          <cell r="G989">
            <v>1942.89</v>
          </cell>
        </row>
        <row r="990">
          <cell r="B990">
            <v>986</v>
          </cell>
          <cell r="C990">
            <v>2256.5799999999731</v>
          </cell>
          <cell r="D990">
            <v>3159.21</v>
          </cell>
          <cell r="E990">
            <v>0</v>
          </cell>
          <cell r="F990">
            <v>1389.1900000000137</v>
          </cell>
          <cell r="G990">
            <v>1944.87</v>
          </cell>
        </row>
        <row r="991">
          <cell r="B991">
            <v>987</v>
          </cell>
          <cell r="C991">
            <v>2258.8699999999731</v>
          </cell>
          <cell r="D991">
            <v>3162.42</v>
          </cell>
          <cell r="E991">
            <v>0</v>
          </cell>
          <cell r="F991">
            <v>1390.6000000000138</v>
          </cell>
          <cell r="G991">
            <v>1946.84</v>
          </cell>
        </row>
        <row r="992">
          <cell r="B992">
            <v>988</v>
          </cell>
          <cell r="C992">
            <v>2261.159999999973</v>
          </cell>
          <cell r="D992">
            <v>3165.62</v>
          </cell>
          <cell r="E992">
            <v>0</v>
          </cell>
          <cell r="F992">
            <v>1392.0100000000139</v>
          </cell>
          <cell r="G992">
            <v>1948.81</v>
          </cell>
        </row>
        <row r="993">
          <cell r="B993">
            <v>989</v>
          </cell>
          <cell r="C993">
            <v>2263.449999999973</v>
          </cell>
          <cell r="D993">
            <v>3168.83</v>
          </cell>
          <cell r="E993">
            <v>0</v>
          </cell>
          <cell r="F993">
            <v>1393.4200000000139</v>
          </cell>
          <cell r="G993">
            <v>1950.79</v>
          </cell>
        </row>
        <row r="994">
          <cell r="B994">
            <v>990</v>
          </cell>
          <cell r="C994">
            <v>2265.739999999973</v>
          </cell>
          <cell r="D994">
            <v>3172.04</v>
          </cell>
          <cell r="E994">
            <v>0</v>
          </cell>
          <cell r="F994">
            <v>1394.830000000014</v>
          </cell>
          <cell r="G994">
            <v>1952.76</v>
          </cell>
        </row>
        <row r="995">
          <cell r="B995">
            <v>991</v>
          </cell>
          <cell r="C995">
            <v>2268.0299999999729</v>
          </cell>
          <cell r="D995">
            <v>3175.24</v>
          </cell>
          <cell r="E995">
            <v>0</v>
          </cell>
          <cell r="F995">
            <v>1396.2400000000141</v>
          </cell>
          <cell r="G995">
            <v>1954.74</v>
          </cell>
        </row>
        <row r="996">
          <cell r="B996">
            <v>992</v>
          </cell>
          <cell r="C996">
            <v>2270.3199999999729</v>
          </cell>
          <cell r="D996">
            <v>3178.45</v>
          </cell>
          <cell r="E996">
            <v>0</v>
          </cell>
          <cell r="F996">
            <v>1397.6500000000142</v>
          </cell>
          <cell r="G996">
            <v>1956.71</v>
          </cell>
        </row>
        <row r="997">
          <cell r="B997">
            <v>993</v>
          </cell>
          <cell r="C997">
            <v>2272.6099999999728</v>
          </cell>
          <cell r="D997">
            <v>3181.65</v>
          </cell>
          <cell r="E997">
            <v>0</v>
          </cell>
          <cell r="F997">
            <v>1399.0600000000143</v>
          </cell>
          <cell r="G997">
            <v>1958.68</v>
          </cell>
        </row>
        <row r="998">
          <cell r="B998">
            <v>994</v>
          </cell>
          <cell r="C998">
            <v>2274.8999999999728</v>
          </cell>
          <cell r="D998">
            <v>3184.86</v>
          </cell>
          <cell r="E998">
            <v>0</v>
          </cell>
          <cell r="F998">
            <v>1400.4700000000144</v>
          </cell>
          <cell r="G998">
            <v>1960.66</v>
          </cell>
        </row>
        <row r="999">
          <cell r="B999">
            <v>995</v>
          </cell>
          <cell r="C999">
            <v>2277.1899999999728</v>
          </cell>
          <cell r="D999">
            <v>3188.07</v>
          </cell>
          <cell r="E999">
            <v>0</v>
          </cell>
          <cell r="F999">
            <v>1401.8800000000144</v>
          </cell>
          <cell r="G999">
            <v>1962.63</v>
          </cell>
        </row>
        <row r="1000">
          <cell r="B1000">
            <v>996</v>
          </cell>
          <cell r="C1000">
            <v>2279.4799999999727</v>
          </cell>
          <cell r="D1000">
            <v>3191.27</v>
          </cell>
          <cell r="E1000">
            <v>0</v>
          </cell>
          <cell r="F1000">
            <v>1403.2900000000145</v>
          </cell>
          <cell r="G1000">
            <v>1964.61</v>
          </cell>
        </row>
        <row r="1001">
          <cell r="B1001">
            <v>997</v>
          </cell>
          <cell r="C1001">
            <v>2281.7699999999727</v>
          </cell>
          <cell r="D1001">
            <v>3194.48</v>
          </cell>
          <cell r="E1001">
            <v>0</v>
          </cell>
          <cell r="F1001">
            <v>1404.7000000000146</v>
          </cell>
          <cell r="G1001">
            <v>1966.58</v>
          </cell>
        </row>
        <row r="1002">
          <cell r="B1002">
            <v>998</v>
          </cell>
          <cell r="C1002">
            <v>2284.0599999999727</v>
          </cell>
          <cell r="D1002">
            <v>3197.68</v>
          </cell>
          <cell r="E1002">
            <v>0</v>
          </cell>
          <cell r="F1002">
            <v>1406.1100000000147</v>
          </cell>
          <cell r="G1002">
            <v>1968.55</v>
          </cell>
        </row>
        <row r="1003">
          <cell r="B1003">
            <v>999</v>
          </cell>
          <cell r="C1003">
            <v>2286.3499999999726</v>
          </cell>
          <cell r="D1003">
            <v>3200.89</v>
          </cell>
          <cell r="E1003">
            <v>0</v>
          </cell>
          <cell r="F1003">
            <v>1407.5200000000148</v>
          </cell>
          <cell r="G1003">
            <v>1970.53</v>
          </cell>
        </row>
        <row r="1004">
          <cell r="B1004">
            <v>1000</v>
          </cell>
          <cell r="C1004">
            <v>2288.6399999999726</v>
          </cell>
          <cell r="D1004">
            <v>3204.1</v>
          </cell>
          <cell r="E1004">
            <v>0</v>
          </cell>
          <cell r="F1004">
            <v>1408.9300000000148</v>
          </cell>
          <cell r="G1004">
            <v>1972.5</v>
          </cell>
        </row>
        <row r="1005"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B1006">
            <v>0</v>
          </cell>
          <cell r="C1006" t="str">
            <v>2.29</v>
          </cell>
          <cell r="D1006">
            <v>0</v>
          </cell>
          <cell r="E1006">
            <v>0</v>
          </cell>
          <cell r="F1006" t="str">
            <v>1.41</v>
          </cell>
          <cell r="G100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นะนำ"/>
      <sheetName val="ข้อมูลโครงการ"/>
      <sheetName val="ประกาศ"/>
      <sheetName val="ข้อมูลขนส่ง"/>
      <sheetName val="ราคาวัสดุ"/>
      <sheetName val="ปร.4"/>
      <sheetName val="ปร.5"/>
      <sheetName val="หักค่าขนส่ง"/>
      <sheetName val="ราคากลาง ปร.4"/>
      <sheetName val="ราคากลาง ปร.5"/>
      <sheetName val="รายการ"/>
      <sheetName val="หักลดค่าขนส่ง"/>
      <sheetName val="ต่อรอง"/>
      <sheetName val="สรุปงวดงาน"/>
      <sheetName val="งวดงาน"/>
      <sheetName val="งวดเงิน"/>
      <sheetName val="งวดงาน box"/>
      <sheetName val="งวดงาน box1"/>
      <sheetName val="สรุปงวดงาน1"/>
      <sheetName val="งวดงาน1"/>
      <sheetName val="งวดเงิน1"/>
      <sheetName val="เปรียบเทียบ"/>
      <sheetName val="สรุปงวดงาน2"/>
      <sheetName val="งวดงาน2"/>
      <sheetName val="งวดเงิน2"/>
      <sheetName val="บัญชีและรายการ"/>
      <sheetName val="ต้นทุนป้าย"/>
      <sheetName val="ค่างานต้นทุน"/>
      <sheetName val="บ่อพัก"/>
      <sheetName val="ข30"/>
      <sheetName val="ราง"/>
      <sheetName val="คสล.15"/>
      <sheetName val="คสล.20"/>
      <sheetName val="box"/>
      <sheetName val="พิมพ์เอกสาร"/>
      <sheetName val="ปร.5 ใส่ค่าเอง"/>
      <sheetName val="ใบสรุป"/>
      <sheetName val="ค่าเสื่อมราคา"/>
      <sheetName val="สิบล้อขนส่ง"/>
      <sheetName val="รถพ่วงขนส่ง"/>
      <sheetName val="หกล้อขนส่ง"/>
      <sheetName val="Factor47"/>
      <sheetName val="Factor_f"/>
      <sheetName val="คิดค่ากำแพงปากท่อ"/>
      <sheetName val="ope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28">
          <cell r="AH28">
            <v>55</v>
          </cell>
        </row>
        <row r="84">
          <cell r="AH84">
            <v>7.4971106095902549</v>
          </cell>
        </row>
      </sheetData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นะนำ"/>
      <sheetName val="ข้อมูลโครงการ"/>
      <sheetName val="ประกาศ"/>
      <sheetName val="ข้อมูลขนส่ง"/>
      <sheetName val="ราคาวัสดุ"/>
      <sheetName val="ปร.4"/>
      <sheetName val="ปร.5"/>
      <sheetName val="หักค่าขนส่ง"/>
      <sheetName val="ราคากลาง ปร.4"/>
      <sheetName val="ราคากลาง ปร.5"/>
      <sheetName val="รายการ"/>
      <sheetName val="หักลดค่าขนส่ง"/>
      <sheetName val="ต่อรอง"/>
      <sheetName val="สรุปงวดงาน"/>
      <sheetName val="งวดงาน"/>
      <sheetName val="งวดเงิน"/>
      <sheetName val="งวดงาน box"/>
      <sheetName val="งวดงาน box1"/>
      <sheetName val="สรุปงวดงาน1"/>
      <sheetName val="งวดงาน1"/>
      <sheetName val="งวดเงิน1"/>
      <sheetName val="เปรียบเทียบ"/>
      <sheetName val="สรุปงวดงาน2"/>
      <sheetName val="งวดงาน2"/>
      <sheetName val="งวดเงิน2"/>
      <sheetName val="บัญชีและรายการ"/>
      <sheetName val="ต้นทุนป้าย"/>
      <sheetName val="ค่างานต้นทุน"/>
      <sheetName val="บ่อพัก"/>
      <sheetName val="ข30"/>
      <sheetName val="ราง"/>
      <sheetName val="คสล.15"/>
      <sheetName val="คสล.20"/>
      <sheetName val="box"/>
      <sheetName val="พิมพ์เอกสาร"/>
      <sheetName val="ปร.5 ใส่ค่าเอง"/>
      <sheetName val="ใบสรุป"/>
      <sheetName val="ค่าเสื่อมราคา"/>
      <sheetName val="สิบล้อขนส่ง"/>
      <sheetName val="รถพ่วงขนส่ง"/>
      <sheetName val="หกล้อขนส่ง"/>
      <sheetName val="Factor47"/>
      <sheetName val="Factor_f"/>
      <sheetName val="คิดค่ากำแพงปากท่อ"/>
      <sheetName val="ope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28">
          <cell r="AH28">
            <v>55</v>
          </cell>
        </row>
        <row r="84">
          <cell r="AH84">
            <v>7.4971106095902549</v>
          </cell>
        </row>
      </sheetData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5 ใส่ค่าเอง"/>
      <sheetName val="ปร.5"/>
      <sheetName val="ปร.4"/>
      <sheetName val="ค่างานต้นทุน"/>
      <sheetName val="ข้อมูลราคาวัสดุ"/>
      <sheetName val="ข้อมูล_Box"/>
      <sheetName val="SingleBox"/>
      <sheetName val="Multi_Box"/>
      <sheetName val="ข้อมูลขนส่ง"/>
      <sheetName val="ค่าเสื่อมราคา"/>
      <sheetName val="ค่าขนส่ง"/>
      <sheetName val="ค่าขนส่งด้วยรถพ่วง"/>
      <sheetName val="ค่าขนส่งด้วยหกล้อ"/>
      <sheetName val="ROAD_F_factor"/>
      <sheetName val="คิดค่ากำแพงปากท่อ"/>
      <sheetName val="select"/>
      <sheetName val="หักลดเงินค่าขนส่ง"/>
      <sheetName val="Mo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2</v>
          </cell>
          <cell r="F2">
            <v>1</v>
          </cell>
        </row>
        <row r="4">
          <cell r="L4">
            <v>2</v>
          </cell>
          <cell r="N4">
            <v>7.5</v>
          </cell>
          <cell r="P4">
            <v>4</v>
          </cell>
          <cell r="R4">
            <v>10.43</v>
          </cell>
          <cell r="T4">
            <v>110</v>
          </cell>
          <cell r="V4">
            <v>134.01</v>
          </cell>
          <cell r="X4">
            <v>45</v>
          </cell>
          <cell r="Z4">
            <v>89.31</v>
          </cell>
        </row>
        <row r="8">
          <cell r="P8">
            <v>0</v>
          </cell>
          <cell r="R8">
            <v>0</v>
          </cell>
          <cell r="T8">
            <v>317</v>
          </cell>
          <cell r="V8">
            <v>275.25</v>
          </cell>
          <cell r="X8">
            <v>110</v>
          </cell>
          <cell r="Z8">
            <v>134.01</v>
          </cell>
        </row>
        <row r="12">
          <cell r="P12">
            <v>10</v>
          </cell>
          <cell r="R12">
            <v>20.56</v>
          </cell>
          <cell r="T12">
            <v>30</v>
          </cell>
          <cell r="V12">
            <v>86.76</v>
          </cell>
        </row>
        <row r="16">
          <cell r="T16">
            <v>30</v>
          </cell>
          <cell r="V16">
            <v>59.84</v>
          </cell>
        </row>
        <row r="20">
          <cell r="T20">
            <v>50</v>
          </cell>
          <cell r="V20">
            <v>70.81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5 ใส่ค่าเอง"/>
      <sheetName val="ปร.5"/>
      <sheetName val="ปร.4"/>
      <sheetName val="ค่างานต้นทุน"/>
      <sheetName val="ข้อมูลราคาวัสดุ"/>
      <sheetName val="ข้อมูล_Box"/>
      <sheetName val="SingleBox"/>
      <sheetName val="Multi_Box"/>
      <sheetName val="ข้อมูลขนส่ง"/>
      <sheetName val="ค่าเสื่อมราคา"/>
      <sheetName val="ค่าขนส่ง"/>
      <sheetName val="ค่าขนส่งด้วยรถพ่วง"/>
      <sheetName val="ค่าขนส่งด้วยหกล้อ"/>
      <sheetName val="ROAD_F_factor"/>
      <sheetName val="คิดค่ากำแพงปากท่อ"/>
      <sheetName val="select"/>
      <sheetName val="หักลดเงินค่าขนส่ง"/>
      <sheetName val="Mo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2</v>
          </cell>
          <cell r="F2">
            <v>1</v>
          </cell>
        </row>
        <row r="4">
          <cell r="L4">
            <v>2</v>
          </cell>
          <cell r="N4">
            <v>7.5</v>
          </cell>
          <cell r="P4">
            <v>4</v>
          </cell>
          <cell r="R4">
            <v>10.43</v>
          </cell>
          <cell r="T4">
            <v>110</v>
          </cell>
          <cell r="V4">
            <v>134.01</v>
          </cell>
          <cell r="X4">
            <v>45</v>
          </cell>
          <cell r="Z4">
            <v>89.31</v>
          </cell>
        </row>
        <row r="8">
          <cell r="P8">
            <v>0</v>
          </cell>
          <cell r="R8">
            <v>0</v>
          </cell>
          <cell r="T8">
            <v>317</v>
          </cell>
          <cell r="V8">
            <v>275.25</v>
          </cell>
          <cell r="X8">
            <v>110</v>
          </cell>
          <cell r="Z8">
            <v>134.01</v>
          </cell>
        </row>
        <row r="12">
          <cell r="P12">
            <v>10</v>
          </cell>
          <cell r="R12">
            <v>20.56</v>
          </cell>
          <cell r="T12">
            <v>30</v>
          </cell>
          <cell r="V12">
            <v>86.76</v>
          </cell>
        </row>
        <row r="16">
          <cell r="T16">
            <v>30</v>
          </cell>
          <cell r="V16">
            <v>59.84</v>
          </cell>
        </row>
        <row r="20">
          <cell r="T20">
            <v>50</v>
          </cell>
          <cell r="V20">
            <v>70.81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12" Type="http://schemas.openxmlformats.org/officeDocument/2006/relationships/comments" Target="../comments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H25"/>
  <sheetViews>
    <sheetView topLeftCell="A7" zoomScaleNormal="100" workbookViewId="0">
      <selection activeCell="D19" sqref="D19"/>
    </sheetView>
  </sheetViews>
  <sheetFormatPr defaultColWidth="8.83203125" defaultRowHeight="18.75"/>
  <cols>
    <col min="1" max="1" width="22.6640625" style="1283" bestFit="1" customWidth="1"/>
    <col min="2" max="2" width="46.83203125" style="1283" customWidth="1"/>
    <col min="3" max="3" width="28.5" style="1283" customWidth="1"/>
    <col min="4" max="4" width="18.1640625" style="1283" bestFit="1" customWidth="1"/>
    <col min="5" max="7" width="8.83203125" style="1283"/>
    <col min="8" max="8" width="13" style="1283" customWidth="1"/>
    <col min="9" max="16384" width="8.83203125" style="1283"/>
  </cols>
  <sheetData>
    <row r="1" spans="1:8" ht="26.25">
      <c r="A1" s="2179" t="s">
        <v>137</v>
      </c>
      <c r="B1" s="2180"/>
      <c r="C1" s="2180"/>
      <c r="D1" s="2180"/>
    </row>
    <row r="2" spans="1:8">
      <c r="A2" s="1311" t="s">
        <v>469</v>
      </c>
      <c r="B2" s="1312" t="s">
        <v>1777</v>
      </c>
      <c r="C2" s="1313"/>
      <c r="D2" s="1314"/>
    </row>
    <row r="3" spans="1:8">
      <c r="A3" s="1315" t="s">
        <v>138</v>
      </c>
      <c r="B3" s="1312" t="s">
        <v>1826</v>
      </c>
      <c r="C3" s="1316"/>
      <c r="D3" s="1317"/>
    </row>
    <row r="4" spans="1:8">
      <c r="A4" s="1315" t="s">
        <v>140</v>
      </c>
      <c r="B4" s="1312" t="s">
        <v>1881</v>
      </c>
      <c r="C4" s="1316"/>
      <c r="D4" s="1317"/>
    </row>
    <row r="5" spans="1:8">
      <c r="A5" s="1315" t="s">
        <v>470</v>
      </c>
      <c r="B5" s="1312" t="s">
        <v>1773</v>
      </c>
      <c r="C5" s="1316"/>
      <c r="D5" s="1317"/>
    </row>
    <row r="6" spans="1:8">
      <c r="A6" s="1315" t="s">
        <v>141</v>
      </c>
      <c r="B6" s="1312" t="s">
        <v>1774</v>
      </c>
      <c r="C6" s="1316"/>
      <c r="D6" s="1317"/>
    </row>
    <row r="7" spans="1:8">
      <c r="A7" s="1315" t="s">
        <v>142</v>
      </c>
      <c r="B7" s="1312">
        <v>2565</v>
      </c>
      <c r="C7" s="1316"/>
      <c r="D7" s="1317"/>
    </row>
    <row r="8" spans="1:8">
      <c r="A8" s="1315" t="s">
        <v>471</v>
      </c>
      <c r="B8" s="1318" t="s">
        <v>1981</v>
      </c>
      <c r="C8" s="1319"/>
      <c r="D8" s="1320"/>
    </row>
    <row r="9" spans="1:8">
      <c r="A9" s="1315" t="s">
        <v>158</v>
      </c>
      <c r="B9" s="1321" t="s">
        <v>807</v>
      </c>
      <c r="C9" s="1322" t="s">
        <v>439</v>
      </c>
      <c r="D9" s="1323"/>
    </row>
    <row r="10" spans="1:8" ht="99.95" customHeight="1">
      <c r="A10" s="1849" t="s">
        <v>468</v>
      </c>
      <c r="B10" s="1850" t="s">
        <v>1989</v>
      </c>
      <c r="C10" s="1324" t="s">
        <v>908</v>
      </c>
      <c r="D10" s="1325">
        <v>0</v>
      </c>
    </row>
    <row r="11" spans="1:8">
      <c r="A11" s="1315" t="s">
        <v>868</v>
      </c>
      <c r="B11" s="1312" t="s">
        <v>1775</v>
      </c>
      <c r="C11" s="1326" t="s">
        <v>909</v>
      </c>
      <c r="D11" s="1325">
        <v>0.05</v>
      </c>
    </row>
    <row r="12" spans="1:8">
      <c r="A12" s="1327" t="s">
        <v>486</v>
      </c>
      <c r="B12" s="1312" t="s">
        <v>1776</v>
      </c>
      <c r="C12" s="1326" t="s">
        <v>192</v>
      </c>
      <c r="D12" s="1325">
        <v>0</v>
      </c>
    </row>
    <row r="13" spans="1:8">
      <c r="A13" s="1328" t="s">
        <v>867</v>
      </c>
      <c r="B13" s="1329" t="s">
        <v>1031</v>
      </c>
      <c r="C13" s="1330" t="s">
        <v>388</v>
      </c>
      <c r="D13" s="1331">
        <v>7.0000000000000007E-2</v>
      </c>
    </row>
    <row r="14" spans="1:8">
      <c r="A14" s="1332" t="s">
        <v>144</v>
      </c>
      <c r="B14" s="1333" t="s">
        <v>897</v>
      </c>
      <c r="C14" s="1334" t="s">
        <v>77</v>
      </c>
      <c r="D14" s="1335">
        <v>6</v>
      </c>
    </row>
    <row r="15" spans="1:8">
      <c r="A15" s="1327" t="s">
        <v>145</v>
      </c>
      <c r="B15" s="1336" t="s">
        <v>897</v>
      </c>
      <c r="C15" s="1337" t="s">
        <v>78</v>
      </c>
      <c r="D15" s="1338">
        <v>0</v>
      </c>
      <c r="E15" s="1339" t="s">
        <v>1452</v>
      </c>
      <c r="F15" s="1339" t="s">
        <v>1453</v>
      </c>
      <c r="H15" s="1340"/>
    </row>
    <row r="16" spans="1:8">
      <c r="A16" s="1341" t="s">
        <v>43</v>
      </c>
      <c r="B16" s="1342" t="s">
        <v>1975</v>
      </c>
      <c r="C16" s="1343" t="s">
        <v>188</v>
      </c>
      <c r="D16" s="1344" t="s">
        <v>1559</v>
      </c>
      <c r="E16" s="1345"/>
      <c r="F16" s="1346"/>
      <c r="H16" s="1340"/>
    </row>
    <row r="17" spans="1:8">
      <c r="A17" s="1347" t="s">
        <v>42</v>
      </c>
      <c r="B17" s="1342" t="s">
        <v>1976</v>
      </c>
      <c r="C17" s="1348" t="s">
        <v>560</v>
      </c>
      <c r="D17" s="1344" t="s">
        <v>1977</v>
      </c>
      <c r="E17" s="1349"/>
      <c r="F17" s="1349"/>
      <c r="H17" s="1340"/>
    </row>
    <row r="18" spans="1:8">
      <c r="A18" s="1350" t="s">
        <v>146</v>
      </c>
      <c r="B18" s="1351">
        <v>44802</v>
      </c>
      <c r="C18" s="1352" t="s">
        <v>1738</v>
      </c>
      <c r="D18" s="1353">
        <v>4</v>
      </c>
      <c r="H18" s="1354"/>
    </row>
    <row r="19" spans="1:8">
      <c r="A19" s="1350" t="s">
        <v>1739</v>
      </c>
      <c r="B19" s="1355" t="s">
        <v>1884</v>
      </c>
      <c r="C19" s="1356"/>
      <c r="D19" s="1357"/>
      <c r="H19" s="1354"/>
    </row>
    <row r="20" spans="1:8">
      <c r="A20" s="1311" t="s">
        <v>1039</v>
      </c>
      <c r="B20" s="1358" t="s">
        <v>1804</v>
      </c>
      <c r="C20" s="1359" t="s">
        <v>1040</v>
      </c>
      <c r="D20" s="2181" t="s">
        <v>1805</v>
      </c>
      <c r="E20" s="2182"/>
      <c r="F20" s="2182"/>
      <c r="G20" s="2183"/>
    </row>
    <row r="21" spans="1:8">
      <c r="A21" s="1360" t="s">
        <v>147</v>
      </c>
      <c r="B21" s="1361" t="s">
        <v>1804</v>
      </c>
      <c r="C21" s="1362" t="s">
        <v>1040</v>
      </c>
      <c r="D21" s="2181" t="s">
        <v>1805</v>
      </c>
      <c r="E21" s="2182"/>
      <c r="F21" s="2182"/>
      <c r="G21" s="2183"/>
    </row>
    <row r="22" spans="1:8">
      <c r="A22" s="1360" t="s">
        <v>147</v>
      </c>
      <c r="B22" s="1361" t="s">
        <v>1804</v>
      </c>
      <c r="C22" s="1362" t="s">
        <v>1040</v>
      </c>
      <c r="D22" s="2181" t="s">
        <v>1805</v>
      </c>
      <c r="E22" s="2182"/>
      <c r="F22" s="2182"/>
      <c r="G22" s="2183"/>
    </row>
    <row r="23" spans="1:8">
      <c r="A23" s="1363" t="s">
        <v>147</v>
      </c>
      <c r="B23" s="1361" t="s">
        <v>1824</v>
      </c>
      <c r="C23" s="1362" t="s">
        <v>1040</v>
      </c>
      <c r="D23" s="2181" t="s">
        <v>1825</v>
      </c>
      <c r="E23" s="2182"/>
      <c r="F23" s="2182"/>
      <c r="G23" s="2183"/>
    </row>
    <row r="24" spans="1:8" ht="19.5" thickBot="1">
      <c r="A24" s="1364" t="s">
        <v>148</v>
      </c>
      <c r="B24" s="1365" t="s">
        <v>1806</v>
      </c>
      <c r="C24" s="1366" t="s">
        <v>1040</v>
      </c>
      <c r="D24" s="2181" t="s">
        <v>1807</v>
      </c>
      <c r="E24" s="2182"/>
      <c r="F24" s="2182"/>
      <c r="G24" s="2183"/>
    </row>
    <row r="25" spans="1:8">
      <c r="D25" s="2181" t="s">
        <v>1807</v>
      </c>
      <c r="E25" s="2182"/>
      <c r="F25" s="2182"/>
      <c r="G25" s="2183"/>
    </row>
  </sheetData>
  <mergeCells count="7">
    <mergeCell ref="A1:D1"/>
    <mergeCell ref="D25:G25"/>
    <mergeCell ref="D24:G24"/>
    <mergeCell ref="D23:G23"/>
    <mergeCell ref="D22:G22"/>
    <mergeCell ref="D21:G21"/>
    <mergeCell ref="D20:G20"/>
  </mergeCells>
  <phoneticPr fontId="31" type="noConversion"/>
  <dataValidations xWindow="294" yWindow="192" count="3">
    <dataValidation allowBlank="1" showInputMessage="1" showErrorMessage="1" promptTitle="โปรดกรอกข้อมูล" prompt="- พิมพ์ข้อมูลโครงการ_x000a_  ลงในแถบสีเหลือง" sqref="C2:D2" xr:uid="{00000000-0002-0000-0000-000000000000}"/>
    <dataValidation type="list" allowBlank="1" showInputMessage="1" showErrorMessage="1" sqref="B14:B15" xr:uid="{00000000-0002-0000-0000-000001000000}">
      <formula1>"เคพซีล,แอสฟัลติกคอนกรีต,ซิงเกิลเซอร์เฟซ ทรีตเมนต์,ดับเบิ้ลเซอร์เฟซ ทรีตเมนต์,ลูกรัง"</formula1>
    </dataValidation>
    <dataValidation type="list" allowBlank="1" showInputMessage="1" showErrorMessage="1" sqref="B8" xr:uid="{00000000-0002-0000-0000-000002000000}">
      <formula1>"Cape Seal,Asphaltic Concrete,Para Asphaltic Concrete,ผิวจราจรแบบคอนกรีตเสริมเหล็ก,Asphaltic  Concrete โดยวิธี Pavement In - Place Recycling,Para Asphaltic  Concrete โดยวิธี Pavement In - Place Recycling"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rgb="FFFFFF00"/>
  </sheetPr>
  <dimension ref="A1:K59"/>
  <sheetViews>
    <sheetView view="pageBreakPreview" topLeftCell="A4" zoomScale="89" zoomScaleSheetLayoutView="89" workbookViewId="0">
      <selection activeCell="J53" sqref="J53"/>
    </sheetView>
  </sheetViews>
  <sheetFormatPr defaultColWidth="12.6640625" defaultRowHeight="16.5" customHeight="1"/>
  <cols>
    <col min="1" max="1" width="7.6640625" style="504" customWidth="1"/>
    <col min="2" max="2" width="9.5" style="504" customWidth="1"/>
    <col min="3" max="3" width="16.83203125" style="504" customWidth="1"/>
    <col min="4" max="4" width="16.1640625" style="504" customWidth="1"/>
    <col min="5" max="6" width="14.83203125" style="504" customWidth="1"/>
    <col min="7" max="10" width="11.83203125" style="504" customWidth="1"/>
    <col min="11" max="11" width="15.5" style="504" customWidth="1"/>
    <col min="12" max="16384" width="12.6640625" style="504"/>
  </cols>
  <sheetData>
    <row r="1" spans="1:11" ht="24" customHeight="1">
      <c r="A1" s="2289" t="s">
        <v>1052</v>
      </c>
      <c r="B1" s="2290"/>
      <c r="C1" s="2290"/>
      <c r="D1" s="2290"/>
      <c r="E1" s="2290"/>
      <c r="F1" s="2290"/>
      <c r="G1" s="2290"/>
      <c r="H1" s="2290"/>
      <c r="I1" s="2290"/>
      <c r="J1" s="2290"/>
      <c r="K1" s="2290"/>
    </row>
    <row r="2" spans="1:11" ht="22.5" customHeight="1">
      <c r="A2" s="2301" t="s">
        <v>468</v>
      </c>
      <c r="B2" s="2301"/>
      <c r="C2" s="508" t="str">
        <f>'ปร.4 road'!C2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D2" s="118"/>
      <c r="E2" s="118"/>
      <c r="F2" s="118"/>
      <c r="G2" s="118"/>
      <c r="H2" s="118"/>
      <c r="I2" s="118"/>
      <c r="J2" s="118"/>
      <c r="K2" s="118"/>
    </row>
    <row r="3" spans="1:11" ht="22.5" customHeight="1">
      <c r="A3" s="237"/>
      <c r="B3" s="237"/>
      <c r="C3" s="508"/>
      <c r="D3" s="118"/>
      <c r="F3" s="118"/>
      <c r="G3" s="118"/>
      <c r="H3" s="118"/>
      <c r="I3" s="118"/>
      <c r="J3" s="118"/>
      <c r="K3" s="118"/>
    </row>
    <row r="4" spans="1:11" ht="22.5" customHeight="1">
      <c r="A4" s="237"/>
      <c r="B4" s="237"/>
      <c r="C4" s="508"/>
      <c r="D4" s="118"/>
      <c r="E4" s="118" t="s">
        <v>223</v>
      </c>
      <c r="F4" s="118"/>
      <c r="G4" s="118"/>
      <c r="H4" s="118"/>
      <c r="I4" s="118"/>
      <c r="J4" s="118"/>
      <c r="K4" s="118"/>
    </row>
    <row r="5" spans="1:11" ht="26.25" customHeight="1">
      <c r="A5" s="237"/>
      <c r="B5" s="237"/>
      <c r="C5" s="508"/>
      <c r="D5" s="584"/>
      <c r="E5" s="569"/>
      <c r="F5" s="569"/>
      <c r="G5" s="569"/>
      <c r="H5" s="569"/>
      <c r="I5" s="569"/>
      <c r="J5" s="569"/>
      <c r="K5" s="569"/>
    </row>
    <row r="6" spans="1:11" ht="22.5" customHeight="1">
      <c r="A6" s="237"/>
      <c r="B6" s="237"/>
      <c r="C6" s="508"/>
      <c r="E6" s="569"/>
      <c r="F6" s="569"/>
      <c r="G6" s="569"/>
      <c r="H6" s="569"/>
      <c r="I6" s="569"/>
      <c r="J6" s="569"/>
      <c r="K6" s="569"/>
    </row>
    <row r="7" spans="1:11" ht="17.25" customHeight="1">
      <c r="A7" s="237"/>
      <c r="B7" s="237"/>
      <c r="C7" s="508"/>
      <c r="E7" s="569"/>
      <c r="F7" s="569"/>
      <c r="G7" s="569"/>
      <c r="H7" s="569"/>
      <c r="I7" s="569"/>
      <c r="J7" s="569"/>
      <c r="K7" s="569"/>
    </row>
    <row r="8" spans="1:11" ht="17.25" customHeight="1">
      <c r="B8" s="118"/>
      <c r="C8" s="118"/>
      <c r="D8" s="118"/>
      <c r="E8" s="118"/>
      <c r="F8" s="118"/>
      <c r="G8" s="118"/>
      <c r="H8" s="118"/>
      <c r="I8" s="118"/>
      <c r="J8" s="118"/>
      <c r="K8" s="118"/>
    </row>
    <row r="9" spans="1:11" ht="17.25" customHeight="1">
      <c r="A9" s="570"/>
      <c r="B9" s="569"/>
      <c r="C9" s="569"/>
      <c r="D9" s="569"/>
      <c r="E9" s="569"/>
      <c r="F9" s="569"/>
      <c r="G9" s="569"/>
      <c r="H9" s="569"/>
      <c r="I9" s="569"/>
      <c r="J9" s="569" t="s">
        <v>403</v>
      </c>
      <c r="K9" s="569"/>
    </row>
    <row r="10" spans="1:11" ht="17.25" customHeight="1">
      <c r="A10" s="570"/>
      <c r="B10" s="569"/>
      <c r="C10" s="569"/>
      <c r="D10" s="569"/>
      <c r="E10" s="569"/>
      <c r="F10" s="569"/>
      <c r="G10" s="569"/>
      <c r="H10" s="569"/>
      <c r="I10" s="569"/>
      <c r="J10" s="569"/>
      <c r="K10" s="569"/>
    </row>
    <row r="11" spans="1:11" ht="17.25" customHeight="1">
      <c r="D11" s="510"/>
    </row>
    <row r="12" spans="1:11" ht="17.25" customHeight="1">
      <c r="A12" s="571"/>
      <c r="B12" s="571"/>
      <c r="C12" s="571"/>
      <c r="D12" s="571"/>
      <c r="E12" s="571"/>
      <c r="F12" s="571"/>
      <c r="G12" s="571"/>
      <c r="H12" s="571"/>
      <c r="I12" s="571"/>
      <c r="J12" s="571"/>
      <c r="K12" s="571"/>
    </row>
    <row r="13" spans="1:11" ht="17.25" customHeight="1">
      <c r="A13" s="571"/>
      <c r="B13" s="571"/>
      <c r="C13" s="572"/>
      <c r="D13" s="571"/>
      <c r="E13" s="571"/>
      <c r="F13" s="571"/>
      <c r="G13" s="571"/>
      <c r="H13" s="571"/>
      <c r="I13" s="571"/>
      <c r="J13" s="571"/>
      <c r="K13" s="571"/>
    </row>
    <row r="14" spans="1:11" ht="17.25" customHeight="1">
      <c r="A14" s="571"/>
      <c r="B14" s="571"/>
      <c r="C14" s="572"/>
      <c r="D14" s="571"/>
      <c r="E14" s="571"/>
      <c r="F14" s="571"/>
      <c r="G14" s="571"/>
      <c r="H14" s="571"/>
      <c r="I14" s="571"/>
      <c r="J14" s="571"/>
      <c r="K14" s="571"/>
    </row>
    <row r="15" spans="1:11" ht="17.25" customHeight="1">
      <c r="A15" s="571"/>
      <c r="B15" s="571"/>
      <c r="C15" s="572"/>
      <c r="D15" s="571"/>
      <c r="E15" s="571"/>
      <c r="F15" s="571"/>
      <c r="G15" s="571"/>
      <c r="H15" s="571"/>
      <c r="I15" s="571"/>
      <c r="J15" s="571"/>
      <c r="K15" s="571"/>
    </row>
    <row r="16" spans="1:11" ht="17.25" customHeight="1">
      <c r="A16" s="571"/>
      <c r="B16" s="571"/>
      <c r="C16" s="572"/>
      <c r="D16" s="571"/>
      <c r="E16" s="571"/>
      <c r="F16" s="571"/>
      <c r="G16" s="571"/>
      <c r="H16" s="571"/>
      <c r="I16" s="571"/>
      <c r="J16" s="571"/>
      <c r="K16" s="571"/>
    </row>
    <row r="17" spans="1:11" ht="17.25" customHeight="1">
      <c r="A17" s="571"/>
      <c r="B17" s="571"/>
      <c r="C17" s="572"/>
      <c r="D17" s="571"/>
      <c r="E17" s="571"/>
      <c r="F17" s="571"/>
      <c r="G17" s="571"/>
      <c r="H17" s="571"/>
      <c r="I17" s="571"/>
      <c r="J17" s="571"/>
      <c r="K17" s="571"/>
    </row>
    <row r="18" spans="1:11" ht="17.25" customHeight="1">
      <c r="A18" s="571"/>
      <c r="B18" s="571"/>
      <c r="C18" s="571"/>
      <c r="D18" s="571"/>
      <c r="E18" s="571"/>
      <c r="F18" s="571"/>
      <c r="G18" s="571"/>
      <c r="H18" s="571"/>
      <c r="I18" s="571"/>
      <c r="J18" s="571"/>
      <c r="K18" s="571"/>
    </row>
    <row r="19" spans="1:11" ht="17.25" customHeight="1">
      <c r="A19" s="571"/>
      <c r="B19" s="571"/>
      <c r="C19" s="571"/>
      <c r="D19" s="571"/>
      <c r="E19" s="571"/>
      <c r="F19" s="571"/>
      <c r="G19" s="571"/>
      <c r="H19" s="571"/>
      <c r="I19" s="571"/>
      <c r="J19" s="571"/>
      <c r="K19" s="571"/>
    </row>
    <row r="20" spans="1:11" ht="17.25" customHeight="1">
      <c r="A20" s="571"/>
      <c r="B20" s="571"/>
      <c r="C20" s="571"/>
      <c r="D20" s="571"/>
      <c r="E20" s="571"/>
      <c r="F20" s="571"/>
      <c r="G20" s="571"/>
      <c r="H20" s="571"/>
      <c r="I20" s="571"/>
      <c r="J20" s="571"/>
      <c r="K20" s="571"/>
    </row>
    <row r="21" spans="1:11" ht="17.25" customHeight="1">
      <c r="A21" s="571"/>
      <c r="B21" s="571"/>
      <c r="C21" s="572"/>
      <c r="D21" s="571"/>
      <c r="E21" s="571"/>
      <c r="F21" s="571"/>
      <c r="G21" s="571"/>
      <c r="H21" s="571"/>
      <c r="I21" s="571"/>
      <c r="J21" s="571"/>
      <c r="K21" s="571"/>
    </row>
    <row r="22" spans="1:11" ht="17.25" customHeight="1">
      <c r="A22" s="571"/>
      <c r="B22" s="571"/>
      <c r="C22" s="571"/>
      <c r="D22" s="571"/>
      <c r="E22" s="571"/>
      <c r="F22" s="571"/>
      <c r="G22" s="571"/>
      <c r="H22" s="571"/>
      <c r="I22" s="571"/>
      <c r="J22" s="571"/>
      <c r="K22" s="571"/>
    </row>
    <row r="23" spans="1:11" ht="17.25" customHeight="1">
      <c r="A23" s="571"/>
      <c r="B23" s="571"/>
      <c r="C23" s="571"/>
      <c r="D23" s="571"/>
      <c r="E23" s="571"/>
      <c r="F23" s="571"/>
      <c r="G23" s="571"/>
      <c r="H23" s="571"/>
      <c r="I23" s="571"/>
      <c r="J23" s="571"/>
      <c r="K23" s="571"/>
    </row>
    <row r="24" spans="1:11" ht="17.25" customHeight="1">
      <c r="A24" s="571"/>
      <c r="B24" s="571"/>
      <c r="C24" s="571"/>
      <c r="D24" s="571"/>
      <c r="E24" s="571"/>
      <c r="F24" s="571"/>
      <c r="G24" s="571"/>
      <c r="H24" s="571"/>
      <c r="I24" s="571"/>
      <c r="J24" s="571"/>
      <c r="K24" s="571"/>
    </row>
    <row r="25" spans="1:11" ht="17.25" customHeight="1">
      <c r="A25" s="571"/>
      <c r="B25" s="571"/>
      <c r="C25" s="571"/>
      <c r="D25" s="571"/>
      <c r="E25" s="571"/>
      <c r="F25" s="571"/>
      <c r="G25" s="571"/>
      <c r="H25" s="571"/>
      <c r="I25" s="571"/>
      <c r="J25" s="571"/>
      <c r="K25" s="571"/>
    </row>
    <row r="26" spans="1:11" ht="17.25" customHeight="1">
      <c r="A26" s="571"/>
      <c r="B26" s="571"/>
      <c r="C26" s="571"/>
      <c r="D26" s="571"/>
      <c r="E26" s="571"/>
      <c r="F26" s="571"/>
      <c r="G26" s="571"/>
      <c r="H26" s="571"/>
      <c r="I26" s="571"/>
      <c r="J26" s="571"/>
      <c r="K26" s="571"/>
    </row>
    <row r="27" spans="1:11" ht="17.25" customHeight="1">
      <c r="A27" s="571"/>
      <c r="B27" s="571"/>
      <c r="C27" s="571"/>
      <c r="D27" s="571"/>
      <c r="E27" s="571"/>
      <c r="F27" s="571"/>
      <c r="G27" s="571"/>
      <c r="H27" s="571"/>
      <c r="I27" s="571"/>
      <c r="J27" s="571"/>
      <c r="K27" s="571"/>
    </row>
    <row r="28" spans="1:11" ht="17.25" customHeight="1">
      <c r="A28" s="571"/>
      <c r="B28" s="571"/>
      <c r="C28" s="571"/>
      <c r="D28" s="571"/>
      <c r="E28" s="571"/>
      <c r="F28" s="571"/>
      <c r="G28" s="571"/>
      <c r="H28" s="571"/>
      <c r="I28" s="571"/>
      <c r="J28" s="571"/>
      <c r="K28" s="571"/>
    </row>
    <row r="29" spans="1:11" ht="17.25" customHeight="1">
      <c r="A29" s="571"/>
      <c r="B29" s="571"/>
      <c r="C29" s="571"/>
      <c r="D29" s="571"/>
      <c r="E29" s="571"/>
      <c r="F29" s="571"/>
      <c r="G29" s="571"/>
      <c r="H29" s="571"/>
      <c r="I29" s="571"/>
      <c r="J29" s="571"/>
      <c r="K29" s="571"/>
    </row>
    <row r="30" spans="1:11" ht="17.25" customHeight="1">
      <c r="A30" s="571"/>
      <c r="B30" s="571"/>
      <c r="C30" s="571"/>
      <c r="D30" s="571"/>
      <c r="E30" s="571"/>
      <c r="F30" s="571"/>
      <c r="G30" s="571"/>
      <c r="H30" s="571"/>
      <c r="I30" s="571"/>
      <c r="J30" s="571"/>
      <c r="K30" s="571"/>
    </row>
    <row r="31" spans="1:11" ht="17.25" customHeight="1">
      <c r="A31" s="571"/>
      <c r="B31" s="571"/>
      <c r="C31" s="571"/>
      <c r="D31" s="571"/>
      <c r="E31" s="571"/>
      <c r="F31" s="571"/>
      <c r="G31" s="571"/>
      <c r="H31" s="571"/>
      <c r="I31" s="571"/>
      <c r="J31" s="571"/>
      <c r="K31" s="571"/>
    </row>
    <row r="32" spans="1:11" ht="17.25" customHeight="1">
      <c r="A32" s="571"/>
      <c r="B32" s="571"/>
      <c r="C32" s="571"/>
      <c r="D32" s="571"/>
      <c r="E32" s="571"/>
      <c r="F32" s="571"/>
      <c r="G32" s="571"/>
      <c r="H32" s="571"/>
      <c r="I32" s="571"/>
      <c r="J32" s="571"/>
      <c r="K32" s="571"/>
    </row>
    <row r="33" spans="1:11" ht="17.25" customHeight="1">
      <c r="A33" s="571"/>
      <c r="B33" s="571"/>
      <c r="C33" s="571"/>
      <c r="D33" s="571"/>
      <c r="E33" s="571"/>
      <c r="F33" s="571"/>
      <c r="G33" s="571"/>
      <c r="H33" s="571"/>
      <c r="I33" s="571"/>
      <c r="J33" s="571"/>
      <c r="K33" s="571"/>
    </row>
    <row r="34" spans="1:11" ht="17.25" customHeight="1">
      <c r="A34" s="571"/>
      <c r="B34" s="571"/>
      <c r="C34" s="571"/>
      <c r="D34" s="571"/>
      <c r="E34" s="571"/>
      <c r="F34" s="571"/>
      <c r="G34" s="571"/>
      <c r="H34" s="571"/>
      <c r="I34" s="571"/>
      <c r="J34" s="571"/>
      <c r="K34" s="571"/>
    </row>
    <row r="35" spans="1:11" ht="17.25" customHeight="1">
      <c r="A35" s="571"/>
      <c r="B35" s="571"/>
      <c r="C35" s="571"/>
      <c r="D35" s="571"/>
      <c r="E35" s="571"/>
      <c r="F35" s="571"/>
      <c r="G35" s="571"/>
      <c r="H35" s="571"/>
      <c r="I35" s="571"/>
      <c r="J35" s="571"/>
      <c r="K35" s="571"/>
    </row>
    <row r="36" spans="1:11" ht="17.25" customHeight="1">
      <c r="A36" s="571"/>
      <c r="B36" s="571"/>
      <c r="C36" s="571"/>
      <c r="D36" s="571"/>
      <c r="E36" s="571"/>
      <c r="F36" s="571"/>
      <c r="G36" s="571"/>
      <c r="H36" s="571"/>
      <c r="I36" s="571"/>
      <c r="J36" s="571"/>
      <c r="K36" s="571"/>
    </row>
    <row r="37" spans="1:11" ht="17.25" customHeight="1">
      <c r="A37" s="571"/>
      <c r="B37" s="571"/>
      <c r="C37" s="571"/>
      <c r="D37" s="571"/>
      <c r="E37" s="571"/>
      <c r="F37" s="571"/>
      <c r="G37" s="571"/>
      <c r="H37" s="571"/>
      <c r="I37" s="571"/>
      <c r="J37" s="571"/>
      <c r="K37" s="571"/>
    </row>
    <row r="38" spans="1:11" ht="17.25" customHeight="1">
      <c r="A38" s="571"/>
      <c r="B38" s="571"/>
      <c r="C38" s="571"/>
      <c r="D38" s="571"/>
      <c r="E38" s="571"/>
      <c r="G38" s="571"/>
      <c r="H38" s="571"/>
      <c r="I38" s="571"/>
      <c r="J38" s="571"/>
      <c r="K38" s="571"/>
    </row>
    <row r="39" spans="1:11" ht="17.25" customHeight="1">
      <c r="A39" s="571"/>
      <c r="B39" s="571"/>
      <c r="C39" s="571"/>
      <c r="D39" s="571"/>
      <c r="E39" s="571"/>
      <c r="F39" s="571"/>
      <c r="G39" s="571"/>
      <c r="H39" s="571"/>
      <c r="I39" s="571"/>
      <c r="J39" s="571"/>
      <c r="K39" s="571"/>
    </row>
    <row r="40" spans="1:11" ht="17.25" customHeight="1">
      <c r="A40" s="571"/>
      <c r="B40" s="571"/>
      <c r="C40" s="571"/>
      <c r="D40" s="571"/>
      <c r="E40" s="571"/>
      <c r="F40" s="571"/>
      <c r="G40" s="571"/>
      <c r="H40" s="571"/>
      <c r="I40" s="571"/>
      <c r="J40" s="571"/>
      <c r="K40" s="571"/>
    </row>
    <row r="41" spans="1:11" ht="17.25" customHeight="1">
      <c r="A41" s="571"/>
      <c r="B41" s="571"/>
      <c r="C41" s="571"/>
      <c r="D41" s="571"/>
      <c r="E41" s="571"/>
      <c r="F41" s="571"/>
      <c r="G41" s="571"/>
      <c r="H41" s="571"/>
      <c r="I41" s="571"/>
      <c r="J41" s="571"/>
      <c r="K41" s="571"/>
    </row>
    <row r="42" spans="1:11" ht="17.25" customHeight="1">
      <c r="A42" s="571"/>
      <c r="B42" s="571"/>
      <c r="C42" s="571"/>
      <c r="D42" s="571"/>
      <c r="E42" s="571"/>
      <c r="F42" s="571"/>
      <c r="G42" s="571"/>
      <c r="H42" s="571"/>
      <c r="I42" s="571"/>
      <c r="J42" s="571"/>
      <c r="K42" s="571"/>
    </row>
    <row r="43" spans="1:11" ht="16.5" customHeight="1">
      <c r="A43" s="571"/>
      <c r="B43" s="571"/>
      <c r="C43" s="571"/>
      <c r="D43" s="571"/>
      <c r="E43" s="571"/>
      <c r="F43" s="571"/>
      <c r="G43" s="571"/>
      <c r="H43" s="571"/>
      <c r="I43" s="571"/>
      <c r="J43" s="571"/>
      <c r="K43" s="571"/>
    </row>
    <row r="44" spans="1:11" ht="16.5" customHeight="1">
      <c r="G44" s="567"/>
      <c r="H44" s="567"/>
      <c r="I44" s="567"/>
      <c r="J44" s="567"/>
      <c r="K44" s="567"/>
    </row>
    <row r="45" spans="1:11" ht="16.5" customHeight="1">
      <c r="G45" s="567"/>
      <c r="H45" s="567"/>
      <c r="I45" s="567"/>
      <c r="J45" s="567"/>
      <c r="K45" s="567"/>
    </row>
    <row r="46" spans="1:11" ht="16.5" customHeight="1">
      <c r="B46" s="2291" t="s">
        <v>204</v>
      </c>
      <c r="C46" s="2285" t="s">
        <v>182</v>
      </c>
      <c r="D46" s="2294" t="s">
        <v>750</v>
      </c>
      <c r="E46" s="2295"/>
      <c r="F46" s="2296"/>
      <c r="G46" s="2294" t="s">
        <v>751</v>
      </c>
      <c r="H46" s="2295"/>
      <c r="I46" s="2296"/>
      <c r="J46" s="503" t="s">
        <v>186</v>
      </c>
      <c r="K46" s="2285" t="s">
        <v>895</v>
      </c>
    </row>
    <row r="47" spans="1:11" ht="16.5" customHeight="1">
      <c r="B47" s="2292"/>
      <c r="C47" s="2286"/>
      <c r="D47" s="2297"/>
      <c r="E47" s="2298"/>
      <c r="F47" s="2299"/>
      <c r="G47" s="2297"/>
      <c r="H47" s="2298"/>
      <c r="I47" s="2299"/>
      <c r="J47" s="566" t="s">
        <v>1053</v>
      </c>
      <c r="K47" s="2286"/>
    </row>
    <row r="48" spans="1:11" ht="16.5" customHeight="1">
      <c r="B48" s="505">
        <v>1</v>
      </c>
      <c r="C48" s="573" t="s">
        <v>1054</v>
      </c>
      <c r="D48" s="573" t="str">
        <f>กรอกราคาวัสดุ!B10</f>
        <v>ในสายทาง บ้านโคกไม้งาม</v>
      </c>
      <c r="E48" s="574"/>
      <c r="F48" s="575"/>
      <c r="G48" s="2300"/>
      <c r="H48" s="2300"/>
      <c r="I48" s="2300"/>
      <c r="J48" s="1198">
        <v>1</v>
      </c>
      <c r="K48" s="576" t="s">
        <v>1055</v>
      </c>
    </row>
    <row r="49" spans="2:11" ht="16.5" customHeight="1">
      <c r="B49" s="506">
        <v>2</v>
      </c>
      <c r="C49" s="577" t="s">
        <v>897</v>
      </c>
      <c r="D49" s="577" t="str">
        <f>กรอกราคาวัสดุ!B11</f>
        <v>อ.จักราช  จ.นครราชสีมา</v>
      </c>
      <c r="E49" s="578"/>
      <c r="F49" s="576"/>
      <c r="G49" s="2287"/>
      <c r="H49" s="2287"/>
      <c r="I49" s="2287"/>
      <c r="J49" s="1199">
        <v>25</v>
      </c>
      <c r="K49" s="576" t="s">
        <v>1055</v>
      </c>
    </row>
    <row r="50" spans="2:11" ht="16.5" customHeight="1">
      <c r="B50" s="506">
        <v>3</v>
      </c>
      <c r="C50" s="577" t="s">
        <v>1058</v>
      </c>
      <c r="D50" s="577" t="str">
        <f>กรอกราคาวัสดุ!B13</f>
        <v>อ.โชคชัย  จ.นครราชสีมา</v>
      </c>
      <c r="E50" s="578"/>
      <c r="F50" s="576"/>
      <c r="G50" s="2287"/>
      <c r="H50" s="2287"/>
      <c r="I50" s="2287"/>
      <c r="J50" s="1199">
        <v>140</v>
      </c>
      <c r="K50" s="576" t="s">
        <v>1055</v>
      </c>
    </row>
    <row r="51" spans="2:11" ht="16.5" customHeight="1">
      <c r="B51" s="506">
        <v>4</v>
      </c>
      <c r="C51" s="577" t="s">
        <v>1059</v>
      </c>
      <c r="D51" s="577" t="str">
        <f>กรอกราคาวัสดุ!B13</f>
        <v>อ.โชคชัย  จ.นครราชสีมา</v>
      </c>
      <c r="E51" s="578"/>
      <c r="F51" s="576"/>
      <c r="G51" s="2287"/>
      <c r="H51" s="2287"/>
      <c r="I51" s="2287"/>
      <c r="J51" s="1199">
        <f>J50</f>
        <v>140</v>
      </c>
      <c r="K51" s="576" t="s">
        <v>1055</v>
      </c>
    </row>
    <row r="52" spans="2:11" ht="16.5" customHeight="1">
      <c r="B52" s="506">
        <v>5</v>
      </c>
      <c r="C52" s="577" t="s">
        <v>1091</v>
      </c>
      <c r="D52" s="577" t="str">
        <f>กรอกราคาวัสดุ!B16</f>
        <v>อ.โชคชัย  จ.นครราชสีมา</v>
      </c>
      <c r="E52" s="578"/>
      <c r="F52" s="576"/>
      <c r="G52" s="2287"/>
      <c r="H52" s="2287"/>
      <c r="I52" s="2287"/>
      <c r="J52" s="1199">
        <f>J50</f>
        <v>140</v>
      </c>
      <c r="K52" s="576" t="s">
        <v>1055</v>
      </c>
    </row>
    <row r="53" spans="2:11" ht="16.5" customHeight="1">
      <c r="B53" s="506">
        <v>6</v>
      </c>
      <c r="C53" s="577" t="s">
        <v>1233</v>
      </c>
      <c r="D53" s="577" t="str">
        <f>กรอกราคาวัสดุ!B40</f>
        <v>อ.เมือง  จ.นครราชสีมา</v>
      </c>
      <c r="E53" s="578"/>
      <c r="F53" s="576"/>
      <c r="G53" s="2287"/>
      <c r="H53" s="2287"/>
      <c r="I53" s="2287"/>
      <c r="J53" s="1199">
        <v>62</v>
      </c>
      <c r="K53" s="576" t="s">
        <v>1055</v>
      </c>
    </row>
    <row r="54" spans="2:11" ht="16.5" customHeight="1">
      <c r="B54" s="506">
        <v>7</v>
      </c>
      <c r="C54" s="577" t="s">
        <v>578</v>
      </c>
      <c r="D54" s="577" t="str">
        <f>กรอกราคาวัสดุ!B38</f>
        <v>อ.พิมาย  จ.นครราชสีมา</v>
      </c>
      <c r="E54" s="578"/>
      <c r="F54" s="576"/>
      <c r="G54" s="2287"/>
      <c r="H54" s="2287"/>
      <c r="I54" s="2287"/>
      <c r="J54" s="1199">
        <v>45</v>
      </c>
      <c r="K54" s="576" t="s">
        <v>1055</v>
      </c>
    </row>
    <row r="55" spans="2:11" ht="16.5" customHeight="1">
      <c r="B55" s="506">
        <v>8</v>
      </c>
      <c r="C55" s="577" t="s">
        <v>1056</v>
      </c>
      <c r="D55" s="577" t="str">
        <f>กรอกราคาวัสดุ!B29</f>
        <v>อ.ศรีราชา  จ.ชลบุรี</v>
      </c>
      <c r="E55" s="578"/>
      <c r="F55" s="576"/>
      <c r="G55" s="2287"/>
      <c r="H55" s="2287"/>
      <c r="I55" s="2287"/>
      <c r="J55" s="1199">
        <v>380</v>
      </c>
      <c r="K55" s="576" t="s">
        <v>1055</v>
      </c>
    </row>
    <row r="56" spans="2:11" ht="16.5" customHeight="1">
      <c r="B56" s="506">
        <v>9</v>
      </c>
      <c r="C56" s="577" t="s">
        <v>433</v>
      </c>
      <c r="D56" s="577" t="str">
        <f>กรอกราคาวัสดุ!B13</f>
        <v>อ.โชคชัย  จ.นครราชสีมา</v>
      </c>
      <c r="E56" s="578"/>
      <c r="F56" s="576"/>
      <c r="G56" s="2287"/>
      <c r="H56" s="2287"/>
      <c r="I56" s="2287"/>
      <c r="J56" s="1199">
        <f>J50</f>
        <v>140</v>
      </c>
      <c r="K56" s="576" t="s">
        <v>1057</v>
      </c>
    </row>
    <row r="57" spans="2:11" ht="16.5" customHeight="1">
      <c r="B57" s="568">
        <v>10</v>
      </c>
      <c r="C57" s="577" t="s">
        <v>521</v>
      </c>
      <c r="D57" s="577" t="s">
        <v>422</v>
      </c>
      <c r="E57" s="2302" t="s">
        <v>752</v>
      </c>
      <c r="F57" s="2303"/>
      <c r="G57" s="2293"/>
      <c r="H57" s="2293"/>
      <c r="I57" s="2293"/>
      <c r="J57" s="1200">
        <v>1</v>
      </c>
      <c r="K57" s="576" t="s">
        <v>1055</v>
      </c>
    </row>
    <row r="58" spans="2:11" ht="16.5" customHeight="1">
      <c r="B58" s="568">
        <v>11</v>
      </c>
      <c r="C58" s="763" t="s">
        <v>349</v>
      </c>
      <c r="D58" s="763" t="s">
        <v>1232</v>
      </c>
      <c r="E58" s="764"/>
      <c r="F58" s="765"/>
      <c r="G58" s="2287"/>
      <c r="H58" s="2287"/>
      <c r="I58" s="2287"/>
      <c r="J58" s="1200">
        <v>365</v>
      </c>
      <c r="K58" s="579" t="s">
        <v>905</v>
      </c>
    </row>
    <row r="59" spans="2:11" ht="16.5" customHeight="1">
      <c r="B59" s="507">
        <v>12</v>
      </c>
      <c r="C59" s="580" t="s">
        <v>778</v>
      </c>
      <c r="D59" s="581" t="s">
        <v>172</v>
      </c>
      <c r="E59" s="582"/>
      <c r="F59" s="583"/>
      <c r="G59" s="2288"/>
      <c r="H59" s="2288"/>
      <c r="I59" s="2288"/>
      <c r="J59" s="1201">
        <f>J53</f>
        <v>62</v>
      </c>
      <c r="K59" s="583"/>
    </row>
  </sheetData>
  <mergeCells count="20">
    <mergeCell ref="G54:I54"/>
    <mergeCell ref="G59:I59"/>
    <mergeCell ref="G58:I58"/>
    <mergeCell ref="A1:K1"/>
    <mergeCell ref="B46:B47"/>
    <mergeCell ref="G57:I57"/>
    <mergeCell ref="G46:I47"/>
    <mergeCell ref="D46:F47"/>
    <mergeCell ref="G56:I56"/>
    <mergeCell ref="G55:I55"/>
    <mergeCell ref="K46:K47"/>
    <mergeCell ref="G48:I48"/>
    <mergeCell ref="G49:I49"/>
    <mergeCell ref="A2:B2"/>
    <mergeCell ref="E57:F57"/>
    <mergeCell ref="C46:C47"/>
    <mergeCell ref="G50:I50"/>
    <mergeCell ref="G52:I52"/>
    <mergeCell ref="G51:I51"/>
    <mergeCell ref="G53:I53"/>
  </mergeCells>
  <phoneticPr fontId="49" type="noConversion"/>
  <pageMargins left="0.55118110236220474" right="0" top="0.59055118110236227" bottom="0.19685039370078741" header="0" footer="0"/>
  <pageSetup paperSize="9" scale="75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>
    <tabColor rgb="FF00B0F0"/>
  </sheetPr>
  <dimension ref="A1:I65"/>
  <sheetViews>
    <sheetView topLeftCell="A22" workbookViewId="0">
      <selection activeCell="N61" sqref="N61"/>
    </sheetView>
  </sheetViews>
  <sheetFormatPr defaultColWidth="9.33203125" defaultRowHeight="18.75"/>
  <cols>
    <col min="1" max="1" width="36.5" style="1540" customWidth="1"/>
    <col min="2" max="4" width="13.33203125" style="1540" customWidth="1"/>
    <col min="5" max="5" width="18.6640625" style="1613" customWidth="1"/>
    <col min="6" max="6" width="16.33203125" style="1540" customWidth="1"/>
    <col min="7" max="16384" width="9.33203125" style="1540"/>
  </cols>
  <sheetData>
    <row r="1" spans="1:7" ht="41.25" customHeight="1">
      <c r="A1" s="2304" t="s">
        <v>923</v>
      </c>
      <c r="B1" s="2304"/>
      <c r="C1" s="2304"/>
      <c r="D1" s="2304"/>
      <c r="E1" s="2304"/>
      <c r="F1" s="2304"/>
    </row>
    <row r="2" spans="1:7" ht="35.25" customHeight="1">
      <c r="A2" s="1541" t="s">
        <v>924</v>
      </c>
      <c r="B2" s="1542"/>
      <c r="C2" s="1543"/>
      <c r="D2" s="1544"/>
      <c r="E2" s="1545" t="s">
        <v>228</v>
      </c>
      <c r="F2" s="1546" t="s">
        <v>895</v>
      </c>
      <c r="G2" s="1547"/>
    </row>
    <row r="3" spans="1:7">
      <c r="A3" s="1548" t="s">
        <v>231</v>
      </c>
      <c r="B3" s="1549"/>
      <c r="C3" s="1550"/>
      <c r="D3" s="1551"/>
      <c r="E3" s="1552">
        <v>9910</v>
      </c>
      <c r="F3" s="1553"/>
    </row>
    <row r="4" spans="1:7">
      <c r="A4" s="1554" t="s">
        <v>484</v>
      </c>
      <c r="B4" s="1555"/>
      <c r="C4" s="1555"/>
      <c r="D4" s="1556"/>
      <c r="E4" s="1557">
        <v>4040</v>
      </c>
      <c r="F4" s="1558"/>
    </row>
    <row r="5" spans="1:7">
      <c r="A5" s="1554" t="s">
        <v>159</v>
      </c>
      <c r="B5" s="1555"/>
      <c r="C5" s="1555"/>
      <c r="D5" s="1556"/>
      <c r="E5" s="1557">
        <v>2380</v>
      </c>
      <c r="F5" s="1558"/>
    </row>
    <row r="6" spans="1:7">
      <c r="A6" s="1554" t="s">
        <v>1156</v>
      </c>
      <c r="B6" s="1555"/>
      <c r="C6" s="1555"/>
      <c r="D6" s="1556"/>
      <c r="E6" s="1557">
        <v>2660</v>
      </c>
      <c r="F6" s="1558"/>
    </row>
    <row r="7" spans="1:7">
      <c r="A7" s="1554" t="s">
        <v>1157</v>
      </c>
      <c r="B7" s="1555"/>
      <c r="C7" s="1555"/>
      <c r="D7" s="1556"/>
      <c r="E7" s="1557">
        <v>2660</v>
      </c>
      <c r="F7" s="1558"/>
    </row>
    <row r="8" spans="1:7">
      <c r="A8" s="1554" t="s">
        <v>1163</v>
      </c>
      <c r="B8" s="1555"/>
      <c r="C8" s="1555"/>
      <c r="D8" s="1556"/>
      <c r="E8" s="1557">
        <v>2840</v>
      </c>
      <c r="F8" s="1558"/>
    </row>
    <row r="9" spans="1:7">
      <c r="A9" s="1554" t="s">
        <v>1160</v>
      </c>
      <c r="B9" s="1555"/>
      <c r="C9" s="1555"/>
      <c r="D9" s="1556"/>
      <c r="E9" s="1557">
        <v>4040</v>
      </c>
      <c r="F9" s="1558"/>
    </row>
    <row r="10" spans="1:7">
      <c r="A10" s="1554" t="s">
        <v>945</v>
      </c>
      <c r="B10" s="1555"/>
      <c r="C10" s="1555"/>
      <c r="D10" s="1556"/>
      <c r="E10" s="1557">
        <v>4830</v>
      </c>
      <c r="F10" s="1558"/>
    </row>
    <row r="11" spans="1:7">
      <c r="A11" s="1554" t="s">
        <v>1164</v>
      </c>
      <c r="B11" s="1555"/>
      <c r="C11" s="1555"/>
      <c r="D11" s="1556"/>
      <c r="E11" s="1557">
        <v>4040</v>
      </c>
      <c r="F11" s="1558"/>
    </row>
    <row r="12" spans="1:7">
      <c r="A12" s="1554" t="s">
        <v>910</v>
      </c>
      <c r="B12" s="1555"/>
      <c r="C12" s="1555"/>
      <c r="D12" s="1556"/>
      <c r="E12" s="1557">
        <v>4550</v>
      </c>
      <c r="F12" s="1558" t="s">
        <v>849</v>
      </c>
    </row>
    <row r="13" spans="1:7">
      <c r="A13" s="1554" t="s">
        <v>910</v>
      </c>
      <c r="B13" s="1555"/>
      <c r="C13" s="1555"/>
      <c r="D13" s="1556"/>
      <c r="E13" s="1557">
        <v>7090</v>
      </c>
      <c r="F13" s="1558" t="s">
        <v>850</v>
      </c>
    </row>
    <row r="14" spans="1:7">
      <c r="A14" s="1554" t="s">
        <v>911</v>
      </c>
      <c r="B14" s="1555"/>
      <c r="C14" s="1555"/>
      <c r="D14" s="1556"/>
      <c r="E14" s="1557">
        <v>3920</v>
      </c>
      <c r="F14" s="1558"/>
    </row>
    <row r="15" spans="1:7">
      <c r="A15" s="1554" t="s">
        <v>1166</v>
      </c>
      <c r="B15" s="1555"/>
      <c r="C15" s="1555"/>
      <c r="D15" s="1556"/>
      <c r="E15" s="1557">
        <v>6070</v>
      </c>
      <c r="F15" s="1558"/>
    </row>
    <row r="16" spans="1:7">
      <c r="A16" s="1554" t="s">
        <v>160</v>
      </c>
      <c r="B16" s="1555"/>
      <c r="C16" s="1555"/>
      <c r="D16" s="1556"/>
      <c r="E16" s="1557">
        <v>4940</v>
      </c>
      <c r="F16" s="1558"/>
    </row>
    <row r="17" spans="1:6">
      <c r="A17" s="1554" t="s">
        <v>1168</v>
      </c>
      <c r="B17" s="1555"/>
      <c r="C17" s="1555"/>
      <c r="D17" s="1556"/>
      <c r="E17" s="1557">
        <v>3920</v>
      </c>
      <c r="F17" s="1558"/>
    </row>
    <row r="18" spans="1:6">
      <c r="A18" s="1554" t="s">
        <v>1171</v>
      </c>
      <c r="B18" s="1555"/>
      <c r="C18" s="1555"/>
      <c r="D18" s="1556"/>
      <c r="E18" s="1557">
        <v>3920</v>
      </c>
      <c r="F18" s="1558"/>
    </row>
    <row r="19" spans="1:6">
      <c r="A19" s="1554" t="s">
        <v>161</v>
      </c>
      <c r="B19" s="1555"/>
      <c r="C19" s="1555"/>
      <c r="D19" s="1556"/>
      <c r="E19" s="1557">
        <v>5020</v>
      </c>
      <c r="F19" s="1558"/>
    </row>
    <row r="20" spans="1:6">
      <c r="A20" s="1554" t="s">
        <v>1155</v>
      </c>
      <c r="B20" s="1555"/>
      <c r="C20" s="1555"/>
      <c r="D20" s="1556"/>
      <c r="E20" s="1557">
        <v>2840</v>
      </c>
      <c r="F20" s="1558"/>
    </row>
    <row r="21" spans="1:6">
      <c r="A21" s="1554" t="s">
        <v>162</v>
      </c>
      <c r="B21" s="1555"/>
      <c r="C21" s="1555"/>
      <c r="D21" s="1556"/>
      <c r="E21" s="1557">
        <v>4240</v>
      </c>
      <c r="F21" s="1558"/>
    </row>
    <row r="22" spans="1:6">
      <c r="A22" s="1554" t="s">
        <v>163</v>
      </c>
      <c r="B22" s="1555"/>
      <c r="C22" s="1555"/>
      <c r="D22" s="1556"/>
      <c r="E22" s="1557">
        <v>4380</v>
      </c>
      <c r="F22" s="1558"/>
    </row>
    <row r="23" spans="1:6">
      <c r="A23" s="1554" t="s">
        <v>164</v>
      </c>
      <c r="B23" s="1555"/>
      <c r="C23" s="1555"/>
      <c r="D23" s="1556"/>
      <c r="E23" s="1557">
        <v>8510</v>
      </c>
      <c r="F23" s="1558"/>
    </row>
    <row r="24" spans="1:6">
      <c r="A24" s="1554" t="s">
        <v>1179</v>
      </c>
      <c r="B24" s="1555"/>
      <c r="C24" s="1555"/>
      <c r="D24" s="1556"/>
      <c r="E24" s="1557">
        <v>13040</v>
      </c>
      <c r="F24" s="1558"/>
    </row>
    <row r="25" spans="1:6">
      <c r="A25" s="1554" t="s">
        <v>1180</v>
      </c>
      <c r="B25" s="1555"/>
      <c r="C25" s="1555"/>
      <c r="D25" s="1556"/>
      <c r="E25" s="1557">
        <v>17690</v>
      </c>
      <c r="F25" s="1558"/>
    </row>
    <row r="26" spans="1:6">
      <c r="A26" s="1554" t="s">
        <v>165</v>
      </c>
      <c r="B26" s="1555"/>
      <c r="C26" s="1555"/>
      <c r="D26" s="1556"/>
      <c r="E26" s="1557">
        <v>7920</v>
      </c>
      <c r="F26" s="1558"/>
    </row>
    <row r="27" spans="1:6">
      <c r="A27" s="1554" t="s">
        <v>1181</v>
      </c>
      <c r="B27" s="1555"/>
      <c r="C27" s="1555"/>
      <c r="D27" s="1556"/>
      <c r="E27" s="1557">
        <v>11860</v>
      </c>
      <c r="F27" s="1558"/>
    </row>
    <row r="28" spans="1:6">
      <c r="A28" s="1554" t="s">
        <v>1182</v>
      </c>
      <c r="B28" s="1555"/>
      <c r="C28" s="1555"/>
      <c r="D28" s="1556"/>
      <c r="E28" s="1557">
        <v>15920</v>
      </c>
      <c r="F28" s="1558"/>
    </row>
    <row r="29" spans="1:6">
      <c r="A29" s="1554" t="s">
        <v>166</v>
      </c>
      <c r="B29" s="1555"/>
      <c r="C29" s="1555"/>
      <c r="D29" s="1556"/>
      <c r="E29" s="1557">
        <v>8510</v>
      </c>
      <c r="F29" s="1558"/>
    </row>
    <row r="30" spans="1:6">
      <c r="A30" s="1554" t="s">
        <v>167</v>
      </c>
      <c r="B30" s="1555"/>
      <c r="C30" s="1555"/>
      <c r="D30" s="1556"/>
      <c r="E30" s="1557">
        <v>5000</v>
      </c>
      <c r="F30" s="1558" t="s">
        <v>1224</v>
      </c>
    </row>
    <row r="31" spans="1:6">
      <c r="A31" s="1554" t="s">
        <v>1173</v>
      </c>
      <c r="B31" s="1555"/>
      <c r="C31" s="1555"/>
      <c r="D31" s="1556"/>
      <c r="E31" s="1557">
        <v>3860</v>
      </c>
      <c r="F31" s="1558" t="s">
        <v>1225</v>
      </c>
    </row>
    <row r="32" spans="1:6">
      <c r="A32" s="1554" t="s">
        <v>1174</v>
      </c>
      <c r="B32" s="1555"/>
      <c r="C32" s="1555"/>
      <c r="D32" s="1556"/>
      <c r="E32" s="1557">
        <v>3860</v>
      </c>
      <c r="F32" s="1558"/>
    </row>
    <row r="33" spans="1:7">
      <c r="A33" s="1554" t="s">
        <v>1175</v>
      </c>
      <c r="B33" s="1555"/>
      <c r="C33" s="1555"/>
      <c r="D33" s="1556"/>
      <c r="E33" s="1557">
        <v>2420</v>
      </c>
      <c r="F33" s="1558"/>
    </row>
    <row r="34" spans="1:7">
      <c r="A34" s="1559" t="s">
        <v>1176</v>
      </c>
      <c r="B34" s="1555"/>
      <c r="C34" s="1555"/>
      <c r="D34" s="1556"/>
      <c r="E34" s="1557">
        <v>3490</v>
      </c>
      <c r="F34" s="1558"/>
    </row>
    <row r="35" spans="1:7">
      <c r="A35" s="1559" t="s">
        <v>1177</v>
      </c>
      <c r="B35" s="1560"/>
      <c r="C35" s="1560"/>
      <c r="D35" s="1556"/>
      <c r="E35" s="1557">
        <v>3490</v>
      </c>
      <c r="F35" s="1561"/>
    </row>
    <row r="36" spans="1:7">
      <c r="A36" s="1559" t="s">
        <v>1226</v>
      </c>
      <c r="B36" s="1560"/>
      <c r="C36" s="1560"/>
      <c r="D36" s="1556"/>
      <c r="E36" s="1557">
        <v>3670</v>
      </c>
      <c r="F36" s="1561"/>
    </row>
    <row r="37" spans="1:7">
      <c r="A37" s="1559" t="s">
        <v>1227</v>
      </c>
      <c r="B37" s="1560"/>
      <c r="C37" s="1560"/>
      <c r="D37" s="1556"/>
      <c r="E37" s="1557">
        <v>5280</v>
      </c>
      <c r="F37" s="1561"/>
    </row>
    <row r="38" spans="1:7">
      <c r="A38" s="1559" t="s">
        <v>1183</v>
      </c>
      <c r="B38" s="1560"/>
      <c r="C38" s="1560"/>
      <c r="D38" s="1556"/>
      <c r="E38" s="1557">
        <v>3790</v>
      </c>
      <c r="F38" s="1561"/>
    </row>
    <row r="39" spans="1:7">
      <c r="A39" s="1559" t="s">
        <v>1215</v>
      </c>
      <c r="B39" s="1560"/>
      <c r="C39" s="1560"/>
      <c r="D39" s="1556"/>
      <c r="E39" s="1557">
        <v>3500</v>
      </c>
      <c r="F39" s="1561" t="s">
        <v>1216</v>
      </c>
    </row>
    <row r="40" spans="1:7">
      <c r="A40" s="1559"/>
      <c r="B40" s="1560"/>
      <c r="C40" s="1560"/>
      <c r="D40" s="1556"/>
      <c r="E40" s="1557"/>
      <c r="F40" s="1561"/>
    </row>
    <row r="41" spans="1:7">
      <c r="A41" s="1562"/>
      <c r="B41" s="1563"/>
      <c r="C41" s="1563"/>
      <c r="D41" s="1564"/>
      <c r="E41" s="1565"/>
      <c r="F41" s="1566"/>
    </row>
    <row r="42" spans="1:7">
      <c r="A42" s="1567" t="s">
        <v>232</v>
      </c>
      <c r="B42" s="1568"/>
      <c r="C42" s="1569"/>
      <c r="D42" s="1570"/>
      <c r="E42" s="1571"/>
      <c r="F42" s="1570"/>
      <c r="G42" s="930"/>
    </row>
    <row r="43" spans="1:7">
      <c r="A43" s="1572" t="s">
        <v>182</v>
      </c>
      <c r="B43" s="1573"/>
      <c r="C43" s="1414"/>
      <c r="D43" s="1574"/>
      <c r="E43" s="1575" t="s">
        <v>227</v>
      </c>
      <c r="F43" s="1576" t="s">
        <v>895</v>
      </c>
      <c r="G43" s="930"/>
    </row>
    <row r="44" spans="1:7">
      <c r="A44" s="1577" t="s">
        <v>236</v>
      </c>
      <c r="B44" s="1578"/>
      <c r="C44" s="1579"/>
      <c r="D44" s="1580"/>
      <c r="E44" s="1581">
        <v>480</v>
      </c>
      <c r="F44" s="1582" t="s">
        <v>1228</v>
      </c>
      <c r="G44" s="1202">
        <v>740</v>
      </c>
    </row>
    <row r="45" spans="1:7">
      <c r="A45" s="1583" t="s">
        <v>237</v>
      </c>
      <c r="B45" s="1584"/>
      <c r="C45" s="1585"/>
      <c r="D45" s="1586"/>
      <c r="E45" s="1587">
        <v>2260</v>
      </c>
      <c r="F45" s="1337"/>
      <c r="G45" s="1202"/>
    </row>
    <row r="46" spans="1:7">
      <c r="A46" s="1588" t="s">
        <v>238</v>
      </c>
      <c r="B46" s="1589"/>
      <c r="C46" s="1590"/>
      <c r="D46" s="1591"/>
      <c r="E46" s="1592">
        <v>340</v>
      </c>
      <c r="F46" s="1593"/>
      <c r="G46" s="1202"/>
    </row>
    <row r="47" spans="1:7">
      <c r="A47" s="1583" t="s">
        <v>860</v>
      </c>
      <c r="B47" s="1584"/>
      <c r="C47" s="1585"/>
      <c r="D47" s="1586"/>
      <c r="E47" s="1587">
        <v>215</v>
      </c>
      <c r="F47" s="1594"/>
      <c r="G47" s="1202"/>
    </row>
    <row r="48" spans="1:7">
      <c r="A48" s="1583" t="s">
        <v>485</v>
      </c>
      <c r="B48" s="1584"/>
      <c r="C48" s="1585"/>
      <c r="D48" s="1586"/>
      <c r="E48" s="1587">
        <v>290</v>
      </c>
      <c r="F48" s="1594"/>
      <c r="G48" s="1595"/>
    </row>
    <row r="49" spans="1:9">
      <c r="A49" s="1583" t="s">
        <v>242</v>
      </c>
      <c r="B49" s="1584"/>
      <c r="C49" s="1585"/>
      <c r="D49" s="1586"/>
      <c r="E49" s="1587">
        <v>105</v>
      </c>
      <c r="F49" s="1594"/>
      <c r="G49" s="1595"/>
    </row>
    <row r="50" spans="1:9">
      <c r="A50" s="1583" t="s">
        <v>239</v>
      </c>
      <c r="B50" s="1584"/>
      <c r="C50" s="1585"/>
      <c r="D50" s="1586"/>
      <c r="E50" s="1587">
        <v>870</v>
      </c>
      <c r="F50" s="1594"/>
      <c r="G50" s="1283"/>
    </row>
    <row r="51" spans="1:9">
      <c r="A51" s="1583" t="s">
        <v>851</v>
      </c>
      <c r="B51" s="1584"/>
      <c r="C51" s="1585"/>
      <c r="D51" s="1586"/>
      <c r="E51" s="1587">
        <v>1330</v>
      </c>
      <c r="F51" s="1594" t="s">
        <v>1153</v>
      </c>
      <c r="G51" s="1283"/>
    </row>
    <row r="52" spans="1:9">
      <c r="A52" s="1583" t="s">
        <v>852</v>
      </c>
      <c r="B52" s="1584"/>
      <c r="C52" s="1585"/>
      <c r="D52" s="1586"/>
      <c r="E52" s="1587">
        <v>1730</v>
      </c>
      <c r="F52" s="1594" t="s">
        <v>1184</v>
      </c>
      <c r="G52" s="1283"/>
    </row>
    <row r="53" spans="1:9">
      <c r="A53" s="1583" t="s">
        <v>233</v>
      </c>
      <c r="B53" s="1584"/>
      <c r="C53" s="1585"/>
      <c r="D53" s="1586"/>
      <c r="E53" s="1587">
        <v>3000</v>
      </c>
      <c r="F53" s="1594" t="s">
        <v>1229</v>
      </c>
      <c r="G53" s="1283"/>
      <c r="H53" s="1596">
        <f>7.35*400</f>
        <v>2940</v>
      </c>
      <c r="I53" s="1540">
        <f>2.45*0.1*10*3</f>
        <v>7.3500000000000005</v>
      </c>
    </row>
    <row r="54" spans="1:9">
      <c r="A54" s="1583" t="s">
        <v>234</v>
      </c>
      <c r="B54" s="1584"/>
      <c r="C54" s="1585"/>
      <c r="D54" s="1586"/>
      <c r="E54" s="1587">
        <v>1390</v>
      </c>
      <c r="F54" s="1594" t="s">
        <v>1230</v>
      </c>
      <c r="G54" s="1283"/>
      <c r="H54" s="1596">
        <f>4.8*280</f>
        <v>1344</v>
      </c>
      <c r="I54" s="1596">
        <f>0.4*2*6</f>
        <v>4.8000000000000007</v>
      </c>
    </row>
    <row r="55" spans="1:9">
      <c r="A55" s="1583" t="s">
        <v>235</v>
      </c>
      <c r="B55" s="1584"/>
      <c r="C55" s="1585"/>
      <c r="D55" s="1586"/>
      <c r="E55" s="1587"/>
      <c r="F55" s="1594"/>
      <c r="G55" s="1283"/>
    </row>
    <row r="56" spans="1:9">
      <c r="A56" s="1583" t="s">
        <v>240</v>
      </c>
      <c r="B56" s="1584"/>
      <c r="C56" s="1585"/>
      <c r="D56" s="1586"/>
      <c r="E56" s="1587">
        <v>138</v>
      </c>
      <c r="F56" s="1594"/>
      <c r="G56" s="1283"/>
    </row>
    <row r="57" spans="1:9">
      <c r="A57" s="1583" t="s">
        <v>241</v>
      </c>
      <c r="B57" s="1584"/>
      <c r="C57" s="1585"/>
      <c r="D57" s="1586"/>
      <c r="E57" s="1587">
        <v>19000</v>
      </c>
      <c r="F57" s="1594"/>
      <c r="G57" s="1283"/>
    </row>
    <row r="58" spans="1:9">
      <c r="A58" s="1301" t="s">
        <v>1213</v>
      </c>
      <c r="B58" s="1302"/>
      <c r="C58" s="1597"/>
      <c r="D58" s="1598"/>
      <c r="E58" s="1599">
        <v>21100</v>
      </c>
      <c r="F58" s="1600"/>
      <c r="G58" s="1283"/>
    </row>
    <row r="59" spans="1:9">
      <c r="A59" s="1601" t="s">
        <v>243</v>
      </c>
      <c r="B59" s="1602"/>
      <c r="C59" s="1570"/>
      <c r="D59" s="1570"/>
      <c r="E59" s="1603"/>
      <c r="F59" s="1570"/>
      <c r="G59" s="1283"/>
    </row>
    <row r="60" spans="1:9">
      <c r="A60" s="1604" t="s">
        <v>182</v>
      </c>
      <c r="B60" s="1605"/>
      <c r="C60" s="1606"/>
      <c r="D60" s="1574"/>
      <c r="E60" s="1607" t="s">
        <v>227</v>
      </c>
      <c r="F60" s="1576" t="s">
        <v>895</v>
      </c>
      <c r="G60" s="1283"/>
    </row>
    <row r="61" spans="1:9">
      <c r="A61" s="1583" t="s">
        <v>236</v>
      </c>
      <c r="B61" s="1584"/>
      <c r="C61" s="1585"/>
      <c r="D61" s="1586"/>
      <c r="E61" s="1587">
        <v>110</v>
      </c>
      <c r="F61" s="1594"/>
      <c r="G61" s="1283"/>
    </row>
    <row r="62" spans="1:9">
      <c r="A62" s="1583" t="s">
        <v>237</v>
      </c>
      <c r="B62" s="1584"/>
      <c r="C62" s="1585"/>
      <c r="D62" s="1586"/>
      <c r="E62" s="1587">
        <v>400</v>
      </c>
      <c r="F62" s="1594"/>
    </row>
    <row r="63" spans="1:9">
      <c r="A63" s="1583" t="s">
        <v>244</v>
      </c>
      <c r="B63" s="1584"/>
      <c r="C63" s="1585"/>
      <c r="D63" s="1586"/>
      <c r="E63" s="1587">
        <v>100</v>
      </c>
      <c r="F63" s="1594"/>
    </row>
    <row r="64" spans="1:9">
      <c r="A64" s="1608" t="s">
        <v>245</v>
      </c>
      <c r="B64" s="1609"/>
      <c r="C64" s="1610"/>
      <c r="D64" s="1611"/>
      <c r="E64" s="1612">
        <v>120</v>
      </c>
      <c r="F64" s="1348"/>
    </row>
    <row r="65" spans="5:5">
      <c r="E65" s="1540"/>
    </row>
  </sheetData>
  <mergeCells count="1">
    <mergeCell ref="A1:F1"/>
  </mergeCells>
  <phoneticPr fontId="31" type="noConversion"/>
  <printOptions horizontalCentered="1"/>
  <pageMargins left="0.39370078740157483" right="0.39370078740157483" top="0.78740157480314965" bottom="0.78740157480314965" header="0.51181102362204722" footer="0.51181102362204722"/>
  <pageSetup orientation="portrait" horizontalDpi="4294967293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6">
    <tabColor rgb="FF00B0F0"/>
  </sheetPr>
  <dimension ref="A1:O111"/>
  <sheetViews>
    <sheetView tabSelected="1" view="pageBreakPreview" zoomScale="125" zoomScaleSheetLayoutView="125" workbookViewId="0">
      <selection activeCell="C3" sqref="C3:L3"/>
    </sheetView>
  </sheetViews>
  <sheetFormatPr defaultColWidth="9.33203125" defaultRowHeight="17.25"/>
  <cols>
    <col min="1" max="1" width="6.33203125" style="928" customWidth="1"/>
    <col min="2" max="2" width="6.83203125" style="928" customWidth="1"/>
    <col min="3" max="3" width="15.1640625" style="928" customWidth="1"/>
    <col min="4" max="4" width="22.83203125" style="928" customWidth="1"/>
    <col min="5" max="5" width="7.83203125" style="928" customWidth="1"/>
    <col min="6" max="6" width="8.83203125" style="980" customWidth="1"/>
    <col min="7" max="7" width="10.33203125" style="947" customWidth="1"/>
    <col min="8" max="8" width="11.33203125" style="947" customWidth="1"/>
    <col min="9" max="9" width="7.83203125" style="947" customWidth="1"/>
    <col min="10" max="10" width="13.83203125" style="947" customWidth="1"/>
    <col min="11" max="11" width="14.83203125" style="947" customWidth="1"/>
    <col min="12" max="12" width="9.83203125" style="1856" customWidth="1"/>
    <col min="13" max="14" width="9.33203125" style="928"/>
    <col min="15" max="15" width="0" style="928" hidden="1" customWidth="1"/>
    <col min="16" max="16384" width="9.33203125" style="928"/>
  </cols>
  <sheetData>
    <row r="1" spans="1:12" ht="24.95" customHeight="1">
      <c r="A1" s="2246" t="s">
        <v>1096</v>
      </c>
      <c r="B1" s="2246"/>
      <c r="C1" s="2246"/>
      <c r="D1" s="2246"/>
      <c r="E1" s="2246"/>
      <c r="F1" s="2246"/>
      <c r="G1" s="2246"/>
      <c r="H1" s="2246"/>
      <c r="I1" s="2246"/>
      <c r="J1" s="2246"/>
      <c r="K1" s="2246"/>
      <c r="L1" s="2246"/>
    </row>
    <row r="2" spans="1:12" ht="24.95" customHeight="1">
      <c r="A2" s="933" t="s">
        <v>143</v>
      </c>
      <c r="B2" s="933"/>
      <c r="C2" s="930" t="s">
        <v>1996</v>
      </c>
      <c r="D2" s="930"/>
      <c r="E2" s="929"/>
      <c r="F2" s="930"/>
      <c r="G2" s="931"/>
      <c r="H2" s="930"/>
      <c r="I2" s="930"/>
      <c r="J2" s="930"/>
      <c r="K2" s="931"/>
    </row>
    <row r="3" spans="1:12" ht="39.950000000000003" customHeight="1">
      <c r="A3" s="2041" t="s">
        <v>468</v>
      </c>
      <c r="B3" s="934"/>
      <c r="C3" s="2312" t="str">
        <f>กรอกข้อมูล!B10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</v>
      </c>
      <c r="D3" s="2312"/>
      <c r="E3" s="2312"/>
      <c r="F3" s="2312"/>
      <c r="G3" s="2312"/>
      <c r="H3" s="2312"/>
      <c r="I3" s="2312"/>
      <c r="J3" s="2312"/>
      <c r="K3" s="2312"/>
      <c r="L3" s="2312"/>
    </row>
    <row r="4" spans="1:12" ht="24.95" customHeight="1">
      <c r="A4" s="588" t="s">
        <v>1097</v>
      </c>
      <c r="B4" s="933"/>
      <c r="C4" s="935"/>
      <c r="D4" s="935" t="str">
        <f>'ปร.5 road'!F2</f>
        <v>องค์การบริหารส่วนตำบลคลองเมือง</v>
      </c>
      <c r="E4" s="935"/>
      <c r="F4" s="933"/>
      <c r="G4" s="933"/>
      <c r="H4" s="2583" t="s">
        <v>1871</v>
      </c>
      <c r="I4" s="2583"/>
      <c r="J4" s="1303" t="str">
        <f>กรอกข้อมูล!B16</f>
        <v>1.400</v>
      </c>
      <c r="K4" s="1771" t="s">
        <v>784</v>
      </c>
      <c r="L4" s="2149"/>
    </row>
    <row r="5" spans="1:12" ht="24.95" customHeight="1">
      <c r="A5" s="2230" t="s">
        <v>941</v>
      </c>
      <c r="B5" s="2230"/>
      <c r="C5" s="1303" t="str">
        <f>กรอกข้อมูล!B16</f>
        <v>1.400</v>
      </c>
      <c r="D5" s="1378" t="s">
        <v>539</v>
      </c>
      <c r="E5" s="2098">
        <f>กรอกข้อมูล!D14</f>
        <v>6</v>
      </c>
      <c r="F5" s="932" t="s">
        <v>380</v>
      </c>
      <c r="H5" s="933" t="s">
        <v>1979</v>
      </c>
      <c r="I5" s="933"/>
      <c r="K5" s="1003">
        <f>กรอกข้อมูล!D15</f>
        <v>0</v>
      </c>
      <c r="L5" s="981" t="s">
        <v>380</v>
      </c>
    </row>
    <row r="6" spans="1:12" ht="24.95" customHeight="1">
      <c r="A6" s="933"/>
      <c r="B6" s="933"/>
      <c r="C6" s="935"/>
      <c r="D6" s="935"/>
      <c r="E6" s="935"/>
      <c r="F6" s="2136"/>
      <c r="G6" s="1379"/>
      <c r="H6" s="1379"/>
      <c r="I6" s="928"/>
      <c r="J6" s="1760" t="s">
        <v>669</v>
      </c>
      <c r="K6" s="935">
        <f>ค่างานต้นทุน!J562</f>
        <v>0.15</v>
      </c>
      <c r="L6" s="981" t="s">
        <v>380</v>
      </c>
    </row>
    <row r="7" spans="1:12" s="930" customFormat="1" ht="51.75">
      <c r="A7" s="2138" t="s">
        <v>809</v>
      </c>
      <c r="B7" s="2309" t="s">
        <v>182</v>
      </c>
      <c r="C7" s="2310"/>
      <c r="D7" s="2311"/>
      <c r="E7" s="2139" t="s">
        <v>184</v>
      </c>
      <c r="F7" s="2140" t="s">
        <v>183</v>
      </c>
      <c r="G7" s="2141" t="s">
        <v>464</v>
      </c>
      <c r="H7" s="2141" t="s">
        <v>466</v>
      </c>
      <c r="I7" s="2143" t="s">
        <v>1235</v>
      </c>
      <c r="J7" s="2142" t="s">
        <v>1863</v>
      </c>
      <c r="K7" s="2142" t="s">
        <v>465</v>
      </c>
      <c r="L7" s="2139" t="s">
        <v>895</v>
      </c>
    </row>
    <row r="8" spans="1:12">
      <c r="A8" s="983"/>
      <c r="B8" s="984" t="s">
        <v>1874</v>
      </c>
      <c r="C8" s="985"/>
      <c r="D8" s="986"/>
      <c r="E8" s="936"/>
      <c r="F8" s="937"/>
      <c r="G8" s="938"/>
      <c r="H8" s="938"/>
      <c r="I8" s="938"/>
      <c r="J8" s="938"/>
      <c r="K8" s="938"/>
      <c r="L8" s="2150"/>
    </row>
    <row r="9" spans="1:12">
      <c r="A9" s="987">
        <v>1</v>
      </c>
      <c r="B9" s="957" t="s">
        <v>156</v>
      </c>
      <c r="C9" s="988"/>
      <c r="D9" s="989"/>
      <c r="E9" s="939"/>
      <c r="F9" s="940"/>
      <c r="G9" s="941"/>
      <c r="H9" s="941"/>
      <c r="I9" s="941"/>
      <c r="J9" s="941"/>
      <c r="K9" s="941"/>
      <c r="L9" s="2151"/>
    </row>
    <row r="10" spans="1:12">
      <c r="A10" s="990"/>
      <c r="B10" s="944" t="s">
        <v>353</v>
      </c>
      <c r="C10" s="945"/>
      <c r="D10" s="946"/>
      <c r="E10" s="942" t="s">
        <v>890</v>
      </c>
      <c r="F10" s="940">
        <v>11200</v>
      </c>
      <c r="G10" s="941">
        <f>IF(F10&lt;=0,0,ค่างานต้นทุน!$I$51)</f>
        <v>1.81</v>
      </c>
      <c r="H10" s="941">
        <f>IF(F10&lt;=0,0,ROUND(F10*G10,2))</f>
        <v>20272</v>
      </c>
      <c r="I10" s="943">
        <f>IF(F10&lt;=0,0,'ปร.5 road'!$F$11)</f>
        <v>1.3607</v>
      </c>
      <c r="J10" s="941">
        <f>INT((G10*I10)/0.01)*0.01</f>
        <v>2.46</v>
      </c>
      <c r="K10" s="941">
        <f>IF(F10&lt;=0,0,ROUND(F10*J10,2))</f>
        <v>27552</v>
      </c>
      <c r="L10" s="2151"/>
    </row>
    <row r="11" spans="1:12">
      <c r="A11" s="990"/>
      <c r="B11" s="944" t="s">
        <v>1576</v>
      </c>
      <c r="C11" s="945"/>
      <c r="D11" s="946"/>
      <c r="E11" s="942" t="s">
        <v>890</v>
      </c>
      <c r="F11" s="940">
        <f>'ปร.4 road'!F9</f>
        <v>0</v>
      </c>
      <c r="G11" s="941">
        <f>IF(F11&lt;=0,0,ค่างานต้นทุน!$I$53)</f>
        <v>0</v>
      </c>
      <c r="H11" s="941">
        <f>IF(F11&lt;=0,0,ROUND(F11*G11,2))</f>
        <v>0</v>
      </c>
      <c r="I11" s="943">
        <f>IF(F11&lt;=0,0,'ปร.5 road'!$F$11)</f>
        <v>0</v>
      </c>
      <c r="J11" s="941">
        <f t="shared" ref="J11:J60" si="0">INT((G11*I11)/0.01)*0.01</f>
        <v>0</v>
      </c>
      <c r="K11" s="941">
        <f>IF(F11&lt;=0,0,ROUND(F11*J11,2))</f>
        <v>0</v>
      </c>
      <c r="L11" s="2152" t="s">
        <v>1853</v>
      </c>
    </row>
    <row r="12" spans="1:12">
      <c r="A12" s="990"/>
      <c r="B12" s="944" t="s">
        <v>1870</v>
      </c>
      <c r="C12" s="945"/>
      <c r="D12" s="946"/>
      <c r="E12" s="942" t="s">
        <v>378</v>
      </c>
      <c r="F12" s="940">
        <v>0</v>
      </c>
      <c r="G12" s="941">
        <f>IF(F12&lt;=0,0,ค่างานต้นทุน!I57)</f>
        <v>0</v>
      </c>
      <c r="H12" s="941">
        <f>IF(F12&lt;=0,0,ROUND(F12*G12,2))</f>
        <v>0</v>
      </c>
      <c r="I12" s="943">
        <f>IF(F12&lt;=0,0,'ปร.5 road'!$F$11)</f>
        <v>0</v>
      </c>
      <c r="J12" s="941">
        <f t="shared" si="0"/>
        <v>0</v>
      </c>
      <c r="K12" s="941">
        <f t="shared" ref="K12:K57" si="1">IF(F12&lt;=0,0,ROUND(F12*J12,2))</f>
        <v>0</v>
      </c>
      <c r="L12" s="2151"/>
    </row>
    <row r="13" spans="1:12">
      <c r="A13" s="987">
        <v>2</v>
      </c>
      <c r="B13" s="957" t="s">
        <v>354</v>
      </c>
      <c r="C13" s="988"/>
      <c r="D13" s="989"/>
      <c r="E13" s="942"/>
      <c r="F13" s="940"/>
      <c r="G13" s="941"/>
      <c r="H13" s="941"/>
      <c r="I13" s="943"/>
      <c r="J13" s="941"/>
      <c r="K13" s="941"/>
      <c r="L13" s="2151"/>
    </row>
    <row r="14" spans="1:12">
      <c r="A14" s="990"/>
      <c r="B14" s="991" t="s">
        <v>518</v>
      </c>
      <c r="C14" s="992"/>
      <c r="D14" s="993"/>
      <c r="E14" s="942" t="s">
        <v>378</v>
      </c>
      <c r="F14" s="940">
        <v>0</v>
      </c>
      <c r="G14" s="941">
        <f>IF(F14&lt;=0,0,ค่างานต้นทุน!$I$65)</f>
        <v>0</v>
      </c>
      <c r="H14" s="941">
        <f>IF(F14&lt;=0,0,ROUND(F14*G14,2))</f>
        <v>0</v>
      </c>
      <c r="I14" s="943">
        <f>IF(F14&lt;=0,0,'ปร.5 road'!$F$11)</f>
        <v>0</v>
      </c>
      <c r="J14" s="941">
        <f t="shared" si="0"/>
        <v>0</v>
      </c>
      <c r="K14" s="941">
        <f t="shared" si="1"/>
        <v>0</v>
      </c>
      <c r="L14" s="2151"/>
    </row>
    <row r="15" spans="1:12">
      <c r="A15" s="987">
        <v>3</v>
      </c>
      <c r="B15" s="994" t="s">
        <v>357</v>
      </c>
      <c r="C15" s="995"/>
      <c r="D15" s="996"/>
      <c r="E15" s="942"/>
      <c r="F15" s="940"/>
      <c r="G15" s="941"/>
      <c r="H15" s="941"/>
      <c r="I15" s="943"/>
      <c r="J15" s="941"/>
      <c r="K15" s="941"/>
      <c r="L15" s="2151"/>
    </row>
    <row r="16" spans="1:12">
      <c r="A16" s="990"/>
      <c r="B16" s="991" t="s">
        <v>370</v>
      </c>
      <c r="C16" s="992"/>
      <c r="D16" s="993"/>
      <c r="E16" s="942" t="s">
        <v>378</v>
      </c>
      <c r="F16" s="940">
        <v>1912</v>
      </c>
      <c r="G16" s="941">
        <f>IF(F16&lt;=0,0,ค่างานต้นทุน!$I$107)</f>
        <v>48.64</v>
      </c>
      <c r="H16" s="941">
        <f>IF(F16&lt;=0,0,ROUND(F16*G16,2))</f>
        <v>92999.679999999993</v>
      </c>
      <c r="I16" s="943">
        <f>IF(F16&lt;=0,0,'ปร.5 road'!$F$11)</f>
        <v>1.3607</v>
      </c>
      <c r="J16" s="941">
        <f t="shared" si="0"/>
        <v>66.180000000000007</v>
      </c>
      <c r="K16" s="941">
        <f t="shared" si="1"/>
        <v>126536.16</v>
      </c>
      <c r="L16" s="2151"/>
    </row>
    <row r="17" spans="1:15">
      <c r="A17" s="990"/>
      <c r="B17" s="944" t="s">
        <v>369</v>
      </c>
      <c r="C17" s="945"/>
      <c r="D17" s="946"/>
      <c r="E17" s="942" t="s">
        <v>378</v>
      </c>
      <c r="F17" s="940">
        <v>0</v>
      </c>
      <c r="G17" s="941">
        <f>IF(F17&lt;=0,0,ค่างานต้นทุน!$I$104)</f>
        <v>0</v>
      </c>
      <c r="H17" s="941">
        <f>IF(F17&lt;=0,0,ROUND(F17*G17,2))</f>
        <v>0</v>
      </c>
      <c r="I17" s="943">
        <f>IF(F17&lt;=0,0,'ปร.5 road'!$F$11)</f>
        <v>0</v>
      </c>
      <c r="J17" s="941">
        <f t="shared" si="0"/>
        <v>0</v>
      </c>
      <c r="K17" s="941">
        <f t="shared" si="1"/>
        <v>0</v>
      </c>
      <c r="L17" s="2151"/>
    </row>
    <row r="18" spans="1:15">
      <c r="A18" s="987">
        <v>4</v>
      </c>
      <c r="B18" s="957" t="s">
        <v>371</v>
      </c>
      <c r="C18" s="988"/>
      <c r="D18" s="989"/>
      <c r="E18" s="942"/>
      <c r="F18" s="940"/>
      <c r="G18" s="941"/>
      <c r="H18" s="941"/>
      <c r="I18" s="943"/>
      <c r="J18" s="941"/>
      <c r="K18" s="941"/>
      <c r="L18" s="2151"/>
    </row>
    <row r="19" spans="1:15">
      <c r="A19" s="990"/>
      <c r="B19" s="944" t="s">
        <v>993</v>
      </c>
      <c r="C19" s="945"/>
      <c r="D19" s="946"/>
      <c r="E19" s="942" t="s">
        <v>378</v>
      </c>
      <c r="F19" s="940">
        <v>0</v>
      </c>
      <c r="G19" s="941">
        <f>IF(F19&lt;=0,0,ค่างานต้นทุน!$I$124)</f>
        <v>0</v>
      </c>
      <c r="H19" s="941">
        <f t="shared" ref="H19:H23" si="2">IF(F19&lt;=0,0,ROUND(F19*G19,2))</f>
        <v>0</v>
      </c>
      <c r="I19" s="943">
        <f>IF(F19&lt;=0,0,'ปร.5 road'!$F$11)</f>
        <v>0</v>
      </c>
      <c r="J19" s="941">
        <f t="shared" si="0"/>
        <v>0</v>
      </c>
      <c r="K19" s="941">
        <f t="shared" si="1"/>
        <v>0</v>
      </c>
      <c r="L19" s="2151"/>
    </row>
    <row r="20" spans="1:15">
      <c r="A20" s="990"/>
      <c r="B20" s="944" t="s">
        <v>858</v>
      </c>
      <c r="C20" s="944"/>
      <c r="D20" s="946"/>
      <c r="E20" s="1027" t="s">
        <v>378</v>
      </c>
      <c r="F20" s="2097">
        <f>'ปร.4 road'!F27</f>
        <v>0</v>
      </c>
      <c r="G20" s="1822">
        <f>ค่างานต้นทุน!I166</f>
        <v>424.94</v>
      </c>
      <c r="H20" s="941">
        <f>IF(F20&lt;=0,0,ROUND(F20*G20,2))</f>
        <v>0</v>
      </c>
      <c r="I20" s="943">
        <f>IF(F20&lt;=0,0,'ปร.5 road'!$F$11)</f>
        <v>0</v>
      </c>
      <c r="J20" s="941">
        <f t="shared" si="0"/>
        <v>0</v>
      </c>
      <c r="K20" s="941">
        <f>IF(F20&lt;=0,0,ROUND(F20*J20,2))</f>
        <v>0</v>
      </c>
      <c r="L20" s="2152" t="s">
        <v>529</v>
      </c>
      <c r="M20" s="1382"/>
    </row>
    <row r="21" spans="1:15">
      <c r="A21" s="990"/>
      <c r="B21" s="944" t="s">
        <v>1848</v>
      </c>
      <c r="C21" s="945"/>
      <c r="D21" s="946"/>
      <c r="E21" s="942" t="s">
        <v>378</v>
      </c>
      <c r="F21" s="940">
        <f>'ปร.4 road'!F28</f>
        <v>1323</v>
      </c>
      <c r="G21" s="941">
        <f>IF(F21&lt;=0,0,ค่างานต้นทุน!$I$170)</f>
        <v>754.97</v>
      </c>
      <c r="H21" s="941">
        <f t="shared" si="2"/>
        <v>998825.31</v>
      </c>
      <c r="I21" s="943">
        <f>IF(F21&lt;=0,0,'ปร.5 road'!$F$11)</f>
        <v>1.3607</v>
      </c>
      <c r="J21" s="941">
        <f t="shared" si="0"/>
        <v>1027.28</v>
      </c>
      <c r="K21" s="941">
        <f t="shared" si="1"/>
        <v>1359091.44</v>
      </c>
      <c r="L21" s="2151"/>
    </row>
    <row r="22" spans="1:15">
      <c r="A22" s="990"/>
      <c r="B22" s="944" t="s">
        <v>477</v>
      </c>
      <c r="C22" s="945"/>
      <c r="D22" s="946"/>
      <c r="E22" s="942" t="s">
        <v>890</v>
      </c>
      <c r="F22" s="940">
        <f>'ปร.4 road'!F29</f>
        <v>0</v>
      </c>
      <c r="G22" s="941">
        <f>IF(F22&lt;=0,0,ค่างานต้นทุน!$I$205)</f>
        <v>0</v>
      </c>
      <c r="H22" s="941">
        <f t="shared" si="2"/>
        <v>0</v>
      </c>
      <c r="I22" s="943">
        <f>IF(F22&lt;=0,0,'ปร.5 road'!$F$11)</f>
        <v>0</v>
      </c>
      <c r="J22" s="941">
        <f t="shared" si="0"/>
        <v>0</v>
      </c>
      <c r="K22" s="941">
        <f t="shared" si="1"/>
        <v>0</v>
      </c>
      <c r="L22" s="2151"/>
    </row>
    <row r="23" spans="1:15">
      <c r="A23" s="990"/>
      <c r="B23" s="944" t="s">
        <v>66</v>
      </c>
      <c r="C23" s="945"/>
      <c r="D23" s="946"/>
      <c r="E23" s="942" t="s">
        <v>890</v>
      </c>
      <c r="F23" s="940">
        <v>0</v>
      </c>
      <c r="G23" s="941">
        <f>IF(F23&lt;=0,0,ค่างานต้นทุน!$I$213)</f>
        <v>0</v>
      </c>
      <c r="H23" s="941">
        <f t="shared" si="2"/>
        <v>0</v>
      </c>
      <c r="I23" s="943">
        <f>IF(F23&lt;=0,0,'ปร.5 road'!$F$11)</f>
        <v>0</v>
      </c>
      <c r="J23" s="941">
        <f t="shared" si="0"/>
        <v>0</v>
      </c>
      <c r="K23" s="941">
        <f t="shared" si="1"/>
        <v>0</v>
      </c>
      <c r="L23" s="2151"/>
    </row>
    <row r="24" spans="1:15">
      <c r="A24" s="990"/>
      <c r="B24" s="2147" t="s">
        <v>1868</v>
      </c>
      <c r="C24" s="948"/>
      <c r="D24" s="946"/>
      <c r="E24" s="942" t="s">
        <v>890</v>
      </c>
      <c r="F24" s="940">
        <f>'ปร.4 road'!F34</f>
        <v>0</v>
      </c>
      <c r="G24" s="941">
        <f>IF(F24&lt;=0,0,ค่างานต้นทุน!$I$259)</f>
        <v>0</v>
      </c>
      <c r="H24" s="941">
        <f t="shared" ref="H24:H29" si="3">IF(F24&lt;=0,0,ROUND(F24*G24,2))</f>
        <v>0</v>
      </c>
      <c r="I24" s="943">
        <f>IF(F24&lt;=0,0,'ปร.5 road'!$F$11)</f>
        <v>0</v>
      </c>
      <c r="J24" s="941">
        <f>INT((G24*I24)/0.01)*0.01</f>
        <v>0</v>
      </c>
      <c r="K24" s="941">
        <f>IF(F24&lt;=0,0,ROUND(F24*J24,2))</f>
        <v>0</v>
      </c>
      <c r="L24" s="2153" t="s">
        <v>1849</v>
      </c>
    </row>
    <row r="25" spans="1:15">
      <c r="A25" s="990"/>
      <c r="B25" s="997" t="s">
        <v>1869</v>
      </c>
      <c r="C25" s="945"/>
      <c r="D25" s="946"/>
      <c r="E25" s="942" t="s">
        <v>890</v>
      </c>
      <c r="F25" s="940">
        <f>'ปร.4 road'!F35</f>
        <v>0</v>
      </c>
      <c r="G25" s="941">
        <f>G24</f>
        <v>0</v>
      </c>
      <c r="H25" s="941">
        <f t="shared" si="3"/>
        <v>0</v>
      </c>
      <c r="I25" s="943">
        <f>IF(F25&lt;=0,0,'ปร.5 road'!$F$11)</f>
        <v>0</v>
      </c>
      <c r="J25" s="941">
        <f>INT((G25*I25)/0.01)*0.01</f>
        <v>0</v>
      </c>
      <c r="K25" s="941">
        <f>IF(F25&lt;=0,0,ROUND(F25*J25,2))</f>
        <v>0</v>
      </c>
      <c r="L25" s="2153" t="s">
        <v>1849</v>
      </c>
    </row>
    <row r="26" spans="1:15">
      <c r="A26" s="990"/>
      <c r="B26" s="2147" t="s">
        <v>1868</v>
      </c>
      <c r="C26" s="948"/>
      <c r="D26" s="946"/>
      <c r="E26" s="942" t="s">
        <v>890</v>
      </c>
      <c r="F26" s="940">
        <v>0</v>
      </c>
      <c r="G26" s="941">
        <f>IF(F26&lt;=0,0,ค่างานต้นทุน!$I$260)</f>
        <v>0</v>
      </c>
      <c r="H26" s="941">
        <f t="shared" si="3"/>
        <v>0</v>
      </c>
      <c r="I26" s="943">
        <f>IF(F26&lt;=0,0,'ปร.5 road'!$F$11)</f>
        <v>0</v>
      </c>
      <c r="J26" s="941">
        <f>INT((G26*I26)/0.01)*0.01</f>
        <v>0</v>
      </c>
      <c r="K26" s="941">
        <f>IF(F26&lt;=0,0,ROUND(F26*J26,2))</f>
        <v>0</v>
      </c>
      <c r="L26" s="2153" t="s">
        <v>1850</v>
      </c>
    </row>
    <row r="27" spans="1:15">
      <c r="A27" s="990"/>
      <c r="B27" s="997" t="s">
        <v>1869</v>
      </c>
      <c r="C27" s="945"/>
      <c r="D27" s="946"/>
      <c r="E27" s="942" t="s">
        <v>890</v>
      </c>
      <c r="F27" s="940">
        <v>0</v>
      </c>
      <c r="G27" s="941">
        <f>IF(F27&lt;=0,0,ค่างานต้นทุน!$I$260)</f>
        <v>0</v>
      </c>
      <c r="H27" s="941">
        <f t="shared" si="3"/>
        <v>0</v>
      </c>
      <c r="I27" s="943">
        <f>IF(F27&lt;=0,0,'ปร.5 road'!$F$11)</f>
        <v>0</v>
      </c>
      <c r="J27" s="941">
        <f>INT((G27*I27)/0.01)*0.01</f>
        <v>0</v>
      </c>
      <c r="K27" s="941">
        <f>IF(F27&lt;=0,0,ROUND(F27*J27,2))</f>
        <v>0</v>
      </c>
      <c r="L27" s="2153" t="s">
        <v>1850</v>
      </c>
    </row>
    <row r="28" spans="1:15">
      <c r="A28" s="1016"/>
      <c r="B28" s="944" t="s">
        <v>1823</v>
      </c>
      <c r="C28" s="945"/>
      <c r="D28" s="946"/>
      <c r="E28" s="1027" t="s">
        <v>378</v>
      </c>
      <c r="F28" s="940">
        <f>'ปร.4 road'!F42</f>
        <v>0</v>
      </c>
      <c r="G28" s="941">
        <f>IF(F28&lt;=0,0,ค่างานต้นทุน!$I$124)*0.75</f>
        <v>0</v>
      </c>
      <c r="H28" s="941">
        <f t="shared" si="3"/>
        <v>0</v>
      </c>
      <c r="I28" s="943">
        <f>IF(F28&lt;=0,0,'ปร.5 road'!$F$11)</f>
        <v>0</v>
      </c>
      <c r="J28" s="941">
        <f t="shared" ref="J28:J29" si="4">INT((G28*I28)/0.01)*0.01</f>
        <v>0</v>
      </c>
      <c r="K28" s="941">
        <f t="shared" ref="K28:K29" si="5">IF(F28&lt;=0,0,ROUND(F28*J28,2))</f>
        <v>0</v>
      </c>
      <c r="L28" s="2154"/>
    </row>
    <row r="29" spans="1:15">
      <c r="A29" s="1016"/>
      <c r="B29" s="967" t="s">
        <v>1628</v>
      </c>
      <c r="C29" s="968"/>
      <c r="D29" s="969"/>
      <c r="E29" s="1615" t="s">
        <v>870</v>
      </c>
      <c r="F29" s="952">
        <f>'ปร.4 road'!F43</f>
        <v>0</v>
      </c>
      <c r="G29" s="941">
        <f>IF(F29&lt;=0,0,ค่างานต้นทุน!$I$95)</f>
        <v>0</v>
      </c>
      <c r="H29" s="941">
        <f t="shared" si="3"/>
        <v>0</v>
      </c>
      <c r="I29" s="943">
        <f>IF(F29&lt;=0,0,'ปร.5 road'!$F$11)</f>
        <v>0</v>
      </c>
      <c r="J29" s="941">
        <f t="shared" si="4"/>
        <v>0</v>
      </c>
      <c r="K29" s="941">
        <f t="shared" si="5"/>
        <v>0</v>
      </c>
      <c r="L29" s="2155"/>
    </row>
    <row r="30" spans="1:15">
      <c r="A30" s="1016"/>
      <c r="B30" s="944" t="s">
        <v>1822</v>
      </c>
      <c r="C30" s="948"/>
      <c r="D30" s="946"/>
      <c r="E30" s="951" t="s">
        <v>890</v>
      </c>
      <c r="F30" s="952">
        <f>'ปร.4 road'!F48</f>
        <v>0</v>
      </c>
      <c r="G30" s="941">
        <f>IF(F30&lt;=0,0,ค่างานต้นทุน!$I$583)</f>
        <v>0</v>
      </c>
      <c r="H30" s="941">
        <f t="shared" ref="H30:H33" si="6">IF(F30&lt;=0,0,ROUND(F30*G30,2))</f>
        <v>0</v>
      </c>
      <c r="I30" s="943">
        <f>IF(F30&lt;=0,0,'ปร.5 road'!$F$11)</f>
        <v>0</v>
      </c>
      <c r="J30" s="941">
        <f t="shared" ref="J30:J33" si="7">INT((G30*I30)/0.01)*0.01</f>
        <v>0</v>
      </c>
      <c r="K30" s="941">
        <f t="shared" ref="K30:K33" si="8">IF(F30&lt;=0,0,ROUND(F30*J30,2))</f>
        <v>0</v>
      </c>
      <c r="L30" s="2156" t="s">
        <v>1876</v>
      </c>
      <c r="O30" s="1770">
        <v>6000</v>
      </c>
    </row>
    <row r="31" spans="1:15">
      <c r="A31" s="1016"/>
      <c r="B31" s="1388" t="s">
        <v>1635</v>
      </c>
      <c r="C31" s="945" t="s">
        <v>1636</v>
      </c>
      <c r="D31" s="946"/>
      <c r="E31" s="951" t="s">
        <v>889</v>
      </c>
      <c r="F31" s="952">
        <f>'ปร.4 road'!F49</f>
        <v>0</v>
      </c>
      <c r="G31" s="941">
        <f>IF(F31&lt;=0,0,ค่างานต้นทุน!$I$607)</f>
        <v>0</v>
      </c>
      <c r="H31" s="941">
        <f t="shared" si="6"/>
        <v>0</v>
      </c>
      <c r="I31" s="943">
        <f>IF(F31&lt;=0,0,'ปร.5 road'!$F$11)</f>
        <v>0</v>
      </c>
      <c r="J31" s="941">
        <f t="shared" si="7"/>
        <v>0</v>
      </c>
      <c r="K31" s="941">
        <f t="shared" si="8"/>
        <v>0</v>
      </c>
      <c r="L31" s="2155"/>
      <c r="O31" s="1770">
        <f>ค่างานต้นทุน!D598</f>
        <v>24</v>
      </c>
    </row>
    <row r="32" spans="1:15">
      <c r="A32" s="1016"/>
      <c r="B32" s="1388" t="s">
        <v>1637</v>
      </c>
      <c r="C32" s="948" t="s">
        <v>1638</v>
      </c>
      <c r="D32" s="946"/>
      <c r="E32" s="951" t="s">
        <v>889</v>
      </c>
      <c r="F32" s="952">
        <f>'ปร.4 road'!F50</f>
        <v>0</v>
      </c>
      <c r="G32" s="941">
        <f>IF(F32&lt;=0,0,ค่างานต้นทุน!$I$631)</f>
        <v>0</v>
      </c>
      <c r="H32" s="941">
        <f t="shared" si="6"/>
        <v>0</v>
      </c>
      <c r="I32" s="943">
        <f>IF(F32&lt;=0,0,'ปร.5 road'!$F$11)</f>
        <v>0</v>
      </c>
      <c r="J32" s="941">
        <f t="shared" si="7"/>
        <v>0</v>
      </c>
      <c r="K32" s="941">
        <f t="shared" si="8"/>
        <v>0</v>
      </c>
      <c r="L32" s="2155"/>
      <c r="O32" s="1770">
        <f>ค่างานต้นทุน!D624</f>
        <v>804</v>
      </c>
    </row>
    <row r="33" spans="1:15">
      <c r="A33" s="1016"/>
      <c r="B33" s="1388" t="s">
        <v>1639</v>
      </c>
      <c r="C33" s="945" t="s">
        <v>1640</v>
      </c>
      <c r="D33" s="946"/>
      <c r="E33" s="951" t="s">
        <v>889</v>
      </c>
      <c r="F33" s="952">
        <f>'ปร.4 road'!F51</f>
        <v>0</v>
      </c>
      <c r="G33" s="941">
        <f>IF(F33&lt;=0,0,ค่างานต้นทุน!$I$638)</f>
        <v>0</v>
      </c>
      <c r="H33" s="941">
        <f t="shared" si="6"/>
        <v>0</v>
      </c>
      <c r="I33" s="943">
        <f>IF(F33&lt;=0,0,'ปร.5 road'!$F$11)</f>
        <v>0</v>
      </c>
      <c r="J33" s="941">
        <f t="shared" si="7"/>
        <v>0</v>
      </c>
      <c r="K33" s="941">
        <f t="shared" si="8"/>
        <v>0</v>
      </c>
      <c r="L33" s="2155"/>
      <c r="O33" s="1770">
        <f>ค่างานต้นทุน!E594</f>
        <v>1400</v>
      </c>
    </row>
    <row r="34" spans="1:15">
      <c r="A34" s="998">
        <v>5</v>
      </c>
      <c r="B34" s="999" t="s">
        <v>373</v>
      </c>
      <c r="C34" s="1000"/>
      <c r="D34" s="1001"/>
      <c r="E34" s="951"/>
      <c r="F34" s="952"/>
      <c r="G34" s="953"/>
      <c r="H34" s="953"/>
      <c r="I34" s="954"/>
      <c r="J34" s="953"/>
      <c r="K34" s="953"/>
      <c r="L34" s="2157"/>
    </row>
    <row r="35" spans="1:15">
      <c r="A35" s="990">
        <v>5.0999999999999996</v>
      </c>
      <c r="B35" s="944" t="s">
        <v>374</v>
      </c>
      <c r="C35" s="988"/>
      <c r="D35" s="989"/>
      <c r="E35" s="942"/>
      <c r="F35" s="940"/>
      <c r="G35" s="941"/>
      <c r="H35" s="941"/>
      <c r="I35" s="943"/>
      <c r="J35" s="941"/>
      <c r="K35" s="941"/>
      <c r="L35" s="2151"/>
    </row>
    <row r="36" spans="1:15">
      <c r="A36" s="990"/>
      <c r="B36" s="944" t="s">
        <v>1827</v>
      </c>
      <c r="C36" s="945"/>
      <c r="D36" s="946"/>
      <c r="E36" s="942" t="s">
        <v>375</v>
      </c>
      <c r="F36" s="940">
        <v>0</v>
      </c>
      <c r="G36" s="941">
        <f>IF(F36&lt;=0,0,ค่างานต้นทุน!I353)</f>
        <v>0</v>
      </c>
      <c r="H36" s="941">
        <f>IF(F36&lt;=0,0,ROUND(F36*G36,2))</f>
        <v>0</v>
      </c>
      <c r="I36" s="943">
        <f>IF(F36&lt;=0,0,'ปร.5 road'!$F$11)</f>
        <v>0</v>
      </c>
      <c r="J36" s="941">
        <f t="shared" si="0"/>
        <v>0</v>
      </c>
      <c r="K36" s="941">
        <f t="shared" si="1"/>
        <v>0</v>
      </c>
      <c r="L36" s="2151"/>
    </row>
    <row r="37" spans="1:15">
      <c r="A37" s="990"/>
      <c r="B37" s="944" t="s">
        <v>1828</v>
      </c>
      <c r="C37" s="945"/>
      <c r="D37" s="946"/>
      <c r="E37" s="942" t="s">
        <v>375</v>
      </c>
      <c r="F37" s="940">
        <v>12</v>
      </c>
      <c r="G37" s="941">
        <f>IF(F37&lt;=0,0,ค่างานต้นทุน!I361)</f>
        <v>1450</v>
      </c>
      <c r="H37" s="941">
        <f>IF(F37&lt;=0,0,ROUND(F37*G37,2))</f>
        <v>17400</v>
      </c>
      <c r="I37" s="943">
        <f>IF(F37&lt;=0,0,'ปร.5 road'!$F$11)</f>
        <v>1.3607</v>
      </c>
      <c r="J37" s="941">
        <f t="shared" si="0"/>
        <v>1973.01</v>
      </c>
      <c r="K37" s="941">
        <f t="shared" si="1"/>
        <v>23676.12</v>
      </c>
      <c r="L37" s="2151"/>
    </row>
    <row r="38" spans="1:15">
      <c r="A38" s="990"/>
      <c r="B38" s="944" t="s">
        <v>1829</v>
      </c>
      <c r="C38" s="945"/>
      <c r="D38" s="946"/>
      <c r="E38" s="942" t="s">
        <v>375</v>
      </c>
      <c r="F38" s="940">
        <v>0</v>
      </c>
      <c r="G38" s="941">
        <f>IF(F38&lt;=0,0,ค่างานต้นทุน!I369)</f>
        <v>0</v>
      </c>
      <c r="H38" s="941">
        <f>IF(F38&lt;=0,0,ROUND(F38*G38,2))</f>
        <v>0</v>
      </c>
      <c r="I38" s="943">
        <f>IF(F38&lt;=0,0,'ปร.5 road'!$F$11)</f>
        <v>0</v>
      </c>
      <c r="J38" s="941">
        <f t="shared" si="0"/>
        <v>0</v>
      </c>
      <c r="K38" s="941">
        <f t="shared" si="1"/>
        <v>0</v>
      </c>
      <c r="L38" s="2151"/>
    </row>
    <row r="39" spans="1:15">
      <c r="A39" s="990"/>
      <c r="B39" s="944" t="s">
        <v>1830</v>
      </c>
      <c r="C39" s="945"/>
      <c r="D39" s="946"/>
      <c r="E39" s="942" t="s">
        <v>375</v>
      </c>
      <c r="F39" s="940">
        <v>0</v>
      </c>
      <c r="G39" s="941">
        <f>IF(F39&lt;=0,0,ค่างานต้นทุน!I377)</f>
        <v>0</v>
      </c>
      <c r="H39" s="941">
        <f>IF(F39&lt;=0,0,ROUND(F39*G39,2))</f>
        <v>0</v>
      </c>
      <c r="I39" s="943">
        <f>IF(F39&lt;=0,0,'ปร.5 road'!$F$11)</f>
        <v>0</v>
      </c>
      <c r="J39" s="941">
        <f t="shared" si="0"/>
        <v>0</v>
      </c>
      <c r="K39" s="941">
        <f t="shared" si="1"/>
        <v>0</v>
      </c>
      <c r="L39" s="2151"/>
    </row>
    <row r="40" spans="1:15">
      <c r="A40" s="951">
        <v>5.2</v>
      </c>
      <c r="B40" s="967" t="s">
        <v>381</v>
      </c>
      <c r="C40" s="1000"/>
      <c r="D40" s="1001"/>
      <c r="E40" s="951"/>
      <c r="F40" s="952"/>
      <c r="G40" s="953"/>
      <c r="H40" s="953"/>
      <c r="I40" s="954"/>
      <c r="J40" s="953"/>
      <c r="K40" s="953"/>
      <c r="L40" s="2157"/>
    </row>
    <row r="41" spans="1:15">
      <c r="A41" s="942"/>
      <c r="B41" s="1389" t="s">
        <v>1991</v>
      </c>
      <c r="C41" s="1390"/>
      <c r="D41" s="956"/>
      <c r="E41" s="942" t="s">
        <v>382</v>
      </c>
      <c r="F41" s="940">
        <v>1</v>
      </c>
      <c r="G41" s="941">
        <f>IF(F41&lt;=0,0,ค่างานต้นทุน!I402)</f>
        <v>14870</v>
      </c>
      <c r="H41" s="941">
        <f t="shared" ref="H41:H44" si="9">IF(F41&lt;=0,0,ROUND(F41*G41,2))</f>
        <v>14870</v>
      </c>
      <c r="I41" s="943">
        <f>IF(F41&lt;=0,0,'ปร.5 road'!$F$11)</f>
        <v>1.3607</v>
      </c>
      <c r="J41" s="941">
        <f t="shared" si="0"/>
        <v>20233.600000000002</v>
      </c>
      <c r="K41" s="941">
        <f t="shared" si="1"/>
        <v>20233.599999999999</v>
      </c>
      <c r="L41" s="2151"/>
    </row>
    <row r="42" spans="1:15">
      <c r="A42" s="942"/>
      <c r="B42" s="1389" t="s">
        <v>1865</v>
      </c>
      <c r="C42" s="1390"/>
      <c r="D42" s="956"/>
      <c r="E42" s="942" t="s">
        <v>382</v>
      </c>
      <c r="F42" s="940">
        <v>0</v>
      </c>
      <c r="G42" s="941">
        <f>IF(F42&lt;=0,0,ค่างานต้นทุน!I413)</f>
        <v>0</v>
      </c>
      <c r="H42" s="941">
        <f t="shared" si="9"/>
        <v>0</v>
      </c>
      <c r="I42" s="943">
        <f>IF(F42&lt;=0,0,'ปร.5 road'!$F$11)</f>
        <v>0</v>
      </c>
      <c r="J42" s="941">
        <f t="shared" si="0"/>
        <v>0</v>
      </c>
      <c r="K42" s="941">
        <f t="shared" si="1"/>
        <v>0</v>
      </c>
      <c r="L42" s="2152"/>
    </row>
    <row r="43" spans="1:15">
      <c r="A43" s="942"/>
      <c r="B43" s="1389" t="s">
        <v>1866</v>
      </c>
      <c r="C43" s="1390"/>
      <c r="D43" s="956"/>
      <c r="E43" s="942" t="s">
        <v>382</v>
      </c>
      <c r="F43" s="940">
        <v>0</v>
      </c>
      <c r="G43" s="941">
        <f>IF(F43&lt;=0,0,ค่างานต้นทุน!I423)</f>
        <v>0</v>
      </c>
      <c r="H43" s="941">
        <f t="shared" si="9"/>
        <v>0</v>
      </c>
      <c r="I43" s="943">
        <f>IF(F43&lt;=0,0,'ปร.5 road'!$F$11)</f>
        <v>0</v>
      </c>
      <c r="J43" s="941">
        <f t="shared" si="0"/>
        <v>0</v>
      </c>
      <c r="K43" s="941">
        <f t="shared" si="1"/>
        <v>0</v>
      </c>
      <c r="L43" s="2151"/>
    </row>
    <row r="44" spans="1:15">
      <c r="A44" s="974"/>
      <c r="B44" s="1538" t="s">
        <v>1867</v>
      </c>
      <c r="C44" s="1539"/>
      <c r="D44" s="1004"/>
      <c r="E44" s="974" t="s">
        <v>382</v>
      </c>
      <c r="F44" s="1002">
        <v>0</v>
      </c>
      <c r="G44" s="972">
        <f>IF(F44&lt;=0,0,ค่างานต้นทุน!I424)</f>
        <v>0</v>
      </c>
      <c r="H44" s="972">
        <f t="shared" si="9"/>
        <v>0</v>
      </c>
      <c r="I44" s="973">
        <f>IF(F44&lt;=0,0,'ปร.5 road'!$F$11)</f>
        <v>0</v>
      </c>
      <c r="J44" s="972">
        <f t="shared" si="0"/>
        <v>0</v>
      </c>
      <c r="K44" s="972">
        <f t="shared" si="1"/>
        <v>0</v>
      </c>
      <c r="L44" s="2158"/>
    </row>
    <row r="45" spans="1:15">
      <c r="A45" s="951">
        <v>5.3</v>
      </c>
      <c r="B45" s="967" t="s">
        <v>1003</v>
      </c>
      <c r="C45" s="968"/>
      <c r="D45" s="969"/>
      <c r="E45" s="951"/>
      <c r="F45" s="952"/>
      <c r="G45" s="953"/>
      <c r="H45" s="953"/>
      <c r="I45" s="954"/>
      <c r="J45" s="953"/>
      <c r="K45" s="953"/>
      <c r="L45" s="2157"/>
    </row>
    <row r="46" spans="1:15">
      <c r="A46" s="942" t="s">
        <v>1004</v>
      </c>
      <c r="B46" s="944" t="s">
        <v>1839</v>
      </c>
      <c r="C46" s="945"/>
      <c r="D46" s="946"/>
      <c r="E46" s="942" t="s">
        <v>380</v>
      </c>
      <c r="F46" s="940">
        <v>0</v>
      </c>
      <c r="G46" s="941">
        <f>IF(F46&lt;=0,0,ค่างานต้นทุน!I477)</f>
        <v>0</v>
      </c>
      <c r="H46" s="941">
        <f>IF(F46&lt;=0,0,ROUND(F46*G46,2))</f>
        <v>0</v>
      </c>
      <c r="I46" s="943">
        <f>IF(F46&lt;=0,0,'ปร.5 road'!$F$11)</f>
        <v>0</v>
      </c>
      <c r="J46" s="941">
        <f t="shared" si="0"/>
        <v>0</v>
      </c>
      <c r="K46" s="941">
        <f t="shared" si="1"/>
        <v>0</v>
      </c>
      <c r="L46" s="2151"/>
    </row>
    <row r="47" spans="1:15">
      <c r="A47" s="942" t="s">
        <v>1005</v>
      </c>
      <c r="B47" s="944" t="s">
        <v>1395</v>
      </c>
      <c r="C47" s="948"/>
      <c r="D47" s="946"/>
      <c r="E47" s="942" t="s">
        <v>380</v>
      </c>
      <c r="F47" s="940">
        <v>0</v>
      </c>
      <c r="G47" s="941">
        <f>IF(F47&lt;=0,0,ค่างานต้นทุน!I487)</f>
        <v>0</v>
      </c>
      <c r="H47" s="941">
        <f>IF(F47&gt;=0,ROUND(F47*G47,2))</f>
        <v>0</v>
      </c>
      <c r="I47" s="943">
        <f>IF(F47&lt;=0,0,'ปร.5 road'!$F$11)</f>
        <v>0</v>
      </c>
      <c r="J47" s="941">
        <f t="shared" si="0"/>
        <v>0</v>
      </c>
      <c r="K47" s="941">
        <f t="shared" si="1"/>
        <v>0</v>
      </c>
      <c r="L47" s="2151"/>
    </row>
    <row r="48" spans="1:15">
      <c r="A48" s="971">
        <v>6</v>
      </c>
      <c r="B48" s="957" t="s">
        <v>232</v>
      </c>
      <c r="C48" s="945"/>
      <c r="D48" s="946"/>
      <c r="E48" s="942"/>
      <c r="F48" s="940"/>
      <c r="G48" s="941"/>
      <c r="H48" s="941"/>
      <c r="I48" s="943"/>
      <c r="J48" s="941"/>
      <c r="K48" s="941"/>
      <c r="L48" s="2151"/>
    </row>
    <row r="49" spans="1:12">
      <c r="A49" s="942"/>
      <c r="B49" s="944" t="s">
        <v>69</v>
      </c>
      <c r="C49" s="945"/>
      <c r="D49" s="946"/>
      <c r="E49" s="942" t="s">
        <v>1038</v>
      </c>
      <c r="F49" s="940">
        <v>0</v>
      </c>
      <c r="G49" s="941">
        <f>IF(F49&lt;=0,0,ราคาป้าย!E44)</f>
        <v>0</v>
      </c>
      <c r="H49" s="941">
        <f t="shared" ref="H49:H57" si="10">IF(F49&lt;=0,0,ROUND(F49*G49,2))</f>
        <v>0</v>
      </c>
      <c r="I49" s="943">
        <f>IF(F49&lt;=0,0,'ปร.5 road'!$F$11)</f>
        <v>0</v>
      </c>
      <c r="J49" s="941">
        <f t="shared" si="0"/>
        <v>0</v>
      </c>
      <c r="K49" s="941">
        <f t="shared" si="1"/>
        <v>0</v>
      </c>
      <c r="L49" s="2152"/>
    </row>
    <row r="50" spans="1:12">
      <c r="A50" s="942"/>
      <c r="B50" s="944" t="s">
        <v>70</v>
      </c>
      <c r="C50" s="945"/>
      <c r="D50" s="946"/>
      <c r="E50" s="942" t="s">
        <v>1038</v>
      </c>
      <c r="F50" s="940">
        <v>0</v>
      </c>
      <c r="G50" s="941">
        <f>IF(F50&lt;=0,0,ราคาป้าย!E45)</f>
        <v>0</v>
      </c>
      <c r="H50" s="941">
        <f t="shared" si="10"/>
        <v>0</v>
      </c>
      <c r="I50" s="943">
        <f>IF(F50&lt;=0,0,'ปร.5 road'!$F$11)</f>
        <v>0</v>
      </c>
      <c r="J50" s="941">
        <f t="shared" si="0"/>
        <v>0</v>
      </c>
      <c r="K50" s="941">
        <f t="shared" si="1"/>
        <v>0</v>
      </c>
      <c r="L50" s="2152"/>
    </row>
    <row r="51" spans="1:12">
      <c r="A51" s="942"/>
      <c r="B51" s="944" t="s">
        <v>72</v>
      </c>
      <c r="C51" s="945"/>
      <c r="D51" s="946"/>
      <c r="E51" s="942" t="s">
        <v>379</v>
      </c>
      <c r="F51" s="940">
        <v>0</v>
      </c>
      <c r="G51" s="941">
        <f>IF(F51&lt;=0,0,ราคาป้าย!E47)</f>
        <v>0</v>
      </c>
      <c r="H51" s="941">
        <f t="shared" si="10"/>
        <v>0</v>
      </c>
      <c r="I51" s="943">
        <f>IF(F51&lt;=0,0,'ปร.5 road'!$F$11)</f>
        <v>0</v>
      </c>
      <c r="J51" s="941">
        <f t="shared" si="0"/>
        <v>0</v>
      </c>
      <c r="K51" s="941">
        <f t="shared" si="1"/>
        <v>0</v>
      </c>
      <c r="L51" s="2152"/>
    </row>
    <row r="52" spans="1:12">
      <c r="A52" s="942"/>
      <c r="B52" s="944" t="s">
        <v>73</v>
      </c>
      <c r="C52" s="945"/>
      <c r="D52" s="946"/>
      <c r="E52" s="942" t="s">
        <v>890</v>
      </c>
      <c r="F52" s="940">
        <f>'ปร.4 road'!F76</f>
        <v>0</v>
      </c>
      <c r="G52" s="941">
        <f>IF(F52&lt;=0,0,ราคาป้าย!E48)</f>
        <v>0</v>
      </c>
      <c r="H52" s="941">
        <f t="shared" si="10"/>
        <v>0</v>
      </c>
      <c r="I52" s="943">
        <f>IF(F52&lt;=0,0,'ปร.5 road'!$F$11)</f>
        <v>0</v>
      </c>
      <c r="J52" s="941">
        <f t="shared" si="0"/>
        <v>0</v>
      </c>
      <c r="K52" s="941">
        <f t="shared" si="1"/>
        <v>0</v>
      </c>
      <c r="L52" s="2153" t="s">
        <v>519</v>
      </c>
    </row>
    <row r="53" spans="1:12">
      <c r="A53" s="942"/>
      <c r="B53" s="944" t="s">
        <v>74</v>
      </c>
      <c r="C53" s="945"/>
      <c r="D53" s="946"/>
      <c r="E53" s="942" t="s">
        <v>889</v>
      </c>
      <c r="F53" s="940">
        <v>0</v>
      </c>
      <c r="G53" s="941">
        <f>IF(F53&lt;=0,0,ราคาป้าย!E50)</f>
        <v>0</v>
      </c>
      <c r="H53" s="941">
        <f t="shared" si="10"/>
        <v>0</v>
      </c>
      <c r="I53" s="943">
        <f>IF(F53&lt;=0,0,'ปร.5 road'!$F$11)</f>
        <v>0</v>
      </c>
      <c r="J53" s="941">
        <f t="shared" si="0"/>
        <v>0</v>
      </c>
      <c r="K53" s="941">
        <f t="shared" si="1"/>
        <v>0</v>
      </c>
      <c r="L53" s="2151"/>
    </row>
    <row r="54" spans="1:12">
      <c r="A54" s="942"/>
      <c r="B54" s="944" t="s">
        <v>1842</v>
      </c>
      <c r="C54" s="945"/>
      <c r="D54" s="946"/>
      <c r="E54" s="942" t="s">
        <v>889</v>
      </c>
      <c r="F54" s="940">
        <v>0</v>
      </c>
      <c r="G54" s="941">
        <f>IF(F54&lt;=0,0,ราคาป้าย!E52)</f>
        <v>0</v>
      </c>
      <c r="H54" s="941">
        <f t="shared" si="10"/>
        <v>0</v>
      </c>
      <c r="I54" s="943">
        <f>IF(F54&lt;=0,0,'ปร.5 road'!$F$11)</f>
        <v>0</v>
      </c>
      <c r="J54" s="941">
        <f t="shared" si="0"/>
        <v>0</v>
      </c>
      <c r="K54" s="941">
        <f t="shared" si="1"/>
        <v>0</v>
      </c>
      <c r="L54" s="2151"/>
    </row>
    <row r="55" spans="1:12">
      <c r="A55" s="942"/>
      <c r="B55" s="944" t="s">
        <v>75</v>
      </c>
      <c r="C55" s="945"/>
      <c r="D55" s="946"/>
      <c r="E55" s="942" t="s">
        <v>382</v>
      </c>
      <c r="F55" s="940">
        <v>0</v>
      </c>
      <c r="G55" s="941">
        <f>IF(F55&lt;=0,0,ราคาป้าย!E53)</f>
        <v>0</v>
      </c>
      <c r="H55" s="941">
        <f t="shared" si="10"/>
        <v>0</v>
      </c>
      <c r="I55" s="943">
        <f>IF(F55&lt;=0,0,'ปร.5 road'!$F$11)</f>
        <v>0</v>
      </c>
      <c r="J55" s="941">
        <f t="shared" si="0"/>
        <v>0</v>
      </c>
      <c r="K55" s="941">
        <f t="shared" si="1"/>
        <v>0</v>
      </c>
      <c r="L55" s="2151"/>
    </row>
    <row r="56" spans="1:12">
      <c r="A56" s="942"/>
      <c r="B56" s="944" t="s">
        <v>76</v>
      </c>
      <c r="C56" s="945"/>
      <c r="D56" s="946"/>
      <c r="E56" s="942" t="s">
        <v>382</v>
      </c>
      <c r="F56" s="940">
        <v>0</v>
      </c>
      <c r="G56" s="941">
        <f>IF(F56&lt;=0,0,ราคาป้าย!E54)</f>
        <v>0</v>
      </c>
      <c r="H56" s="941">
        <f t="shared" si="10"/>
        <v>0</v>
      </c>
      <c r="I56" s="943">
        <f>IF(F56&lt;=0,0,'ปร.5 road'!$F$11)</f>
        <v>0</v>
      </c>
      <c r="J56" s="941">
        <f t="shared" si="0"/>
        <v>0</v>
      </c>
      <c r="K56" s="941">
        <f t="shared" si="1"/>
        <v>0</v>
      </c>
      <c r="L56" s="2151"/>
    </row>
    <row r="57" spans="1:12">
      <c r="A57" s="942"/>
      <c r="B57" s="944" t="s">
        <v>1211</v>
      </c>
      <c r="C57" s="945"/>
      <c r="D57" s="946"/>
      <c r="E57" s="942" t="s">
        <v>379</v>
      </c>
      <c r="F57" s="940">
        <v>0</v>
      </c>
      <c r="G57" s="941">
        <f>IF(F57&lt;=0,0,ราคาป้าย!E58)</f>
        <v>0</v>
      </c>
      <c r="H57" s="941">
        <f t="shared" si="10"/>
        <v>0</v>
      </c>
      <c r="I57" s="943">
        <f>IF(F57&lt;=0,0,'ปร.5 road'!$F$11)</f>
        <v>0</v>
      </c>
      <c r="J57" s="941">
        <f t="shared" si="0"/>
        <v>0</v>
      </c>
      <c r="K57" s="941">
        <f t="shared" si="1"/>
        <v>0</v>
      </c>
      <c r="L57" s="2151"/>
    </row>
    <row r="58" spans="1:12">
      <c r="A58" s="958">
        <v>7</v>
      </c>
      <c r="B58" s="959" t="s">
        <v>581</v>
      </c>
      <c r="C58" s="960"/>
      <c r="D58" s="961"/>
      <c r="E58" s="962"/>
      <c r="F58" s="952"/>
      <c r="G58" s="953"/>
      <c r="H58" s="953"/>
      <c r="I58" s="954"/>
      <c r="J58" s="953"/>
      <c r="K58" s="953"/>
      <c r="L58" s="2159"/>
    </row>
    <row r="59" spans="1:12">
      <c r="A59" s="942"/>
      <c r="B59" s="963" t="s">
        <v>1843</v>
      </c>
      <c r="C59" s="964"/>
      <c r="D59" s="965"/>
      <c r="E59" s="966" t="s">
        <v>379</v>
      </c>
      <c r="F59" s="940">
        <v>0</v>
      </c>
      <c r="G59" s="941">
        <f>IF(F59&lt;=0,0,ราคาป้าย!E3)</f>
        <v>0</v>
      </c>
      <c r="H59" s="941">
        <f t="shared" ref="H59:H68" si="11">IF(F59&lt;=0,0,ROUND(F59*G59,2))</f>
        <v>0</v>
      </c>
      <c r="I59" s="943">
        <f>IF(F59&lt;=0,0,'ปร.5 road'!$F$11)</f>
        <v>0</v>
      </c>
      <c r="J59" s="941">
        <f t="shared" si="0"/>
        <v>0</v>
      </c>
      <c r="K59" s="941">
        <f t="shared" ref="K59:K77" si="12">IF(F59&lt;=0,0,ROUND(F59*J59,2))</f>
        <v>0</v>
      </c>
      <c r="L59" s="2152"/>
    </row>
    <row r="60" spans="1:12">
      <c r="A60" s="942"/>
      <c r="B60" s="944" t="s">
        <v>1212</v>
      </c>
      <c r="C60" s="945"/>
      <c r="D60" s="946"/>
      <c r="E60" s="942" t="s">
        <v>379</v>
      </c>
      <c r="F60" s="940">
        <v>0</v>
      </c>
      <c r="G60" s="941">
        <f>IF(F60&lt;=0,0,ราคาป้าย!E4)</f>
        <v>0</v>
      </c>
      <c r="H60" s="941">
        <f t="shared" si="11"/>
        <v>0</v>
      </c>
      <c r="I60" s="943">
        <f>IF(F60&lt;=0,0,'ปร.5 road'!$F$11)</f>
        <v>0</v>
      </c>
      <c r="J60" s="941">
        <f t="shared" si="0"/>
        <v>0</v>
      </c>
      <c r="K60" s="941">
        <f t="shared" si="12"/>
        <v>0</v>
      </c>
      <c r="L60" s="2152"/>
    </row>
    <row r="61" spans="1:12">
      <c r="A61" s="942"/>
      <c r="B61" s="944" t="s">
        <v>1158</v>
      </c>
      <c r="C61" s="945"/>
      <c r="D61" s="946"/>
      <c r="E61" s="942" t="s">
        <v>379</v>
      </c>
      <c r="F61" s="940">
        <v>0</v>
      </c>
      <c r="G61" s="941">
        <f>IF(F61&lt;=0,0,ราคาป้าย!E6)</f>
        <v>0</v>
      </c>
      <c r="H61" s="941">
        <f t="shared" si="11"/>
        <v>0</v>
      </c>
      <c r="I61" s="943">
        <f>IF(F61&lt;=0,0,'ปร.5 road'!$F$11)</f>
        <v>0</v>
      </c>
      <c r="J61" s="941">
        <f t="shared" ref="J61:J68" si="13">INT((G61*I61)/0.01)*0.01</f>
        <v>0</v>
      </c>
      <c r="K61" s="941">
        <f t="shared" si="12"/>
        <v>0</v>
      </c>
      <c r="L61" s="2152"/>
    </row>
    <row r="62" spans="1:12">
      <c r="A62" s="942"/>
      <c r="B62" s="944" t="s">
        <v>1162</v>
      </c>
      <c r="C62" s="945"/>
      <c r="D62" s="946"/>
      <c r="E62" s="942" t="s">
        <v>379</v>
      </c>
      <c r="F62" s="940">
        <v>0</v>
      </c>
      <c r="G62" s="941">
        <f>IF(F62&lt;=0,0,ราคาป้าย!E8)</f>
        <v>0</v>
      </c>
      <c r="H62" s="941">
        <f t="shared" si="11"/>
        <v>0</v>
      </c>
      <c r="I62" s="943">
        <f>IF(F62&lt;=0,0,'ปร.5 road'!$F$11)</f>
        <v>0</v>
      </c>
      <c r="J62" s="941">
        <f t="shared" si="13"/>
        <v>0</v>
      </c>
      <c r="K62" s="941">
        <f t="shared" si="12"/>
        <v>0</v>
      </c>
      <c r="L62" s="2152"/>
    </row>
    <row r="63" spans="1:12">
      <c r="A63" s="942"/>
      <c r="B63" s="944" t="s">
        <v>1408</v>
      </c>
      <c r="C63" s="945"/>
      <c r="D63" s="946"/>
      <c r="E63" s="942" t="s">
        <v>379</v>
      </c>
      <c r="F63" s="940">
        <v>0</v>
      </c>
      <c r="G63" s="941">
        <f>IF(F63&lt;=0,0,ราคาป้าย!E13)</f>
        <v>0</v>
      </c>
      <c r="H63" s="941">
        <f>IF(F63&lt;=0,0,ROUND(F63*G63,2))</f>
        <v>0</v>
      </c>
      <c r="I63" s="943">
        <f>IF(F63&lt;=0,0,'ปร.5 road'!$F$11)</f>
        <v>0</v>
      </c>
      <c r="J63" s="941">
        <f>INT((G63*I63)/0.01)*0.01</f>
        <v>0</v>
      </c>
      <c r="K63" s="941">
        <f>IF(F63&lt;=0,0,ROUND(F63*J63,2))</f>
        <v>0</v>
      </c>
      <c r="L63" s="2152"/>
    </row>
    <row r="64" spans="1:12">
      <c r="A64" s="942"/>
      <c r="B64" s="944" t="s">
        <v>1218</v>
      </c>
      <c r="C64" s="945"/>
      <c r="D64" s="946"/>
      <c r="E64" s="942" t="s">
        <v>379</v>
      </c>
      <c r="F64" s="940">
        <v>0</v>
      </c>
      <c r="G64" s="941">
        <f>IF(F64&lt;=0,0,ราคาป้าย!E21)</f>
        <v>0</v>
      </c>
      <c r="H64" s="941">
        <f t="shared" si="11"/>
        <v>0</v>
      </c>
      <c r="I64" s="943">
        <f>IF(F64&lt;=0,0,'ปร.5 road'!$F$11)</f>
        <v>0</v>
      </c>
      <c r="J64" s="941">
        <f t="shared" si="13"/>
        <v>0</v>
      </c>
      <c r="K64" s="941">
        <f t="shared" si="12"/>
        <v>0</v>
      </c>
      <c r="L64" s="2152"/>
    </row>
    <row r="65" spans="1:12">
      <c r="A65" s="942"/>
      <c r="B65" s="944" t="s">
        <v>853</v>
      </c>
      <c r="C65" s="945"/>
      <c r="D65" s="946"/>
      <c r="E65" s="942" t="s">
        <v>379</v>
      </c>
      <c r="F65" s="940">
        <v>0</v>
      </c>
      <c r="G65" s="941">
        <f>IF(F65&lt;=0,0,ราคาป้าย!E22)</f>
        <v>0</v>
      </c>
      <c r="H65" s="941">
        <f t="shared" si="11"/>
        <v>0</v>
      </c>
      <c r="I65" s="943">
        <f>IF(F65&lt;=0,0,'ปร.5 road'!$F$11)</f>
        <v>0</v>
      </c>
      <c r="J65" s="941">
        <f t="shared" si="13"/>
        <v>0</v>
      </c>
      <c r="K65" s="941">
        <f t="shared" si="12"/>
        <v>0</v>
      </c>
      <c r="L65" s="2152"/>
    </row>
    <row r="66" spans="1:12">
      <c r="A66" s="942"/>
      <c r="B66" s="944" t="s">
        <v>854</v>
      </c>
      <c r="C66" s="945"/>
      <c r="D66" s="946"/>
      <c r="E66" s="942" t="s">
        <v>379</v>
      </c>
      <c r="F66" s="940">
        <v>0</v>
      </c>
      <c r="G66" s="941">
        <f>IF(F66&lt;=0,0,ราคาป้าย!E23)</f>
        <v>0</v>
      </c>
      <c r="H66" s="941">
        <f t="shared" si="11"/>
        <v>0</v>
      </c>
      <c r="I66" s="943">
        <f>IF(F66&lt;=0,0,'ปร.5 road'!$F$11)</f>
        <v>0</v>
      </c>
      <c r="J66" s="941">
        <f t="shared" si="13"/>
        <v>0</v>
      </c>
      <c r="K66" s="941">
        <f t="shared" si="12"/>
        <v>0</v>
      </c>
      <c r="L66" s="2152"/>
    </row>
    <row r="67" spans="1:12">
      <c r="A67" s="942"/>
      <c r="B67" s="944" t="s">
        <v>127</v>
      </c>
      <c r="C67" s="945"/>
      <c r="D67" s="946"/>
      <c r="E67" s="942" t="s">
        <v>379</v>
      </c>
      <c r="F67" s="940">
        <v>0</v>
      </c>
      <c r="G67" s="941">
        <f>IF(F67&lt;=0,0,ราคาป้าย!E24)</f>
        <v>0</v>
      </c>
      <c r="H67" s="941">
        <f t="shared" si="11"/>
        <v>0</v>
      </c>
      <c r="I67" s="943">
        <f>IF(F67&lt;=0,0,'ปร.5 road'!$F$11)</f>
        <v>0</v>
      </c>
      <c r="J67" s="941">
        <f t="shared" si="13"/>
        <v>0</v>
      </c>
      <c r="K67" s="941">
        <f t="shared" si="12"/>
        <v>0</v>
      </c>
      <c r="L67" s="2152"/>
    </row>
    <row r="68" spans="1:12">
      <c r="A68" s="942"/>
      <c r="B68" s="944" t="s">
        <v>857</v>
      </c>
      <c r="C68" s="945"/>
      <c r="D68" s="946"/>
      <c r="E68" s="942" t="s">
        <v>379</v>
      </c>
      <c r="F68" s="940">
        <v>0</v>
      </c>
      <c r="G68" s="941">
        <f>IF(F68&lt;=0,0,ราคาป้าย!E30)</f>
        <v>0</v>
      </c>
      <c r="H68" s="941">
        <f t="shared" si="11"/>
        <v>0</v>
      </c>
      <c r="I68" s="943">
        <f>IF(F68&lt;=0,0,'ปร.5 road'!$F$11)</f>
        <v>0</v>
      </c>
      <c r="J68" s="941">
        <f t="shared" si="13"/>
        <v>0</v>
      </c>
      <c r="K68" s="941">
        <f t="shared" si="12"/>
        <v>0</v>
      </c>
      <c r="L68" s="2152"/>
    </row>
    <row r="69" spans="1:12">
      <c r="A69" s="971">
        <v>8</v>
      </c>
      <c r="B69" s="957" t="s">
        <v>1260</v>
      </c>
      <c r="C69" s="945"/>
      <c r="D69" s="946"/>
      <c r="E69" s="942"/>
      <c r="F69" s="1002"/>
      <c r="G69" s="972"/>
      <c r="H69" s="972"/>
      <c r="I69" s="973"/>
      <c r="J69" s="972"/>
      <c r="K69" s="972"/>
      <c r="L69" s="2160"/>
    </row>
    <row r="70" spans="1:12">
      <c r="A70" s="942"/>
      <c r="B70" s="944" t="s">
        <v>1261</v>
      </c>
      <c r="C70" s="945"/>
      <c r="D70" s="946"/>
      <c r="E70" s="942" t="s">
        <v>168</v>
      </c>
      <c r="F70" s="940">
        <v>0</v>
      </c>
      <c r="G70" s="941">
        <v>0</v>
      </c>
      <c r="H70" s="941">
        <f t="shared" ref="H70:H71" si="14">IF(F70&lt;=0,0,ROUND(F70*G70,2))</f>
        <v>0</v>
      </c>
      <c r="I70" s="943">
        <f>IF(F70&lt;=0,0,'ปร.5 road'!$F$11)</f>
        <v>0</v>
      </c>
      <c r="J70" s="941">
        <f t="shared" ref="J70:J71" si="15">INT((G70*I70)/0.01)*0.01</f>
        <v>0</v>
      </c>
      <c r="K70" s="941">
        <f t="shared" ref="K70:K71" si="16">IF(F70&lt;=0,0,ROUND(F70*J70,2))</f>
        <v>0</v>
      </c>
      <c r="L70" s="2160"/>
    </row>
    <row r="71" spans="1:12">
      <c r="A71" s="942"/>
      <c r="B71" s="944" t="s">
        <v>1262</v>
      </c>
      <c r="C71" s="945"/>
      <c r="D71" s="946"/>
      <c r="E71" s="942" t="s">
        <v>382</v>
      </c>
      <c r="F71" s="940">
        <v>0</v>
      </c>
      <c r="G71" s="941">
        <v>0</v>
      </c>
      <c r="H71" s="941">
        <f t="shared" si="14"/>
        <v>0</v>
      </c>
      <c r="I71" s="943">
        <f>IF(F71&lt;=0,0,'ปร.5 road'!$F$11)</f>
        <v>0</v>
      </c>
      <c r="J71" s="941">
        <f t="shared" si="15"/>
        <v>0</v>
      </c>
      <c r="K71" s="941">
        <f t="shared" si="16"/>
        <v>0</v>
      </c>
      <c r="L71" s="2160"/>
    </row>
    <row r="72" spans="1:12">
      <c r="A72" s="971">
        <v>9</v>
      </c>
      <c r="B72" s="957" t="s">
        <v>1373</v>
      </c>
      <c r="C72" s="975"/>
      <c r="D72" s="976"/>
      <c r="E72" s="974"/>
      <c r="F72" s="1002"/>
      <c r="G72" s="972"/>
      <c r="H72" s="972"/>
      <c r="I72" s="973"/>
      <c r="J72" s="972"/>
      <c r="K72" s="972"/>
      <c r="L72" s="2160"/>
    </row>
    <row r="73" spans="1:12">
      <c r="A73" s="974"/>
      <c r="B73" s="977" t="s">
        <v>1370</v>
      </c>
      <c r="C73" s="975"/>
      <c r="D73" s="976"/>
      <c r="E73" s="974" t="s">
        <v>1371</v>
      </c>
      <c r="F73" s="1002">
        <v>0</v>
      </c>
      <c r="G73" s="941">
        <v>0</v>
      </c>
      <c r="H73" s="941">
        <f t="shared" ref="H73:H74" si="17">IF(F73&lt;=0,0,ROUND(F73*G73,2))</f>
        <v>0</v>
      </c>
      <c r="I73" s="943">
        <f>IF(F73&lt;=0,0,'ปร.5 road'!$F$11)</f>
        <v>0</v>
      </c>
      <c r="J73" s="941">
        <f t="shared" ref="J73:J74" si="18">INT((G73*I73)/0.01)*0.01</f>
        <v>0</v>
      </c>
      <c r="K73" s="941">
        <f t="shared" ref="K73:K74" si="19">IF(F73&lt;=0,0,ROUND(F73*J73,2))</f>
        <v>0</v>
      </c>
      <c r="L73" s="2160"/>
    </row>
    <row r="74" spans="1:12">
      <c r="A74" s="1010"/>
      <c r="B74" s="1023" t="s">
        <v>1372</v>
      </c>
      <c r="C74" s="1012"/>
      <c r="D74" s="1013"/>
      <c r="E74" s="1010" t="s">
        <v>1371</v>
      </c>
      <c r="F74" s="1024">
        <v>0</v>
      </c>
      <c r="G74" s="1014">
        <v>0</v>
      </c>
      <c r="H74" s="1014">
        <f t="shared" si="17"/>
        <v>0</v>
      </c>
      <c r="I74" s="1015">
        <f>IF(F74&lt;=0,0,'ปร.5 road'!$F$11)</f>
        <v>0</v>
      </c>
      <c r="J74" s="1014">
        <f t="shared" si="18"/>
        <v>0</v>
      </c>
      <c r="K74" s="1014">
        <f t="shared" si="19"/>
        <v>0</v>
      </c>
      <c r="L74" s="2161"/>
    </row>
    <row r="75" spans="1:12" s="930" customFormat="1" ht="18.75">
      <c r="A75" s="1762"/>
      <c r="B75" s="1763"/>
      <c r="C75" s="1203"/>
      <c r="D75" s="1764"/>
      <c r="E75" s="1765"/>
      <c r="F75" s="1766"/>
      <c r="G75" s="1767"/>
      <c r="H75" s="1767"/>
      <c r="I75" s="1767"/>
      <c r="J75" s="1768"/>
      <c r="K75" s="1768"/>
      <c r="L75" s="2162"/>
    </row>
    <row r="76" spans="1:12">
      <c r="A76" s="951"/>
      <c r="B76" s="1025" t="s">
        <v>1093</v>
      </c>
      <c r="C76" s="999"/>
      <c r="D76" s="1001"/>
      <c r="E76" s="951"/>
      <c r="F76" s="952"/>
      <c r="G76" s="953"/>
      <c r="H76" s="953"/>
      <c r="I76" s="953"/>
      <c r="J76" s="953"/>
      <c r="K76" s="953"/>
      <c r="L76" s="2157"/>
    </row>
    <row r="77" spans="1:12">
      <c r="A77" s="1021">
        <v>1</v>
      </c>
      <c r="B77" s="1022" t="s">
        <v>1217</v>
      </c>
      <c r="C77" s="1023"/>
      <c r="D77" s="1013"/>
      <c r="E77" s="1010" t="s">
        <v>382</v>
      </c>
      <c r="F77" s="1024">
        <v>0</v>
      </c>
      <c r="G77" s="1014">
        <f>IF(F77&lt;=0,0,#REF!)</f>
        <v>0</v>
      </c>
      <c r="H77" s="1014">
        <f>IF(F77&gt;=0,ROUND(F77*G77,2))</f>
        <v>0</v>
      </c>
      <c r="I77" s="1015">
        <f>IF(F77&lt;=0,0,'ปร.5 road'!$F$12)</f>
        <v>0</v>
      </c>
      <c r="J77" s="1014">
        <f>INT((G77*I77)/0.01)*0.01</f>
        <v>0</v>
      </c>
      <c r="K77" s="1014">
        <f t="shared" si="12"/>
        <v>0</v>
      </c>
      <c r="L77" s="2163"/>
    </row>
    <row r="78" spans="1:12">
      <c r="A78" s="1405"/>
      <c r="B78" s="1772"/>
      <c r="D78" s="1773"/>
      <c r="E78" s="1774"/>
      <c r="F78" s="1406"/>
      <c r="G78" s="1407"/>
      <c r="H78" s="1407"/>
      <c r="I78" s="1408"/>
      <c r="J78" s="1407"/>
      <c r="K78" s="1407"/>
      <c r="L78" s="2164"/>
    </row>
    <row r="79" spans="1:12">
      <c r="A79" s="1016"/>
      <c r="B79" s="1017" t="s">
        <v>1845</v>
      </c>
      <c r="C79" s="1018"/>
      <c r="D79" s="1019"/>
      <c r="E79" s="951"/>
      <c r="F79" s="952"/>
      <c r="G79" s="953"/>
      <c r="H79" s="953"/>
      <c r="I79" s="953"/>
      <c r="J79" s="953"/>
      <c r="K79" s="953"/>
      <c r="L79" s="2159"/>
    </row>
    <row r="80" spans="1:12">
      <c r="A80" s="942">
        <v>1</v>
      </c>
      <c r="B80" s="978" t="s">
        <v>1266</v>
      </c>
      <c r="C80" s="945"/>
      <c r="D80" s="946"/>
      <c r="E80" s="1027" t="s">
        <v>1371</v>
      </c>
      <c r="F80" s="940">
        <v>0</v>
      </c>
      <c r="G80" s="941">
        <v>0</v>
      </c>
      <c r="H80" s="941">
        <f>IF(F80&lt;=0,0,ROUND(F80*G80,2))</f>
        <v>0</v>
      </c>
      <c r="I80" s="943">
        <v>1.07</v>
      </c>
      <c r="J80" s="941">
        <f>INT((G80*I80)/0.01)*0.01</f>
        <v>0</v>
      </c>
      <c r="K80" s="941">
        <f>IF(F80&lt;=0,0,ROUND(F80*J80,2))</f>
        <v>0</v>
      </c>
      <c r="L80" s="2152"/>
    </row>
    <row r="81" spans="1:12">
      <c r="A81" s="942">
        <v>2</v>
      </c>
      <c r="B81" s="978" t="s">
        <v>1267</v>
      </c>
      <c r="C81" s="945"/>
      <c r="D81" s="946"/>
      <c r="E81" s="1027" t="s">
        <v>1371</v>
      </c>
      <c r="F81" s="940">
        <v>0</v>
      </c>
      <c r="G81" s="941">
        <v>0</v>
      </c>
      <c r="H81" s="941">
        <f t="shared" ref="H81:H84" si="20">IF(F81&lt;=0,0,ROUND(F81*G81,2))</f>
        <v>0</v>
      </c>
      <c r="I81" s="943">
        <v>1.07</v>
      </c>
      <c r="J81" s="941">
        <f t="shared" ref="J81:J84" si="21">INT((G81*I81)/0.01)*0.01</f>
        <v>0</v>
      </c>
      <c r="K81" s="941">
        <f t="shared" ref="K81:K84" si="22">IF(F81&lt;=0,0,ROUND(F81*J81,2))</f>
        <v>0</v>
      </c>
      <c r="L81" s="2165"/>
    </row>
    <row r="82" spans="1:12">
      <c r="A82" s="942">
        <v>3</v>
      </c>
      <c r="B82" s="978" t="s">
        <v>1268</v>
      </c>
      <c r="C82" s="945"/>
      <c r="D82" s="946"/>
      <c r="E82" s="1027" t="s">
        <v>1371</v>
      </c>
      <c r="F82" s="940">
        <v>0</v>
      </c>
      <c r="G82" s="941">
        <v>0</v>
      </c>
      <c r="H82" s="941">
        <f t="shared" si="20"/>
        <v>0</v>
      </c>
      <c r="I82" s="943">
        <v>1.07</v>
      </c>
      <c r="J82" s="941">
        <f t="shared" si="21"/>
        <v>0</v>
      </c>
      <c r="K82" s="941">
        <f t="shared" si="22"/>
        <v>0</v>
      </c>
      <c r="L82" s="2165"/>
    </row>
    <row r="83" spans="1:12">
      <c r="A83" s="942">
        <v>4</v>
      </c>
      <c r="B83" s="1389" t="s">
        <v>1457</v>
      </c>
      <c r="C83" s="945"/>
      <c r="D83" s="946"/>
      <c r="E83" s="1027" t="s">
        <v>1371</v>
      </c>
      <c r="F83" s="940">
        <v>0</v>
      </c>
      <c r="G83" s="941">
        <v>0</v>
      </c>
      <c r="H83" s="941">
        <f>IF(F83&lt;=0,0,ROUND(F83*G83,2))</f>
        <v>0</v>
      </c>
      <c r="I83" s="943">
        <v>1.07</v>
      </c>
      <c r="J83" s="941">
        <f>INT((G83*I83)/0.01)*0.01</f>
        <v>0</v>
      </c>
      <c r="K83" s="941">
        <f>IF(F83&lt;=0,0,ROUND(F83*J83,2))</f>
        <v>0</v>
      </c>
      <c r="L83" s="2152"/>
    </row>
    <row r="84" spans="1:12">
      <c r="A84" s="942">
        <v>5</v>
      </c>
      <c r="B84" s="978" t="s">
        <v>1269</v>
      </c>
      <c r="C84" s="945"/>
      <c r="D84" s="946"/>
      <c r="E84" s="1027" t="s">
        <v>1371</v>
      </c>
      <c r="F84" s="940">
        <v>0</v>
      </c>
      <c r="G84" s="941">
        <v>0</v>
      </c>
      <c r="H84" s="941">
        <f t="shared" si="20"/>
        <v>0</v>
      </c>
      <c r="I84" s="943">
        <v>1.07</v>
      </c>
      <c r="J84" s="941">
        <f t="shared" si="21"/>
        <v>0</v>
      </c>
      <c r="K84" s="941">
        <f t="shared" si="22"/>
        <v>0</v>
      </c>
      <c r="L84" s="2165"/>
    </row>
    <row r="85" spans="1:12">
      <c r="A85" s="1010"/>
      <c r="B85" s="1011" t="s">
        <v>1270</v>
      </c>
      <c r="C85" s="1012"/>
      <c r="D85" s="1013"/>
      <c r="E85" s="1010"/>
      <c r="F85" s="1010"/>
      <c r="G85" s="1014"/>
      <c r="H85" s="1014"/>
      <c r="I85" s="1015"/>
      <c r="J85" s="1014"/>
      <c r="K85" s="1014"/>
      <c r="L85" s="2166"/>
    </row>
    <row r="86" spans="1:12" ht="18.75">
      <c r="A86" s="587"/>
      <c r="B86" s="587"/>
      <c r="C86" s="587"/>
      <c r="D86" s="587"/>
      <c r="E86" s="590"/>
      <c r="F86" s="587"/>
      <c r="G86" s="587"/>
      <c r="H86" s="587"/>
      <c r="I86" s="2307" t="s">
        <v>1037</v>
      </c>
      <c r="J86" s="2308"/>
      <c r="K86" s="591">
        <f>SUM(K8:K85)</f>
        <v>1557089.32</v>
      </c>
    </row>
    <row r="87" spans="1:12" ht="19.5" thickBot="1">
      <c r="A87" s="587"/>
      <c r="B87" s="587"/>
      <c r="C87" s="587"/>
      <c r="D87" s="1008" t="s">
        <v>1234</v>
      </c>
      <c r="E87" s="2148" t="str">
        <f xml:space="preserve"> "("&amp;BAHTTEXT(K87)&amp;")"</f>
        <v>(หนึ่งล้านห้าแสนห้าหมื่นเจ็ดพันแปดสิบเก้าบาทสามสิบสองสตางค์)</v>
      </c>
      <c r="F87" s="928"/>
      <c r="G87" s="587"/>
      <c r="H87" s="928"/>
      <c r="I87" s="587"/>
      <c r="J87" s="587"/>
      <c r="K87" s="2169">
        <f>K86</f>
        <v>1557089.32</v>
      </c>
    </row>
    <row r="88" spans="1:12" ht="20.25" hidden="1" thickTop="1" thickBot="1">
      <c r="A88" s="587"/>
      <c r="B88" s="587"/>
      <c r="C88" s="587"/>
      <c r="D88" s="1008" t="s">
        <v>1234</v>
      </c>
      <c r="E88" s="588" t="str">
        <f xml:space="preserve"> "("&amp;BAHTTEXT(K88)&amp;")"</f>
        <v>(หนึ่งล้านห้าแสนห้าหมื่นเจ็ดพันบาทถ้วน)</v>
      </c>
      <c r="F88" s="928"/>
      <c r="G88" s="587"/>
      <c r="H88" s="928"/>
      <c r="I88" s="587"/>
      <c r="J88" s="587"/>
      <c r="K88" s="592">
        <f>IF(K86&lt;10000000,ROUNDDOWN(K86,-3),ROUNDDOWN(K86,-3))</f>
        <v>1557000</v>
      </c>
    </row>
    <row r="89" spans="1:12" ht="18" thickTop="1"/>
    <row r="90" spans="1:12" ht="18.75">
      <c r="A90" s="590">
        <v>1</v>
      </c>
      <c r="B90" s="587" t="s">
        <v>1098</v>
      </c>
      <c r="C90" s="587"/>
      <c r="D90" s="587"/>
      <c r="E90" s="590"/>
      <c r="F90" s="2137"/>
      <c r="G90" s="587"/>
      <c r="H90" s="587"/>
      <c r="I90" s="587" t="s">
        <v>1099</v>
      </c>
      <c r="J90" s="2170">
        <f>SUM(H8:H44,H45:H74)</f>
        <v>1144366.99</v>
      </c>
    </row>
    <row r="91" spans="1:12" ht="18.75">
      <c r="A91" s="590">
        <v>2</v>
      </c>
      <c r="B91" s="587" t="s">
        <v>1100</v>
      </c>
      <c r="C91" s="587"/>
      <c r="D91" s="587"/>
      <c r="E91" s="590"/>
      <c r="F91" s="2137"/>
      <c r="G91" s="587"/>
      <c r="H91" s="587"/>
      <c r="I91" s="587" t="s">
        <v>1099</v>
      </c>
      <c r="J91" s="593">
        <v>0</v>
      </c>
    </row>
    <row r="92" spans="1:12" ht="18.75">
      <c r="A92" s="590">
        <v>3</v>
      </c>
      <c r="B92" s="587" t="s">
        <v>1101</v>
      </c>
      <c r="C92" s="587"/>
      <c r="D92" s="587"/>
      <c r="E92" s="590"/>
      <c r="F92" s="2137"/>
      <c r="G92" s="594"/>
      <c r="H92" s="587"/>
      <c r="I92" s="587" t="s">
        <v>1099</v>
      </c>
      <c r="J92" s="1009">
        <f>SUM(H80:H84)</f>
        <v>0</v>
      </c>
    </row>
    <row r="93" spans="1:12" ht="18.75">
      <c r="A93" s="590"/>
      <c r="B93" s="587"/>
      <c r="C93" s="587"/>
      <c r="D93" s="587"/>
      <c r="E93" s="590"/>
      <c r="F93" s="2137"/>
      <c r="G93" s="587"/>
      <c r="H93" s="587"/>
      <c r="I93" s="587"/>
      <c r="J93" s="587"/>
    </row>
    <row r="94" spans="1:12" ht="18.75">
      <c r="A94" s="590">
        <v>4</v>
      </c>
      <c r="B94" s="587" t="s">
        <v>1102</v>
      </c>
      <c r="C94" s="587"/>
      <c r="D94" s="587"/>
      <c r="E94" s="590"/>
      <c r="F94" s="2137"/>
      <c r="G94" s="589"/>
      <c r="H94" s="587"/>
      <c r="I94" s="587" t="s">
        <v>1099</v>
      </c>
      <c r="J94" s="2171">
        <f>'(F Road)'!M11</f>
        <v>1.3607</v>
      </c>
    </row>
    <row r="95" spans="1:12" ht="18.75">
      <c r="A95" s="590">
        <v>5</v>
      </c>
      <c r="B95" s="587" t="s">
        <v>1103</v>
      </c>
      <c r="C95" s="587"/>
      <c r="D95" s="587"/>
      <c r="E95" s="590"/>
      <c r="F95" s="2137"/>
      <c r="G95" s="587"/>
      <c r="H95" s="587"/>
      <c r="I95" s="587" t="s">
        <v>1099</v>
      </c>
      <c r="J95" s="593">
        <v>0</v>
      </c>
    </row>
    <row r="96" spans="1:12" ht="18.75">
      <c r="A96" s="590"/>
      <c r="B96" s="587"/>
      <c r="C96" s="587"/>
      <c r="D96" s="587"/>
      <c r="E96" s="590"/>
      <c r="F96" s="2137"/>
      <c r="G96" s="587"/>
      <c r="H96" s="587"/>
      <c r="I96" s="587"/>
      <c r="J96" s="587"/>
    </row>
    <row r="97" spans="1:12" ht="18.75">
      <c r="A97" s="590">
        <v>6</v>
      </c>
      <c r="B97" s="587" t="s">
        <v>1104</v>
      </c>
      <c r="C97" s="587"/>
      <c r="D97" s="587"/>
      <c r="E97" s="2313" t="s">
        <v>1105</v>
      </c>
      <c r="F97" s="2313"/>
      <c r="G97" s="2313"/>
      <c r="H97" s="587"/>
      <c r="I97" s="587" t="s">
        <v>1099</v>
      </c>
      <c r="J97" s="2172">
        <f>(1+(J92/(J90*J94)))</f>
        <v>1</v>
      </c>
    </row>
    <row r="98" spans="1:12" ht="18.75">
      <c r="A98" s="590">
        <v>7</v>
      </c>
      <c r="B98" s="587" t="s">
        <v>1872</v>
      </c>
      <c r="C98" s="587"/>
      <c r="D98" s="587"/>
      <c r="E98" s="590"/>
      <c r="F98" s="2137"/>
      <c r="G98" s="587"/>
      <c r="H98" s="587"/>
      <c r="I98" s="587" t="s">
        <v>1099</v>
      </c>
      <c r="J98" s="2173">
        <f>J97*J94</f>
        <v>1.3607</v>
      </c>
    </row>
    <row r="99" spans="1:12" ht="18.75">
      <c r="A99" s="590">
        <v>8</v>
      </c>
      <c r="B99" s="2099" t="s">
        <v>1873</v>
      </c>
      <c r="C99" s="587"/>
      <c r="D99" s="587"/>
      <c r="E99" s="590"/>
      <c r="F99" s="2137"/>
      <c r="G99" s="587"/>
      <c r="H99" s="587"/>
      <c r="I99" s="587" t="s">
        <v>1099</v>
      </c>
      <c r="J99" s="595">
        <v>0</v>
      </c>
    </row>
    <row r="101" spans="1:12" s="930" customFormat="1" ht="19.5">
      <c r="B101" s="2168" t="s">
        <v>1993</v>
      </c>
      <c r="F101" s="1275"/>
      <c r="G101" s="1300"/>
      <c r="H101" s="1300"/>
      <c r="I101" s="1300"/>
      <c r="J101" s="1300"/>
      <c r="K101" s="1300"/>
      <c r="L101" s="1856"/>
    </row>
    <row r="102" spans="1:12" s="1757" customFormat="1" ht="18.75">
      <c r="B102" s="928"/>
      <c r="C102" s="930" t="s">
        <v>1994</v>
      </c>
      <c r="F102" s="1758"/>
      <c r="G102" s="1759"/>
      <c r="H102" s="1759"/>
      <c r="I102" s="1759"/>
      <c r="J102" s="1759"/>
      <c r="K102" s="1759"/>
      <c r="L102" s="2167"/>
    </row>
    <row r="103" spans="1:12" s="1757" customFormat="1" ht="18.75">
      <c r="B103" s="930" t="s">
        <v>1995</v>
      </c>
      <c r="C103" s="930"/>
      <c r="F103" s="1758"/>
      <c r="G103" s="1759"/>
      <c r="H103" s="1759"/>
      <c r="I103" s="1759"/>
      <c r="J103" s="1759"/>
      <c r="K103" s="1759"/>
      <c r="L103" s="2167"/>
    </row>
    <row r="104" spans="1:12" s="1757" customFormat="1" ht="18.75">
      <c r="B104" s="928"/>
      <c r="C104" s="930" t="s">
        <v>1409</v>
      </c>
      <c r="F104" s="1758"/>
      <c r="G104" s="1759"/>
      <c r="H104" s="1759"/>
      <c r="I104" s="1759"/>
      <c r="J104" s="1759"/>
      <c r="K104" s="1759"/>
      <c r="L104" s="2167"/>
    </row>
    <row r="106" spans="1:12" ht="18.75">
      <c r="A106" s="587"/>
      <c r="B106" s="587"/>
      <c r="C106" s="587"/>
      <c r="D106" s="587"/>
      <c r="E106" s="2315" t="s">
        <v>1864</v>
      </c>
      <c r="F106" s="2315"/>
      <c r="G106" s="2315"/>
      <c r="H106" s="2315"/>
      <c r="I106" s="587"/>
      <c r="J106" s="587"/>
      <c r="K106" s="1005"/>
    </row>
    <row r="107" spans="1:12" ht="18.75">
      <c r="A107" s="587"/>
      <c r="B107" s="587"/>
      <c r="C107" s="587"/>
      <c r="D107" s="587"/>
      <c r="E107" s="2306" t="s">
        <v>1880</v>
      </c>
      <c r="F107" s="2306"/>
      <c r="G107" s="2306"/>
      <c r="H107" s="2306"/>
      <c r="I107" s="587"/>
      <c r="J107" s="587"/>
      <c r="K107" s="1005"/>
    </row>
    <row r="108" spans="1:12" ht="18.75">
      <c r="A108" s="587"/>
      <c r="B108" s="587"/>
      <c r="C108" s="587"/>
      <c r="D108" s="587"/>
      <c r="E108" s="2315" t="s">
        <v>1106</v>
      </c>
      <c r="F108" s="2315"/>
      <c r="G108" s="2315"/>
      <c r="H108" s="2315"/>
      <c r="I108" s="587"/>
      <c r="J108" s="587"/>
      <c r="K108" s="1005"/>
    </row>
    <row r="109" spans="1:12" ht="18.75">
      <c r="A109" s="587"/>
      <c r="B109" s="2305" t="s">
        <v>1107</v>
      </c>
      <c r="C109" s="2305"/>
      <c r="D109" s="2305"/>
      <c r="E109" s="590"/>
      <c r="F109" s="2137"/>
      <c r="G109" s="587"/>
      <c r="H109" s="587"/>
      <c r="I109" s="2305" t="s">
        <v>1107</v>
      </c>
      <c r="J109" s="2305"/>
      <c r="K109" s="2305"/>
    </row>
    <row r="110" spans="1:12" ht="18.75">
      <c r="A110" s="587"/>
      <c r="B110" s="2306" t="s">
        <v>1879</v>
      </c>
      <c r="C110" s="2306"/>
      <c r="D110" s="2306"/>
      <c r="E110" s="590"/>
      <c r="F110" s="2137"/>
      <c r="G110" s="587"/>
      <c r="H110" s="587"/>
      <c r="I110" s="2306" t="s">
        <v>1984</v>
      </c>
      <c r="J110" s="2306"/>
      <c r="K110" s="2306"/>
    </row>
    <row r="111" spans="1:12" ht="18.75">
      <c r="A111" s="587"/>
      <c r="B111" s="2314" t="s">
        <v>1108</v>
      </c>
      <c r="C111" s="2314"/>
      <c r="D111" s="2314"/>
      <c r="E111" s="590"/>
      <c r="F111" s="2137"/>
      <c r="G111" s="587"/>
      <c r="H111" s="587"/>
      <c r="I111" s="2313" t="s">
        <v>1108</v>
      </c>
      <c r="J111" s="2313"/>
      <c r="K111" s="2313"/>
    </row>
  </sheetData>
  <mergeCells count="16">
    <mergeCell ref="I111:K111"/>
    <mergeCell ref="A5:B5"/>
    <mergeCell ref="B111:D111"/>
    <mergeCell ref="E97:G97"/>
    <mergeCell ref="E106:H106"/>
    <mergeCell ref="E107:H107"/>
    <mergeCell ref="E108:H108"/>
    <mergeCell ref="A1:L1"/>
    <mergeCell ref="B109:D109"/>
    <mergeCell ref="B110:D110"/>
    <mergeCell ref="I86:J86"/>
    <mergeCell ref="H4:I4"/>
    <mergeCell ref="I109:K109"/>
    <mergeCell ref="I110:K110"/>
    <mergeCell ref="B7:D7"/>
    <mergeCell ref="C3:L3"/>
  </mergeCells>
  <dataValidations disablePrompts="1" count="1">
    <dataValidation type="list" allowBlank="1" showInputMessage="1" showErrorMessage="1" sqref="L22" xr:uid="{00000000-0002-0000-0B00-000000000000}">
      <formula1>"บนหินคลุก,   "</formula1>
    </dataValidation>
  </dataValidations>
  <printOptions horizontalCentered="1"/>
  <pageMargins left="0.19685039370078741" right="0.19685039370078741" top="0.59055118110236227" bottom="0.39370078740157483" header="0.19685039370078741" footer="0.19685039370078741"/>
  <pageSetup paperSize="9" scale="88" orientation="portrait" horizontalDpi="4294967293" r:id="rId1"/>
  <headerFooter alignWithMargins="0">
    <oddHeader>&amp;Rแบบ ปร.4 &amp;P/&amp;N</oddHeader>
  </headerFooter>
  <ignoredErrors>
    <ignoredError sqref="B31:B33" numberStoredAsText="1"/>
  </ignoredError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H123"/>
  <sheetViews>
    <sheetView view="pageBreakPreview" topLeftCell="A31" zoomScale="99" zoomScaleSheetLayoutView="99" workbookViewId="0">
      <selection activeCell="D8" sqref="D8"/>
    </sheetView>
  </sheetViews>
  <sheetFormatPr defaultColWidth="9.33203125" defaultRowHeight="17.25"/>
  <cols>
    <col min="1" max="1" width="6.83203125" style="928" customWidth="1"/>
    <col min="2" max="2" width="13.83203125" style="928" customWidth="1"/>
    <col min="3" max="3" width="36.33203125" style="928" customWidth="1"/>
    <col min="4" max="4" width="10" style="928" customWidth="1"/>
    <col min="5" max="5" width="7.83203125" style="928" customWidth="1"/>
    <col min="6" max="6" width="15.33203125" style="947" customWidth="1"/>
    <col min="7" max="7" width="18.83203125" style="947" customWidth="1"/>
    <col min="8" max="8" width="14.5" style="928" customWidth="1"/>
    <col min="9" max="16384" width="9.33203125" style="928"/>
  </cols>
  <sheetData>
    <row r="1" spans="1:8" ht="24" customHeight="1">
      <c r="A1" s="2246" t="s">
        <v>916</v>
      </c>
      <c r="B1" s="2246"/>
      <c r="C1" s="2246"/>
      <c r="D1" s="2246"/>
      <c r="E1" s="2246"/>
      <c r="F1" s="2246"/>
      <c r="G1" s="2246"/>
      <c r="H1" s="2246"/>
    </row>
    <row r="2" spans="1:8" ht="24" customHeight="1">
      <c r="A2" s="597" t="str">
        <f>"ชื่อสายทาง  "&amp;'ปร.4 road'!C2</f>
        <v>ชื่อสายทาง  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B2" s="934"/>
      <c r="C2" s="930"/>
      <c r="D2" s="930"/>
      <c r="E2" s="930"/>
      <c r="F2" s="932"/>
      <c r="G2" s="933"/>
      <c r="H2" s="933"/>
    </row>
    <row r="3" spans="1:8" ht="24" customHeight="1">
      <c r="A3" s="599" t="str">
        <f>กรอกราคาวัสดุ!A3</f>
        <v>สถานที่ตั้ง   ตำบลคลองเมือง   อำเภอจักราช   จังหวัดนครราชสีมา</v>
      </c>
      <c r="B3" s="982"/>
      <c r="C3" s="935"/>
      <c r="D3" s="935"/>
      <c r="E3" s="2319" t="s">
        <v>1424</v>
      </c>
      <c r="F3" s="2319"/>
      <c r="G3" s="1088" t="str">
        <f>กรอกข้อมูล!B16</f>
        <v>1.400</v>
      </c>
      <c r="H3" s="1087" t="s">
        <v>418</v>
      </c>
    </row>
    <row r="4" spans="1:8" ht="27.95" customHeight="1">
      <c r="A4" s="2316" t="s">
        <v>195</v>
      </c>
      <c r="B4" s="2320" t="s">
        <v>182</v>
      </c>
      <c r="C4" s="2321"/>
      <c r="D4" s="2324" t="s">
        <v>183</v>
      </c>
      <c r="E4" s="2316" t="s">
        <v>184</v>
      </c>
      <c r="F4" s="600" t="s">
        <v>1068</v>
      </c>
      <c r="G4" s="600" t="s">
        <v>393</v>
      </c>
      <c r="H4" s="2316" t="s">
        <v>895</v>
      </c>
    </row>
    <row r="5" spans="1:8" ht="27.95" customHeight="1">
      <c r="A5" s="2318"/>
      <c r="B5" s="2322"/>
      <c r="C5" s="2323"/>
      <c r="D5" s="2317"/>
      <c r="E5" s="2317"/>
      <c r="F5" s="601" t="s">
        <v>327</v>
      </c>
      <c r="G5" s="601" t="s">
        <v>327</v>
      </c>
      <c r="H5" s="2318"/>
    </row>
    <row r="6" spans="1:8" ht="24" customHeight="1">
      <c r="A6" s="1029"/>
      <c r="B6" s="1030" t="s">
        <v>377</v>
      </c>
      <c r="C6" s="1031"/>
      <c r="D6" s="602"/>
      <c r="E6" s="1032"/>
      <c r="F6" s="603"/>
      <c r="G6" s="603"/>
      <c r="H6" s="1032"/>
    </row>
    <row r="7" spans="1:8" ht="24" customHeight="1">
      <c r="A7" s="1033">
        <v>1</v>
      </c>
      <c r="B7" s="1034" t="s">
        <v>156</v>
      </c>
      <c r="C7" s="1035"/>
      <c r="D7" s="604"/>
      <c r="E7" s="1036"/>
      <c r="F7" s="605"/>
      <c r="G7" s="605"/>
      <c r="H7" s="1036"/>
    </row>
    <row r="8" spans="1:8" ht="24" customHeight="1">
      <c r="A8" s="1037"/>
      <c r="B8" s="1038" t="s">
        <v>353</v>
      </c>
      <c r="C8" s="1039"/>
      <c r="D8" s="604">
        <v>42020</v>
      </c>
      <c r="E8" s="1040" t="s">
        <v>890</v>
      </c>
      <c r="F8" s="605"/>
      <c r="G8" s="605"/>
      <c r="H8" s="1036"/>
    </row>
    <row r="9" spans="1:8" ht="24" customHeight="1">
      <c r="A9" s="1037"/>
      <c r="B9" s="1038" t="s">
        <v>346</v>
      </c>
      <c r="C9" s="1039"/>
      <c r="D9" s="604">
        <v>49214</v>
      </c>
      <c r="E9" s="1040" t="s">
        <v>890</v>
      </c>
      <c r="F9" s="605"/>
      <c r="G9" s="605"/>
      <c r="H9" s="1036"/>
    </row>
    <row r="10" spans="1:8" ht="24" customHeight="1">
      <c r="A10" s="1037"/>
      <c r="B10" s="1038" t="s">
        <v>98</v>
      </c>
      <c r="C10" s="1039"/>
      <c r="D10" s="604">
        <v>438</v>
      </c>
      <c r="E10" s="1040" t="s">
        <v>378</v>
      </c>
      <c r="F10" s="605"/>
      <c r="G10" s="605"/>
      <c r="H10" s="1036"/>
    </row>
    <row r="11" spans="1:8" ht="24" customHeight="1">
      <c r="A11" s="1033">
        <v>2</v>
      </c>
      <c r="B11" s="1034" t="s">
        <v>354</v>
      </c>
      <c r="C11" s="1035"/>
      <c r="D11" s="604"/>
      <c r="E11" s="1040"/>
      <c r="F11" s="605"/>
      <c r="G11" s="605"/>
      <c r="H11" s="1036"/>
    </row>
    <row r="12" spans="1:8" ht="24" customHeight="1">
      <c r="A12" s="1037"/>
      <c r="B12" s="1041" t="s">
        <v>518</v>
      </c>
      <c r="C12" s="1042"/>
      <c r="D12" s="604">
        <v>4460</v>
      </c>
      <c r="E12" s="1040" t="s">
        <v>378</v>
      </c>
      <c r="F12" s="605"/>
      <c r="G12" s="605"/>
      <c r="H12" s="1036"/>
    </row>
    <row r="13" spans="1:8" ht="24" customHeight="1">
      <c r="A13" s="1033">
        <v>3</v>
      </c>
      <c r="B13" s="1043" t="s">
        <v>357</v>
      </c>
      <c r="C13" s="1044"/>
      <c r="D13" s="604"/>
      <c r="E13" s="1040"/>
      <c r="F13" s="605"/>
      <c r="G13" s="605"/>
      <c r="H13" s="1036"/>
    </row>
    <row r="14" spans="1:8" ht="24" customHeight="1">
      <c r="A14" s="1037"/>
      <c r="B14" s="1041" t="s">
        <v>370</v>
      </c>
      <c r="C14" s="1042"/>
      <c r="D14" s="604">
        <v>1338</v>
      </c>
      <c r="E14" s="1040" t="s">
        <v>378</v>
      </c>
      <c r="F14" s="605"/>
      <c r="G14" s="605"/>
      <c r="H14" s="1036"/>
    </row>
    <row r="15" spans="1:8" ht="24" customHeight="1">
      <c r="A15" s="1037"/>
      <c r="B15" s="1038" t="s">
        <v>369</v>
      </c>
      <c r="C15" s="1039"/>
      <c r="D15" s="604">
        <v>22145</v>
      </c>
      <c r="E15" s="1040" t="s">
        <v>378</v>
      </c>
      <c r="F15" s="605"/>
      <c r="G15" s="605"/>
      <c r="H15" s="1036"/>
    </row>
    <row r="16" spans="1:8" ht="24" customHeight="1">
      <c r="A16" s="1033">
        <v>4</v>
      </c>
      <c r="B16" s="1034" t="s">
        <v>371</v>
      </c>
      <c r="C16" s="1035"/>
      <c r="D16" s="604"/>
      <c r="E16" s="1040"/>
      <c r="F16" s="605"/>
      <c r="G16" s="605"/>
      <c r="H16" s="1036"/>
    </row>
    <row r="17" spans="1:8" ht="24" customHeight="1">
      <c r="A17" s="1037"/>
      <c r="B17" s="1038" t="s">
        <v>993</v>
      </c>
      <c r="C17" s="1039"/>
      <c r="D17" s="604">
        <v>20693</v>
      </c>
      <c r="E17" s="1040" t="s">
        <v>378</v>
      </c>
      <c r="F17" s="605"/>
      <c r="G17" s="605"/>
      <c r="H17" s="1036"/>
    </row>
    <row r="18" spans="1:8" ht="24" customHeight="1">
      <c r="A18" s="1037"/>
      <c r="B18" s="1038" t="s">
        <v>251</v>
      </c>
      <c r="C18" s="1039"/>
      <c r="D18" s="604">
        <v>19070</v>
      </c>
      <c r="E18" s="1040" t="s">
        <v>378</v>
      </c>
      <c r="F18" s="605"/>
      <c r="G18" s="605"/>
      <c r="H18" s="1036"/>
    </row>
    <row r="19" spans="1:8" ht="24" customHeight="1">
      <c r="A19" s="1037"/>
      <c r="B19" s="1038" t="s">
        <v>477</v>
      </c>
      <c r="C19" s="1039"/>
      <c r="D19" s="604">
        <v>91282</v>
      </c>
      <c r="E19" s="1040" t="s">
        <v>890</v>
      </c>
      <c r="F19" s="605"/>
      <c r="G19" s="605"/>
      <c r="H19" s="1036"/>
    </row>
    <row r="20" spans="1:8" ht="24" customHeight="1">
      <c r="A20" s="1037"/>
      <c r="B20" s="1038" t="s">
        <v>66</v>
      </c>
      <c r="C20" s="1039"/>
      <c r="D20" s="604">
        <v>175</v>
      </c>
      <c r="E20" s="1040" t="s">
        <v>890</v>
      </c>
      <c r="F20" s="605"/>
      <c r="G20" s="605"/>
      <c r="H20" s="1036"/>
    </row>
    <row r="21" spans="1:8" ht="24" customHeight="1">
      <c r="A21" s="1037"/>
      <c r="B21" s="944" t="s">
        <v>1423</v>
      </c>
      <c r="C21" s="1039"/>
      <c r="D21" s="604">
        <v>74294</v>
      </c>
      <c r="E21" s="1040" t="s">
        <v>890</v>
      </c>
      <c r="F21" s="605"/>
      <c r="G21" s="605"/>
      <c r="H21" s="1081" t="s">
        <v>1263</v>
      </c>
    </row>
    <row r="22" spans="1:8" ht="24" customHeight="1">
      <c r="A22" s="1037"/>
      <c r="B22" s="944" t="s">
        <v>1407</v>
      </c>
      <c r="C22" s="1039"/>
      <c r="D22" s="604">
        <v>16988</v>
      </c>
      <c r="E22" s="1040" t="s">
        <v>890</v>
      </c>
      <c r="F22" s="605"/>
      <c r="G22" s="605"/>
      <c r="H22" s="1081" t="s">
        <v>1263</v>
      </c>
    </row>
    <row r="23" spans="1:8" ht="24" customHeight="1">
      <c r="A23" s="1037"/>
      <c r="B23" s="944" t="s">
        <v>1423</v>
      </c>
      <c r="C23" s="1039"/>
      <c r="D23" s="604">
        <v>175</v>
      </c>
      <c r="E23" s="1040" t="s">
        <v>890</v>
      </c>
      <c r="F23" s="605"/>
      <c r="G23" s="605"/>
      <c r="H23" s="1081" t="s">
        <v>1264</v>
      </c>
    </row>
    <row r="24" spans="1:8" ht="24" customHeight="1">
      <c r="A24" s="1037"/>
      <c r="B24" s="944" t="s">
        <v>1407</v>
      </c>
      <c r="C24" s="1039"/>
      <c r="D24" s="604">
        <v>0</v>
      </c>
      <c r="E24" s="1040" t="s">
        <v>890</v>
      </c>
      <c r="F24" s="605"/>
      <c r="G24" s="605"/>
      <c r="H24" s="1081" t="s">
        <v>1264</v>
      </c>
    </row>
    <row r="25" spans="1:8" ht="24" customHeight="1">
      <c r="A25" s="1033">
        <v>5</v>
      </c>
      <c r="B25" s="1034" t="s">
        <v>373</v>
      </c>
      <c r="C25" s="1035"/>
      <c r="D25" s="604"/>
      <c r="E25" s="1040"/>
      <c r="F25" s="605"/>
      <c r="G25" s="605"/>
      <c r="H25" s="1036"/>
    </row>
    <row r="26" spans="1:8" ht="24" customHeight="1">
      <c r="A26" s="1037">
        <v>5.0999999999999996</v>
      </c>
      <c r="B26" s="1038" t="s">
        <v>374</v>
      </c>
      <c r="C26" s="1035"/>
      <c r="D26" s="604"/>
      <c r="E26" s="1040"/>
      <c r="F26" s="605"/>
      <c r="G26" s="605"/>
      <c r="H26" s="1036"/>
    </row>
    <row r="27" spans="1:8" ht="24" customHeight="1">
      <c r="A27" s="1037"/>
      <c r="B27" s="1049" t="s">
        <v>1415</v>
      </c>
      <c r="C27" s="1050"/>
      <c r="D27" s="604">
        <v>156</v>
      </c>
      <c r="E27" s="1040" t="s">
        <v>375</v>
      </c>
      <c r="F27" s="605"/>
      <c r="G27" s="605"/>
      <c r="H27" s="1036"/>
    </row>
    <row r="28" spans="1:8" ht="24" customHeight="1">
      <c r="A28" s="1037"/>
      <c r="B28" s="1049" t="s">
        <v>1416</v>
      </c>
      <c r="C28" s="1050"/>
      <c r="D28" s="604">
        <v>133</v>
      </c>
      <c r="E28" s="1040" t="s">
        <v>375</v>
      </c>
      <c r="F28" s="605"/>
      <c r="G28" s="605"/>
      <c r="H28" s="1036"/>
    </row>
    <row r="29" spans="1:8" ht="24" customHeight="1">
      <c r="A29" s="1037"/>
      <c r="B29" s="1049" t="s">
        <v>1417</v>
      </c>
      <c r="C29" s="1050"/>
      <c r="D29" s="604">
        <v>131</v>
      </c>
      <c r="E29" s="1040" t="s">
        <v>375</v>
      </c>
      <c r="F29" s="605"/>
      <c r="G29" s="605"/>
      <c r="H29" s="1036"/>
    </row>
    <row r="30" spans="1:8" ht="24" customHeight="1">
      <c r="A30" s="1082"/>
      <c r="B30" s="1083" t="s">
        <v>1418</v>
      </c>
      <c r="C30" s="1084"/>
      <c r="D30" s="744">
        <v>538</v>
      </c>
      <c r="E30" s="1073" t="s">
        <v>375</v>
      </c>
      <c r="F30" s="745"/>
      <c r="G30" s="745"/>
      <c r="H30" s="1071"/>
    </row>
    <row r="31" spans="1:8" ht="24" customHeight="1">
      <c r="A31" s="616"/>
      <c r="B31" s="629"/>
      <c r="C31" s="616"/>
      <c r="D31" s="616"/>
      <c r="E31" s="616"/>
      <c r="F31" s="630"/>
      <c r="G31" s="616"/>
      <c r="H31" s="596"/>
    </row>
    <row r="32" spans="1:8" ht="24" customHeight="1">
      <c r="A32" s="616"/>
      <c r="B32" s="616"/>
      <c r="C32" s="616"/>
      <c r="D32" s="617"/>
      <c r="E32" s="616"/>
      <c r="F32" s="618"/>
      <c r="G32" s="619"/>
      <c r="H32" s="596"/>
    </row>
    <row r="33" spans="1:8" ht="24" customHeight="1">
      <c r="A33" s="615" t="s">
        <v>1109</v>
      </c>
      <c r="B33" s="615"/>
      <c r="C33" s="616"/>
      <c r="D33" s="596"/>
      <c r="E33" s="615" t="s">
        <v>1110</v>
      </c>
      <c r="F33" s="617"/>
      <c r="G33" s="618"/>
      <c r="H33" s="619"/>
    </row>
    <row r="34" spans="1:8" ht="24" customHeight="1">
      <c r="A34" s="615" t="s">
        <v>1111</v>
      </c>
      <c r="B34" s="615"/>
      <c r="C34" s="616"/>
      <c r="D34" s="596"/>
      <c r="E34" s="615" t="s">
        <v>1112</v>
      </c>
      <c r="F34" s="617"/>
      <c r="G34" s="618"/>
      <c r="H34" s="619"/>
    </row>
    <row r="35" spans="1:8" ht="24" customHeight="1">
      <c r="A35" s="1047">
        <v>5.2</v>
      </c>
      <c r="B35" s="1051" t="s">
        <v>381</v>
      </c>
      <c r="C35" s="1046"/>
      <c r="D35" s="614"/>
      <c r="E35" s="1047"/>
      <c r="F35" s="606"/>
      <c r="G35" s="606"/>
      <c r="H35" s="1048"/>
    </row>
    <row r="36" spans="1:8" ht="24" customHeight="1">
      <c r="A36" s="1040"/>
      <c r="B36" s="1052" t="s">
        <v>1419</v>
      </c>
      <c r="C36" s="1053"/>
      <c r="D36" s="604">
        <v>3</v>
      </c>
      <c r="E36" s="1040" t="s">
        <v>382</v>
      </c>
      <c r="F36" s="605"/>
      <c r="G36" s="605"/>
      <c r="H36" s="1036"/>
    </row>
    <row r="37" spans="1:8" ht="24" customHeight="1">
      <c r="A37" s="1040"/>
      <c r="B37" s="1052" t="s">
        <v>1420</v>
      </c>
      <c r="C37" s="1053"/>
      <c r="D37" s="604">
        <v>2</v>
      </c>
      <c r="E37" s="1040" t="s">
        <v>382</v>
      </c>
      <c r="F37" s="605"/>
      <c r="G37" s="605"/>
      <c r="H37" s="1040"/>
    </row>
    <row r="38" spans="1:8" ht="24" customHeight="1">
      <c r="A38" s="1040"/>
      <c r="B38" s="1052" t="s">
        <v>1421</v>
      </c>
      <c r="C38" s="1053"/>
      <c r="D38" s="604">
        <v>0</v>
      </c>
      <c r="E38" s="1040" t="s">
        <v>382</v>
      </c>
      <c r="F38" s="605"/>
      <c r="G38" s="605"/>
      <c r="H38" s="1036"/>
    </row>
    <row r="39" spans="1:8" ht="24" customHeight="1">
      <c r="A39" s="1054"/>
      <c r="B39" s="1055" t="s">
        <v>1422</v>
      </c>
      <c r="C39" s="1056"/>
      <c r="D39" s="1057">
        <v>16</v>
      </c>
      <c r="E39" s="1054" t="s">
        <v>382</v>
      </c>
      <c r="F39" s="1058"/>
      <c r="G39" s="1058"/>
      <c r="H39" s="1059"/>
    </row>
    <row r="40" spans="1:8" ht="24" customHeight="1">
      <c r="A40" s="1047">
        <v>5.3</v>
      </c>
      <c r="B40" s="1051" t="s">
        <v>1003</v>
      </c>
      <c r="C40" s="1060"/>
      <c r="D40" s="614"/>
      <c r="E40" s="1047"/>
      <c r="F40" s="606"/>
      <c r="G40" s="606"/>
      <c r="H40" s="1048"/>
    </row>
    <row r="41" spans="1:8" ht="24" customHeight="1">
      <c r="A41" s="1040" t="s">
        <v>1004</v>
      </c>
      <c r="B41" s="1038" t="s">
        <v>1396</v>
      </c>
      <c r="C41" s="1039"/>
      <c r="D41" s="604">
        <v>2850</v>
      </c>
      <c r="E41" s="1040" t="s">
        <v>380</v>
      </c>
      <c r="F41" s="605"/>
      <c r="G41" s="605"/>
      <c r="H41" s="1036"/>
    </row>
    <row r="42" spans="1:8" ht="24" customHeight="1">
      <c r="A42" s="1040" t="s">
        <v>1005</v>
      </c>
      <c r="B42" s="1085" t="s">
        <v>1395</v>
      </c>
      <c r="C42" s="1039"/>
      <c r="D42" s="604">
        <v>170</v>
      </c>
      <c r="E42" s="1040" t="s">
        <v>380</v>
      </c>
      <c r="F42" s="605"/>
      <c r="G42" s="605"/>
      <c r="H42" s="1036"/>
    </row>
    <row r="43" spans="1:8" ht="24" customHeight="1">
      <c r="A43" s="1061">
        <v>6</v>
      </c>
      <c r="B43" s="1034" t="s">
        <v>232</v>
      </c>
      <c r="C43" s="1039"/>
      <c r="D43" s="604"/>
      <c r="E43" s="1040"/>
      <c r="F43" s="605"/>
      <c r="G43" s="605"/>
      <c r="H43" s="1036"/>
    </row>
    <row r="44" spans="1:8" ht="24" customHeight="1">
      <c r="A44" s="1040"/>
      <c r="B44" s="1038" t="s">
        <v>69</v>
      </c>
      <c r="C44" s="1039"/>
      <c r="D44" s="604">
        <v>506</v>
      </c>
      <c r="E44" s="1040" t="s">
        <v>1038</v>
      </c>
      <c r="F44" s="605"/>
      <c r="G44" s="605"/>
      <c r="H44" s="1040"/>
    </row>
    <row r="45" spans="1:8" ht="24" customHeight="1">
      <c r="A45" s="1040"/>
      <c r="B45" s="1038" t="s">
        <v>70</v>
      </c>
      <c r="C45" s="1039"/>
      <c r="D45" s="604">
        <v>12</v>
      </c>
      <c r="E45" s="1040" t="s">
        <v>1038</v>
      </c>
      <c r="F45" s="605"/>
      <c r="G45" s="605"/>
      <c r="H45" s="1040"/>
    </row>
    <row r="46" spans="1:8" ht="24" customHeight="1">
      <c r="A46" s="1040"/>
      <c r="B46" s="1038" t="s">
        <v>72</v>
      </c>
      <c r="C46" s="1039"/>
      <c r="D46" s="604">
        <v>190</v>
      </c>
      <c r="E46" s="1040" t="s">
        <v>379</v>
      </c>
      <c r="F46" s="605"/>
      <c r="G46" s="605"/>
      <c r="H46" s="1040"/>
    </row>
    <row r="47" spans="1:8" ht="24" customHeight="1">
      <c r="A47" s="1040"/>
      <c r="B47" s="1038" t="s">
        <v>73</v>
      </c>
      <c r="C47" s="1039"/>
      <c r="D47" s="604">
        <v>2921</v>
      </c>
      <c r="E47" s="1040" t="s">
        <v>890</v>
      </c>
      <c r="F47" s="605"/>
      <c r="G47" s="605"/>
      <c r="H47" s="1080" t="s">
        <v>519</v>
      </c>
    </row>
    <row r="48" spans="1:8" ht="24" customHeight="1">
      <c r="A48" s="1040"/>
      <c r="B48" s="1038" t="s">
        <v>74</v>
      </c>
      <c r="C48" s="1039"/>
      <c r="D48" s="604">
        <v>27</v>
      </c>
      <c r="E48" s="1040" t="s">
        <v>889</v>
      </c>
      <c r="F48" s="605"/>
      <c r="G48" s="605"/>
      <c r="H48" s="1036"/>
    </row>
    <row r="49" spans="1:8" ht="24" customHeight="1">
      <c r="A49" s="1040"/>
      <c r="B49" s="1038" t="s">
        <v>224</v>
      </c>
      <c r="C49" s="1039"/>
      <c r="D49" s="604">
        <v>236</v>
      </c>
      <c r="E49" s="1040" t="s">
        <v>889</v>
      </c>
      <c r="F49" s="605"/>
      <c r="G49" s="605"/>
      <c r="H49" s="1036"/>
    </row>
    <row r="50" spans="1:8" ht="24" customHeight="1">
      <c r="A50" s="1040"/>
      <c r="B50" s="1038" t="s">
        <v>75</v>
      </c>
      <c r="C50" s="1039"/>
      <c r="D50" s="604">
        <v>10</v>
      </c>
      <c r="E50" s="1040" t="s">
        <v>382</v>
      </c>
      <c r="F50" s="605"/>
      <c r="G50" s="605"/>
      <c r="H50" s="1036"/>
    </row>
    <row r="51" spans="1:8" ht="24" customHeight="1">
      <c r="A51" s="1040"/>
      <c r="B51" s="1038" t="s">
        <v>76</v>
      </c>
      <c r="C51" s="1039"/>
      <c r="D51" s="604">
        <v>3</v>
      </c>
      <c r="E51" s="1040" t="s">
        <v>382</v>
      </c>
      <c r="F51" s="605"/>
      <c r="G51" s="605"/>
      <c r="H51" s="1036"/>
    </row>
    <row r="52" spans="1:8" ht="24" customHeight="1">
      <c r="A52" s="1040"/>
      <c r="B52" s="1038" t="s">
        <v>1211</v>
      </c>
      <c r="C52" s="1039"/>
      <c r="D52" s="604">
        <v>1</v>
      </c>
      <c r="E52" s="1040" t="s">
        <v>379</v>
      </c>
      <c r="F52" s="605"/>
      <c r="G52" s="605"/>
      <c r="H52" s="1036"/>
    </row>
    <row r="53" spans="1:8" ht="24" customHeight="1">
      <c r="A53" s="1062">
        <v>7</v>
      </c>
      <c r="B53" s="1063" t="s">
        <v>581</v>
      </c>
      <c r="C53" s="1064"/>
      <c r="D53" s="614"/>
      <c r="E53" s="1065"/>
      <c r="F53" s="606"/>
      <c r="G53" s="606"/>
      <c r="H53" s="1047"/>
    </row>
    <row r="54" spans="1:8" ht="24" customHeight="1">
      <c r="A54" s="1040"/>
      <c r="B54" s="1066" t="s">
        <v>191</v>
      </c>
      <c r="C54" s="1067"/>
      <c r="D54" s="604">
        <v>3</v>
      </c>
      <c r="E54" s="1068" t="s">
        <v>379</v>
      </c>
      <c r="F54" s="605"/>
      <c r="G54" s="605"/>
      <c r="H54" s="1040"/>
    </row>
    <row r="55" spans="1:8" ht="24" customHeight="1">
      <c r="A55" s="1040"/>
      <c r="B55" s="1038" t="s">
        <v>1212</v>
      </c>
      <c r="C55" s="1039"/>
      <c r="D55" s="604">
        <v>12</v>
      </c>
      <c r="E55" s="1040" t="s">
        <v>379</v>
      </c>
      <c r="F55" s="605"/>
      <c r="G55" s="605"/>
      <c r="H55" s="1040"/>
    </row>
    <row r="56" spans="1:8" ht="24" customHeight="1">
      <c r="A56" s="1040"/>
      <c r="B56" s="1038" t="s">
        <v>1158</v>
      </c>
      <c r="C56" s="1039"/>
      <c r="D56" s="604">
        <v>4</v>
      </c>
      <c r="E56" s="1040" t="s">
        <v>379</v>
      </c>
      <c r="F56" s="605"/>
      <c r="G56" s="605"/>
      <c r="H56" s="1040"/>
    </row>
    <row r="57" spans="1:8" ht="24" customHeight="1">
      <c r="A57" s="1040"/>
      <c r="B57" s="1038" t="s">
        <v>1162</v>
      </c>
      <c r="C57" s="1039"/>
      <c r="D57" s="604">
        <v>46</v>
      </c>
      <c r="E57" s="1040" t="s">
        <v>379</v>
      </c>
      <c r="F57" s="605"/>
      <c r="G57" s="605"/>
      <c r="H57" s="1040"/>
    </row>
    <row r="58" spans="1:8" ht="24" customHeight="1">
      <c r="A58" s="1040"/>
      <c r="B58" s="1038" t="s">
        <v>1414</v>
      </c>
      <c r="C58" s="1039"/>
      <c r="D58" s="604">
        <v>39</v>
      </c>
      <c r="E58" s="1040" t="s">
        <v>379</v>
      </c>
      <c r="F58" s="605"/>
      <c r="G58" s="605"/>
      <c r="H58" s="1040"/>
    </row>
    <row r="59" spans="1:8" ht="24" customHeight="1">
      <c r="A59" s="1040"/>
      <c r="B59" s="1038" t="s">
        <v>1218</v>
      </c>
      <c r="C59" s="1039"/>
      <c r="D59" s="604">
        <v>5</v>
      </c>
      <c r="E59" s="1040" t="s">
        <v>379</v>
      </c>
      <c r="F59" s="605"/>
      <c r="G59" s="605"/>
      <c r="H59" s="1040"/>
    </row>
    <row r="60" spans="1:8" ht="24" customHeight="1">
      <c r="A60" s="1073"/>
      <c r="B60" s="1072" t="s">
        <v>853</v>
      </c>
      <c r="C60" s="1078"/>
      <c r="D60" s="744">
        <v>7</v>
      </c>
      <c r="E60" s="1073" t="s">
        <v>379</v>
      </c>
      <c r="F60" s="745"/>
      <c r="G60" s="745"/>
      <c r="H60" s="1073"/>
    </row>
    <row r="61" spans="1:8" ht="24" customHeight="1">
      <c r="A61" s="616"/>
      <c r="B61" s="629"/>
      <c r="C61" s="616"/>
      <c r="D61" s="616"/>
      <c r="E61" s="616"/>
      <c r="F61" s="630"/>
      <c r="G61" s="616"/>
      <c r="H61" s="596"/>
    </row>
    <row r="62" spans="1:8" ht="24" customHeight="1">
      <c r="A62" s="616"/>
      <c r="B62" s="616"/>
      <c r="C62" s="616"/>
      <c r="D62" s="617"/>
      <c r="E62" s="616"/>
      <c r="F62" s="618"/>
      <c r="G62" s="619"/>
      <c r="H62" s="596"/>
    </row>
    <row r="63" spans="1:8" ht="24" customHeight="1">
      <c r="A63" s="615" t="s">
        <v>1109</v>
      </c>
      <c r="B63" s="615"/>
      <c r="C63" s="616"/>
      <c r="D63" s="596"/>
      <c r="E63" s="615" t="s">
        <v>1110</v>
      </c>
      <c r="F63" s="617"/>
      <c r="G63" s="618"/>
      <c r="H63" s="619"/>
    </row>
    <row r="64" spans="1:8" ht="24" customHeight="1">
      <c r="A64" s="615" t="s">
        <v>1111</v>
      </c>
      <c r="B64" s="615"/>
      <c r="C64" s="616"/>
      <c r="D64" s="596"/>
      <c r="E64" s="615" t="s">
        <v>1112</v>
      </c>
      <c r="F64" s="617"/>
      <c r="G64" s="618"/>
      <c r="H64" s="619"/>
    </row>
    <row r="65" spans="1:8" ht="24" customHeight="1">
      <c r="A65" s="1040"/>
      <c r="B65" s="1038" t="s">
        <v>854</v>
      </c>
      <c r="C65" s="1039"/>
      <c r="D65" s="604">
        <v>2</v>
      </c>
      <c r="E65" s="1040" t="s">
        <v>379</v>
      </c>
      <c r="F65" s="605"/>
      <c r="G65" s="605"/>
      <c r="H65" s="1040"/>
    </row>
    <row r="66" spans="1:8" ht="24" customHeight="1">
      <c r="A66" s="1040"/>
      <c r="B66" s="1038" t="s">
        <v>127</v>
      </c>
      <c r="C66" s="1039"/>
      <c r="D66" s="604">
        <v>8</v>
      </c>
      <c r="E66" s="1040" t="s">
        <v>379</v>
      </c>
      <c r="F66" s="605"/>
      <c r="G66" s="605"/>
      <c r="H66" s="1040"/>
    </row>
    <row r="67" spans="1:8" ht="24" customHeight="1">
      <c r="A67" s="1040"/>
      <c r="B67" s="1038" t="s">
        <v>857</v>
      </c>
      <c r="C67" s="1039"/>
      <c r="D67" s="604">
        <v>5</v>
      </c>
      <c r="E67" s="1040" t="s">
        <v>379</v>
      </c>
      <c r="F67" s="605"/>
      <c r="G67" s="605"/>
      <c r="H67" s="1040"/>
    </row>
    <row r="68" spans="1:8" ht="24" customHeight="1">
      <c r="A68" s="1061">
        <v>8</v>
      </c>
      <c r="B68" s="1034" t="s">
        <v>1260</v>
      </c>
      <c r="C68" s="1039"/>
      <c r="D68" s="604"/>
      <c r="E68" s="1040"/>
      <c r="F68" s="605"/>
      <c r="G68" s="605"/>
      <c r="H68" s="1040"/>
    </row>
    <row r="69" spans="1:8" ht="24" customHeight="1">
      <c r="A69" s="1040"/>
      <c r="B69" s="1038" t="s">
        <v>1261</v>
      </c>
      <c r="C69" s="1039"/>
      <c r="D69" s="604">
        <v>88</v>
      </c>
      <c r="E69" s="1040" t="s">
        <v>168</v>
      </c>
      <c r="F69" s="605"/>
      <c r="G69" s="605"/>
      <c r="H69" s="1040"/>
    </row>
    <row r="70" spans="1:8" ht="24" customHeight="1">
      <c r="A70" s="1040"/>
      <c r="B70" s="1038" t="s">
        <v>1262</v>
      </c>
      <c r="C70" s="1039"/>
      <c r="D70" s="604">
        <v>3</v>
      </c>
      <c r="E70" s="1040" t="s">
        <v>382</v>
      </c>
      <c r="F70" s="605"/>
      <c r="G70" s="605"/>
      <c r="H70" s="1040"/>
    </row>
    <row r="71" spans="1:8" ht="24" customHeight="1">
      <c r="A71" s="1061">
        <v>9</v>
      </c>
      <c r="B71" s="1034" t="s">
        <v>1373</v>
      </c>
      <c r="C71" s="1039"/>
      <c r="D71" s="604"/>
      <c r="E71" s="1040"/>
      <c r="F71" s="605"/>
      <c r="G71" s="605"/>
      <c r="H71" s="1040"/>
    </row>
    <row r="72" spans="1:8" ht="24" customHeight="1">
      <c r="A72" s="1040"/>
      <c r="B72" s="1038" t="s">
        <v>1370</v>
      </c>
      <c r="C72" s="1039"/>
      <c r="D72" s="604">
        <v>1</v>
      </c>
      <c r="E72" s="1027" t="s">
        <v>1371</v>
      </c>
      <c r="F72" s="605"/>
      <c r="G72" s="605"/>
      <c r="H72" s="1040"/>
    </row>
    <row r="73" spans="1:8" ht="24" customHeight="1">
      <c r="A73" s="1073"/>
      <c r="B73" s="1072" t="s">
        <v>1372</v>
      </c>
      <c r="C73" s="1078"/>
      <c r="D73" s="744">
        <v>1</v>
      </c>
      <c r="E73" s="1028" t="s">
        <v>1371</v>
      </c>
      <c r="F73" s="745"/>
      <c r="G73" s="745"/>
      <c r="H73" s="1073"/>
    </row>
    <row r="74" spans="1:8" ht="24" customHeight="1" thickBot="1">
      <c r="A74" s="607"/>
      <c r="B74" s="608" t="s">
        <v>1413</v>
      </c>
      <c r="C74" s="609"/>
      <c r="D74" s="610"/>
      <c r="E74" s="609"/>
      <c r="F74" s="611"/>
      <c r="G74" s="612"/>
      <c r="H74" s="613"/>
    </row>
    <row r="75" spans="1:8" ht="24" customHeight="1" thickTop="1">
      <c r="A75" s="1047"/>
      <c r="B75" s="1069" t="s">
        <v>1093</v>
      </c>
      <c r="C75" s="1045"/>
      <c r="D75" s="614"/>
      <c r="E75" s="1047"/>
      <c r="F75" s="606"/>
      <c r="G75" s="606"/>
      <c r="H75" s="1048"/>
    </row>
    <row r="76" spans="1:8" ht="24" customHeight="1">
      <c r="A76" s="1070">
        <v>1</v>
      </c>
      <c r="B76" s="1071" t="s">
        <v>1217</v>
      </c>
      <c r="C76" s="1072"/>
      <c r="D76" s="744">
        <v>0</v>
      </c>
      <c r="E76" s="1073" t="s">
        <v>382</v>
      </c>
      <c r="F76" s="745"/>
      <c r="G76" s="745"/>
      <c r="H76" s="1071"/>
    </row>
    <row r="77" spans="1:8" ht="24" customHeight="1">
      <c r="A77" s="607"/>
      <c r="B77" s="608" t="s">
        <v>1411</v>
      </c>
      <c r="C77" s="609"/>
      <c r="D77" s="610"/>
      <c r="E77" s="609"/>
      <c r="F77" s="609"/>
      <c r="G77" s="1026"/>
      <c r="H77" s="613"/>
    </row>
    <row r="78" spans="1:8" ht="24" customHeight="1">
      <c r="A78" s="1074"/>
      <c r="B78" s="1075" t="s">
        <v>1265</v>
      </c>
      <c r="C78" s="1076"/>
      <c r="D78" s="614"/>
      <c r="E78" s="1047"/>
      <c r="F78" s="606"/>
      <c r="G78" s="606"/>
      <c r="H78" s="1086" t="s">
        <v>1366</v>
      </c>
    </row>
    <row r="79" spans="1:8" ht="24" customHeight="1">
      <c r="A79" s="1040">
        <v>1</v>
      </c>
      <c r="B79" s="1085" t="s">
        <v>1266</v>
      </c>
      <c r="C79" s="1039"/>
      <c r="D79" s="604">
        <v>1</v>
      </c>
      <c r="E79" s="1040" t="s">
        <v>1271</v>
      </c>
      <c r="F79" s="605"/>
      <c r="G79" s="605"/>
      <c r="H79" s="1040"/>
    </row>
    <row r="80" spans="1:8" ht="24" customHeight="1">
      <c r="A80" s="1040">
        <v>2</v>
      </c>
      <c r="B80" s="1085" t="s">
        <v>1267</v>
      </c>
      <c r="C80" s="1039"/>
      <c r="D80" s="604">
        <v>1</v>
      </c>
      <c r="E80" s="1040" t="s">
        <v>1271</v>
      </c>
      <c r="F80" s="605"/>
      <c r="G80" s="605"/>
      <c r="H80" s="1077"/>
    </row>
    <row r="81" spans="1:8" ht="24" customHeight="1">
      <c r="A81" s="1040">
        <v>3</v>
      </c>
      <c r="B81" s="1038" t="s">
        <v>1268</v>
      </c>
      <c r="C81" s="1039"/>
      <c r="D81" s="604">
        <v>1</v>
      </c>
      <c r="E81" s="1040" t="s">
        <v>1271</v>
      </c>
      <c r="F81" s="605"/>
      <c r="G81" s="605"/>
      <c r="H81" s="1077"/>
    </row>
    <row r="82" spans="1:8" ht="24" customHeight="1">
      <c r="A82" s="1040">
        <v>4</v>
      </c>
      <c r="B82" s="1038" t="s">
        <v>1269</v>
      </c>
      <c r="C82" s="1039"/>
      <c r="D82" s="604">
        <v>1</v>
      </c>
      <c r="E82" s="1040" t="s">
        <v>1271</v>
      </c>
      <c r="F82" s="605"/>
      <c r="G82" s="605"/>
      <c r="H82" s="1077"/>
    </row>
    <row r="83" spans="1:8" ht="24" customHeight="1">
      <c r="A83" s="1073"/>
      <c r="B83" s="1072" t="s">
        <v>1270</v>
      </c>
      <c r="C83" s="1078"/>
      <c r="D83" s="1073"/>
      <c r="E83" s="1073"/>
      <c r="F83" s="745"/>
      <c r="G83" s="745"/>
      <c r="H83" s="1079"/>
    </row>
    <row r="84" spans="1:8" ht="24" customHeight="1" thickBot="1">
      <c r="A84" s="620"/>
      <c r="B84" s="621" t="s">
        <v>1412</v>
      </c>
      <c r="C84" s="622"/>
      <c r="D84" s="623"/>
      <c r="E84" s="622"/>
      <c r="F84" s="622"/>
      <c r="G84" s="624"/>
      <c r="H84" s="625"/>
    </row>
    <row r="85" spans="1:8" ht="24" customHeight="1" thickTop="1" thickBot="1">
      <c r="A85" s="607"/>
      <c r="B85" s="626" t="s">
        <v>1410</v>
      </c>
      <c r="C85" s="609"/>
      <c r="D85" s="610"/>
      <c r="E85" s="609"/>
      <c r="F85" s="609"/>
      <c r="G85" s="627"/>
      <c r="H85" s="628"/>
    </row>
    <row r="86" spans="1:8" ht="24" customHeight="1" thickTop="1">
      <c r="A86" s="616"/>
      <c r="B86" s="629"/>
      <c r="C86" s="616"/>
      <c r="D86" s="616"/>
      <c r="E86" s="616"/>
      <c r="F86" s="630"/>
      <c r="G86" s="616"/>
      <c r="H86" s="596"/>
    </row>
    <row r="87" spans="1:8" ht="24" customHeight="1">
      <c r="A87" s="615" t="s">
        <v>1109</v>
      </c>
      <c r="B87" s="615"/>
      <c r="C87" s="616"/>
      <c r="D87" s="596"/>
      <c r="E87" s="615" t="s">
        <v>1110</v>
      </c>
      <c r="F87" s="617"/>
      <c r="G87" s="618"/>
      <c r="H87" s="619"/>
    </row>
    <row r="88" spans="1:8" ht="24" customHeight="1">
      <c r="A88" s="615" t="s">
        <v>1111</v>
      </c>
      <c r="B88" s="615"/>
      <c r="C88" s="616"/>
      <c r="D88" s="596"/>
      <c r="E88" s="615" t="s">
        <v>1112</v>
      </c>
      <c r="F88" s="617"/>
      <c r="G88" s="618"/>
      <c r="H88" s="619"/>
    </row>
    <row r="89" spans="1:8" ht="24" customHeight="1">
      <c r="A89" s="616"/>
      <c r="B89" s="616"/>
      <c r="C89" s="616"/>
      <c r="D89" s="631" t="s">
        <v>364</v>
      </c>
      <c r="E89" s="616"/>
      <c r="F89" s="616"/>
      <c r="G89" s="596"/>
      <c r="H89" s="616"/>
    </row>
    <row r="90" spans="1:8" ht="24" customHeight="1">
      <c r="A90" s="632"/>
      <c r="B90" s="616"/>
      <c r="C90" s="616"/>
      <c r="D90" s="616" t="s">
        <v>365</v>
      </c>
      <c r="E90" s="616"/>
      <c r="F90" s="616"/>
      <c r="G90" s="596"/>
      <c r="H90" s="616"/>
    </row>
    <row r="91" spans="1:8" ht="24" customHeight="1">
      <c r="A91" s="632" t="s">
        <v>895</v>
      </c>
      <c r="B91" s="616"/>
      <c r="C91" s="616"/>
      <c r="D91" s="616"/>
      <c r="E91" s="616"/>
      <c r="F91" s="616"/>
      <c r="G91" s="596"/>
      <c r="H91" s="616"/>
    </row>
    <row r="92" spans="1:8" ht="24" customHeight="1">
      <c r="A92" s="616" t="s">
        <v>366</v>
      </c>
      <c r="B92" s="616"/>
      <c r="C92" s="616"/>
      <c r="D92" s="616"/>
      <c r="E92" s="616"/>
      <c r="F92" s="616"/>
      <c r="G92" s="616"/>
      <c r="H92" s="616"/>
    </row>
    <row r="93" spans="1:8" ht="24" customHeight="1">
      <c r="A93" s="616" t="s">
        <v>367</v>
      </c>
      <c r="B93" s="616"/>
      <c r="C93" s="616"/>
      <c r="D93" s="616"/>
      <c r="E93" s="616"/>
      <c r="F93" s="633"/>
      <c r="G93" s="634"/>
      <c r="H93" s="635"/>
    </row>
    <row r="94" spans="1:8" ht="24" customHeight="1">
      <c r="A94" s="616" t="s">
        <v>368</v>
      </c>
      <c r="B94" s="616"/>
      <c r="C94" s="616"/>
      <c r="D94" s="616"/>
      <c r="E94" s="616"/>
      <c r="F94" s="617"/>
      <c r="G94" s="618"/>
      <c r="H94" s="619"/>
    </row>
    <row r="95" spans="1:8" ht="24" customHeight="1">
      <c r="A95" s="596"/>
      <c r="B95" s="596"/>
      <c r="C95" s="596"/>
      <c r="D95" s="636"/>
      <c r="E95" s="596"/>
      <c r="F95" s="598"/>
      <c r="G95" s="598"/>
      <c r="H95" s="596"/>
    </row>
    <row r="96" spans="1:8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</sheetData>
  <mergeCells count="7">
    <mergeCell ref="A1:H1"/>
    <mergeCell ref="E4:E5"/>
    <mergeCell ref="H4:H5"/>
    <mergeCell ref="E3:F3"/>
    <mergeCell ref="A4:A5"/>
    <mergeCell ref="B4:C5"/>
    <mergeCell ref="D4:D5"/>
  </mergeCells>
  <dataValidations disablePrompts="1" count="1">
    <dataValidation type="list" allowBlank="1" showInputMessage="1" showErrorMessage="1" sqref="H19" xr:uid="{00000000-0002-0000-0C00-000000000000}">
      <formula1>"บนหินคลุก,   "</formula1>
    </dataValidation>
  </dataValidations>
  <printOptions horizontalCentered="1"/>
  <pageMargins left="0.23" right="0.16" top="0.38" bottom="0.54" header="0.22" footer="0.25"/>
  <pageSetup paperSize="9" scale="95" orientation="portrait" horizontalDpi="4294967293" r:id="rId1"/>
  <headerFooter alignWithMargins="0">
    <oddHeader>&amp;Rหน้า &amp;P/&amp;N</oddHeader>
  </headerFooter>
  <rowBreaks count="1" manualBreakCount="1">
    <brk id="34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">
    <tabColor rgb="FFFFFF00"/>
  </sheetPr>
  <dimension ref="B2:AJ171"/>
  <sheetViews>
    <sheetView workbookViewId="0">
      <selection activeCell="K8" sqref="K8"/>
    </sheetView>
  </sheetViews>
  <sheetFormatPr defaultColWidth="9.33203125" defaultRowHeight="21.75"/>
  <cols>
    <col min="1" max="1" width="1.6640625" style="1" customWidth="1"/>
    <col min="2" max="2" width="21.33203125" style="1" bestFit="1" customWidth="1"/>
    <col min="3" max="3" width="9.33203125" style="1" hidden="1" customWidth="1"/>
    <col min="4" max="4" width="7.6640625" style="1" bestFit="1" customWidth="1"/>
    <col min="5" max="5" width="9.5" style="1" hidden="1" customWidth="1"/>
    <col min="6" max="6" width="7.6640625" style="1" bestFit="1" customWidth="1"/>
    <col min="7" max="7" width="8.5" style="1" hidden="1" customWidth="1"/>
    <col min="8" max="8" width="7.6640625" style="1" bestFit="1" customWidth="1"/>
    <col min="9" max="9" width="7.6640625" style="1" customWidth="1"/>
    <col min="10" max="10" width="2" style="1" customWidth="1"/>
    <col min="11" max="11" width="14.33203125" style="1" customWidth="1"/>
    <col min="12" max="12" width="9.33203125" style="1" hidden="1" customWidth="1"/>
    <col min="13" max="13" width="6.5" style="1" bestFit="1" customWidth="1"/>
    <col min="14" max="14" width="7.5" style="3" bestFit="1" customWidth="1"/>
    <col min="15" max="15" width="1.33203125" style="1" customWidth="1"/>
    <col min="16" max="16" width="9.6640625" style="1" bestFit="1" customWidth="1"/>
    <col min="17" max="17" width="8.83203125" style="1" bestFit="1" customWidth="1"/>
    <col min="18" max="18" width="6.1640625" style="1" bestFit="1" customWidth="1"/>
    <col min="19" max="19" width="8.83203125" style="1" bestFit="1" customWidth="1"/>
    <col min="20" max="20" width="9.33203125" style="1"/>
    <col min="21" max="21" width="14.83203125" style="1" bestFit="1" customWidth="1"/>
    <col min="22" max="25" width="9.33203125" style="1"/>
    <col min="26" max="26" width="9.6640625" style="1" bestFit="1" customWidth="1"/>
    <col min="27" max="16384" width="9.33203125" style="1"/>
  </cols>
  <sheetData>
    <row r="2" spans="2:36">
      <c r="B2" s="22" t="s">
        <v>562</v>
      </c>
      <c r="C2" s="21"/>
      <c r="D2" s="21"/>
      <c r="E2" s="21"/>
      <c r="F2" s="21"/>
      <c r="G2" s="21"/>
      <c r="H2" s="21"/>
      <c r="I2" s="23"/>
      <c r="J2" s="24"/>
      <c r="K2" s="22" t="s">
        <v>563</v>
      </c>
      <c r="L2" s="21"/>
      <c r="M2" s="21"/>
      <c r="N2" s="17"/>
      <c r="P2" s="22" t="s">
        <v>913</v>
      </c>
      <c r="Q2" s="21"/>
      <c r="R2" s="17"/>
      <c r="S2" s="89">
        <v>2</v>
      </c>
    </row>
    <row r="3" spans="2:36">
      <c r="B3" s="26" t="s">
        <v>570</v>
      </c>
      <c r="C3" s="27"/>
      <c r="D3" s="28">
        <v>0.3</v>
      </c>
      <c r="E3" s="27"/>
      <c r="F3" s="28">
        <f>D3</f>
        <v>0.3</v>
      </c>
      <c r="G3" s="27"/>
      <c r="H3" s="28">
        <f>D3</f>
        <v>0.3</v>
      </c>
      <c r="I3" s="29"/>
      <c r="J3" s="30"/>
      <c r="K3" s="26" t="s">
        <v>570</v>
      </c>
      <c r="L3" s="31"/>
      <c r="M3" s="32">
        <f>D3</f>
        <v>0.3</v>
      </c>
      <c r="N3" s="33"/>
      <c r="P3" s="26" t="s">
        <v>571</v>
      </c>
      <c r="Q3" s="34">
        <f>D9+F9+H9</f>
        <v>6.4818053289415349</v>
      </c>
      <c r="R3" s="35" t="s">
        <v>870</v>
      </c>
      <c r="S3" s="36"/>
    </row>
    <row r="4" spans="2:36">
      <c r="B4" s="36" t="s">
        <v>574</v>
      </c>
      <c r="C4" s="40"/>
      <c r="D4" s="86">
        <v>1</v>
      </c>
      <c r="E4" s="87"/>
      <c r="F4" s="86">
        <v>2</v>
      </c>
      <c r="G4" s="87"/>
      <c r="H4" s="86">
        <v>3</v>
      </c>
      <c r="I4" s="42"/>
      <c r="J4" s="30"/>
      <c r="K4" s="36" t="s">
        <v>574</v>
      </c>
      <c r="L4" s="43"/>
      <c r="M4" s="44">
        <v>1</v>
      </c>
      <c r="N4" s="45"/>
      <c r="P4" s="36" t="s">
        <v>571</v>
      </c>
      <c r="Q4" s="46">
        <f>D17+F17+H17</f>
        <v>43.557731810487113</v>
      </c>
      <c r="R4" s="47" t="s">
        <v>575</v>
      </c>
      <c r="S4" s="48">
        <f>Q4*S2</f>
        <v>87.115463620974225</v>
      </c>
    </row>
    <row r="5" spans="2:36">
      <c r="B5" s="36" t="s">
        <v>438</v>
      </c>
      <c r="C5" s="40"/>
      <c r="D5" s="51">
        <f>IF(D4=1,VLOOKUP(D3,'ขนาด ท่อ'!$D$5:$K$13,3),
  IF(D4=2,VLOOKUP(D3,'ขนาด ท่อ'!$D$5:$K$13,5),
  IF(D4=3,VLOOKUP(D3,'ขนาด ท่อ'!$D$5:$K$13,7),0)))</f>
        <v>1.6</v>
      </c>
      <c r="E5" s="40"/>
      <c r="F5" s="51">
        <f>IF(F4=1,VLOOKUP(F3,'ขนาด ท่อ'!$D$5:$K$13,3),
  IF(F4=2,VLOOKUP(F3,'ขนาด ท่อ'!$D$5:$K$13,5),
  IF(F4=3,VLOOKUP(F3,'ขนาด ท่อ'!$D$5:$K$13,7),0)))</f>
        <v>2.15</v>
      </c>
      <c r="G5" s="40"/>
      <c r="H5" s="51">
        <f>IF(H4=1,VLOOKUP(H3,'ขนาด ท่อ'!$D$5:$K$13,3),
  IF(H4=2,VLOOKUP(H3,'ขนาด ท่อ'!$D$5:$K$13,5),
  IF(H4=3,VLOOKUP(H3,'ขนาด ท่อ'!$D$5:$K$13,7),0)))</f>
        <v>2.7</v>
      </c>
      <c r="I5" s="42" t="s">
        <v>889</v>
      </c>
      <c r="J5" s="30"/>
      <c r="K5" s="36" t="s">
        <v>438</v>
      </c>
      <c r="L5" s="43"/>
      <c r="M5" s="52">
        <f>IF(M4=1,(M4*(M3+(VLOOKUP(M3,'ขนาด ท่อ'!$D$5:$E$13,2)*2))),
  IF(M4=2,(M4*(M3+(VLOOKUP(M3,'ขนาด ท่อ'!$D$5:$E$13,2)*2))),
  (M4*(M3+(VLOOKUP(M3,'ขนาด ท่อ'!$D$5:$E$13,2)*2)))))</f>
        <v>0.4</v>
      </c>
      <c r="N5" s="42" t="s">
        <v>889</v>
      </c>
      <c r="P5" s="36" t="s">
        <v>571</v>
      </c>
      <c r="Q5" s="46">
        <f>Q4*50/1000</f>
        <v>2.1778865905243556</v>
      </c>
      <c r="R5" s="47" t="s">
        <v>187</v>
      </c>
      <c r="S5" s="48">
        <f>Q5*S2</f>
        <v>4.3557731810487113</v>
      </c>
    </row>
    <row r="6" spans="2:36">
      <c r="B6" s="36" t="s">
        <v>577</v>
      </c>
      <c r="C6" s="40"/>
      <c r="D6" s="51">
        <f>IF(D4=1,VLOOKUP(D3,'ขนาด ท่อ'!$D$5:$K$13,4),
  IF(D4=2,VLOOKUP(D3,'ขนาด ท่อ'!$D$5:$K$13,6),
  IF(D4=3,VLOOKUP(D3,'ขนาด ท่อ'!$D$5:$K$13,8),0)))</f>
        <v>1.3</v>
      </c>
      <c r="E6" s="40"/>
      <c r="F6" s="51">
        <f>IF(F4=1,VLOOKUP(F3,'ขนาด ท่อ'!$D$5:$K$13,4),
  IF(F4=2,VLOOKUP(F3,'ขนาด ท่อ'!$D$5:$K$13,6),
  IF(F4=3,VLOOKUP(F3,'ขนาด ท่อ'!$D$5:$K$13,8),0)))</f>
        <v>1.3</v>
      </c>
      <c r="G6" s="40"/>
      <c r="H6" s="51">
        <f>IF(H4=1,VLOOKUP(H3,'ขนาด ท่อ'!$D$5:$K$13,4),
  IF(H4=2,VLOOKUP(H3,'ขนาด ท่อ'!$D$5:$K$13,6),
  IF(H4=3,VLOOKUP(H3,'ขนาด ท่อ'!$D$5:$K$13,8),0)))</f>
        <v>1.3</v>
      </c>
      <c r="I6" s="42" t="s">
        <v>889</v>
      </c>
      <c r="J6" s="30"/>
      <c r="K6" s="36" t="s">
        <v>577</v>
      </c>
      <c r="L6" s="43"/>
      <c r="M6" s="88">
        <v>1</v>
      </c>
      <c r="N6" s="42" t="s">
        <v>889</v>
      </c>
      <c r="P6" s="36" t="s">
        <v>578</v>
      </c>
      <c r="Q6" s="46">
        <f>D18+F18+H18</f>
        <v>3.5001748776284289</v>
      </c>
      <c r="R6" s="47" t="s">
        <v>870</v>
      </c>
      <c r="S6" s="48">
        <f>Q6*S2</f>
        <v>7.0003497552568579</v>
      </c>
    </row>
    <row r="7" spans="2:36">
      <c r="B7" s="36" t="s">
        <v>579</v>
      </c>
      <c r="C7" s="40"/>
      <c r="D7" s="54">
        <f>((D5*D6)-(PI()*(('ขนาด ท่อ'!$D$5+('ขนาด ท่อ'!$E$5)*2))^2/4*D4))*0.15*2</f>
        <v>0.5863008881569225</v>
      </c>
      <c r="E7" s="40"/>
      <c r="F7" s="54">
        <f>((F5*F6)-(PI()*(('ขนาด ท่อ'!$D$5+('ขนาด ท่อ'!$E$5)*2))^2/4*F4))*0.15*2</f>
        <v>0.7631017763138449</v>
      </c>
      <c r="G7" s="40"/>
      <c r="H7" s="54">
        <f>((H5*H6)-(PI()*(('ขนาด ท่อ'!$D$5+('ขนาด ท่อ'!$E$5)*2))^2/4*H4))*0.15*2</f>
        <v>0.93990266447076742</v>
      </c>
      <c r="I7" s="55" t="s">
        <v>870</v>
      </c>
      <c r="J7" s="56"/>
      <c r="K7" s="36" t="s">
        <v>200</v>
      </c>
      <c r="L7" s="43"/>
      <c r="M7" s="57">
        <f>M5*M6*0.05</f>
        <v>2.0000000000000004E-2</v>
      </c>
      <c r="N7" s="55" t="s">
        <v>870</v>
      </c>
      <c r="P7" s="36" t="s">
        <v>580</v>
      </c>
      <c r="Q7" s="46">
        <f>D19+F19+H19</f>
        <v>6.676259488809781</v>
      </c>
      <c r="R7" s="47" t="s">
        <v>870</v>
      </c>
      <c r="S7" s="48">
        <f>Q7*S2</f>
        <v>13.352518977619562</v>
      </c>
    </row>
    <row r="8" spans="2:36">
      <c r="B8" s="36" t="s">
        <v>441</v>
      </c>
      <c r="C8" s="40"/>
      <c r="D8" s="58">
        <f>((D5*1*0.2)+(D5*0.2*0.4)+(D5*0.3*0.15))*2</f>
        <v>1.04</v>
      </c>
      <c r="E8" s="40"/>
      <c r="F8" s="58">
        <f>((F5*1*0.2)+(F5*0.2*0.4)+(F5*0.3*0.15))*2</f>
        <v>1.3975</v>
      </c>
      <c r="G8" s="40"/>
      <c r="H8" s="58">
        <f>((H5*1*0.2)+(H5*0.2*0.4)+(H5*0.3*0.15))*2</f>
        <v>1.7549999999999999</v>
      </c>
      <c r="I8" s="55" t="s">
        <v>870</v>
      </c>
      <c r="J8" s="56"/>
      <c r="K8" s="36" t="s">
        <v>442</v>
      </c>
      <c r="L8" s="59">
        <f>IF(M6=0,0,(M5*2+M6*2))</f>
        <v>2.8</v>
      </c>
      <c r="M8" s="60">
        <f>ROUNDUP(L8/3,0)</f>
        <v>1</v>
      </c>
      <c r="N8" s="55" t="s">
        <v>891</v>
      </c>
      <c r="P8" s="36" t="s">
        <v>885</v>
      </c>
      <c r="Q8" s="46">
        <f>(0.15*3*D10)+(0.2*3*D11)+(0.15*3*F10)+(0.2*3*F11)+(0.15*3*H10)+(0.2*3*H11)</f>
        <v>12.6</v>
      </c>
      <c r="R8" s="47" t="s">
        <v>890</v>
      </c>
      <c r="S8" s="48">
        <f>Q8*S2</f>
        <v>25.2</v>
      </c>
    </row>
    <row r="9" spans="2:36">
      <c r="B9" s="36" t="s">
        <v>443</v>
      </c>
      <c r="C9" s="40"/>
      <c r="D9" s="58">
        <f>SUM(D7:D8)</f>
        <v>1.6263008881569225</v>
      </c>
      <c r="E9" s="40"/>
      <c r="F9" s="58">
        <f>SUM(F7:F8)</f>
        <v>2.160601776313845</v>
      </c>
      <c r="G9" s="40"/>
      <c r="H9" s="58">
        <f>SUM(H7:H8)</f>
        <v>2.6949026644707672</v>
      </c>
      <c r="I9" s="55" t="s">
        <v>870</v>
      </c>
      <c r="J9" s="56"/>
      <c r="K9" s="36" t="s">
        <v>571</v>
      </c>
      <c r="L9" s="43"/>
      <c r="M9" s="60">
        <f>M7*5.04</f>
        <v>0.10080000000000001</v>
      </c>
      <c r="N9" s="55" t="s">
        <v>575</v>
      </c>
      <c r="P9" s="36" t="s">
        <v>349</v>
      </c>
      <c r="Q9" s="61">
        <f>(((D13+F13+H13)*4.99)+((D15+F15+H15)*8.88))/1000</f>
        <v>0.17950290000000002</v>
      </c>
      <c r="R9" s="47" t="s">
        <v>187</v>
      </c>
      <c r="S9" s="48">
        <f>Q9*S2</f>
        <v>0.35900580000000004</v>
      </c>
    </row>
    <row r="10" spans="2:36">
      <c r="B10" s="36" t="s">
        <v>444</v>
      </c>
      <c r="C10" s="62">
        <f>(D6*2+D5)</f>
        <v>4.2</v>
      </c>
      <c r="D10" s="58">
        <f>ROUNDUP(C10/3,0)*2</f>
        <v>4</v>
      </c>
      <c r="E10" s="62">
        <f>(F6*2+F5)</f>
        <v>4.75</v>
      </c>
      <c r="F10" s="58">
        <f>ROUNDUP(E10/3,0)*2</f>
        <v>4</v>
      </c>
      <c r="G10" s="62">
        <f>(H6*2+H5)</f>
        <v>5.3000000000000007</v>
      </c>
      <c r="H10" s="58">
        <f>ROUNDUP(G10/3,0)*2</f>
        <v>4</v>
      </c>
      <c r="I10" s="55" t="s">
        <v>891</v>
      </c>
      <c r="J10" s="56"/>
      <c r="K10" s="36" t="s">
        <v>578</v>
      </c>
      <c r="L10" s="43"/>
      <c r="M10" s="60">
        <f>M7*0.62</f>
        <v>1.2400000000000003E-2</v>
      </c>
      <c r="N10" s="55" t="s">
        <v>870</v>
      </c>
      <c r="P10" s="63" t="s">
        <v>886</v>
      </c>
      <c r="Q10" s="61">
        <f>Q8*0.2</f>
        <v>2.52</v>
      </c>
      <c r="R10" s="47" t="s">
        <v>887</v>
      </c>
      <c r="S10" s="48">
        <f>Q10*S2</f>
        <v>5.04</v>
      </c>
    </row>
    <row r="11" spans="2:36">
      <c r="B11" s="36" t="s">
        <v>445</v>
      </c>
      <c r="C11" s="62">
        <f>IF(D5=0,0,D5+3)</f>
        <v>4.5999999999999996</v>
      </c>
      <c r="D11" s="58">
        <f>ROUNDUP(C11/4,0)*2</f>
        <v>4</v>
      </c>
      <c r="E11" s="62">
        <f>IF(F5=0,0,F5+3)</f>
        <v>5.15</v>
      </c>
      <c r="F11" s="58">
        <f>ROUNDUP(E11/4,0)*2</f>
        <v>4</v>
      </c>
      <c r="G11" s="62">
        <f>IF(H5=0,0,H5+3)</f>
        <v>5.7</v>
      </c>
      <c r="H11" s="58">
        <f>ROUNDUP(G11/4,0)*2</f>
        <v>4</v>
      </c>
      <c r="I11" s="55" t="s">
        <v>891</v>
      </c>
      <c r="J11" s="56"/>
      <c r="K11" s="64" t="s">
        <v>580</v>
      </c>
      <c r="L11" s="65"/>
      <c r="M11" s="66">
        <f>M7*0.97</f>
        <v>1.9400000000000004E-2</v>
      </c>
      <c r="N11" s="67" t="s">
        <v>870</v>
      </c>
      <c r="P11" s="68" t="s">
        <v>446</v>
      </c>
      <c r="Q11" s="69">
        <f>Q9*20</f>
        <v>3.5900580000000004</v>
      </c>
      <c r="R11" s="70" t="s">
        <v>887</v>
      </c>
      <c r="S11" s="71">
        <f>Q11*S2</f>
        <v>7.1801160000000008</v>
      </c>
    </row>
    <row r="12" spans="2:36">
      <c r="B12" s="36" t="s">
        <v>885</v>
      </c>
      <c r="C12" s="62"/>
      <c r="D12" s="58">
        <f>(0.15*3*D10)+(0.2*3*D11)</f>
        <v>4.2</v>
      </c>
      <c r="E12" s="62"/>
      <c r="F12" s="58">
        <f>(0.15*3*F10)+(0.2*3*F11)</f>
        <v>4.2</v>
      </c>
      <c r="G12" s="62"/>
      <c r="H12" s="58">
        <f>(0.15*3*H10)+(0.2*3*H11)</f>
        <v>4.2</v>
      </c>
      <c r="I12" s="55" t="s">
        <v>890</v>
      </c>
      <c r="J12" s="56"/>
      <c r="L12" s="3"/>
      <c r="M12" s="76"/>
      <c r="N12" s="76"/>
      <c r="P12" s="84"/>
      <c r="Q12" s="84"/>
      <c r="S12" s="75"/>
    </row>
    <row r="13" spans="2:36">
      <c r="B13" s="36" t="s">
        <v>447</v>
      </c>
      <c r="C13" s="62">
        <f>(TRUNC(D6/0.25)+2)*D5</f>
        <v>11.200000000000001</v>
      </c>
      <c r="D13" s="58">
        <f>SUM(C13:C14)/10*2</f>
        <v>6.6800000000000015</v>
      </c>
      <c r="E13" s="62">
        <f>(TRUNC(F6/0.25)+2)*F5</f>
        <v>15.049999999999999</v>
      </c>
      <c r="F13" s="58">
        <f>SUM(E13:E14)/10*2</f>
        <v>8.93</v>
      </c>
      <c r="G13" s="62">
        <f>(TRUNC(H6/0.25)+2)*H5</f>
        <v>18.900000000000002</v>
      </c>
      <c r="H13" s="58">
        <f>SUM(G13:G14)/10*2</f>
        <v>11.180000000000001</v>
      </c>
      <c r="I13" s="55" t="s">
        <v>448</v>
      </c>
      <c r="J13" s="56"/>
      <c r="P13" s="14"/>
      <c r="Q13" s="14"/>
    </row>
    <row r="14" spans="2:36" hidden="1">
      <c r="B14" s="36"/>
      <c r="C14" s="62">
        <f>(TRUNC(D5/0.25)*(D6+2.4))</f>
        <v>22.200000000000003</v>
      </c>
      <c r="D14" s="74"/>
      <c r="E14" s="62">
        <f>(TRUNC(F5/0.25)*(F6+2.4))</f>
        <v>29.6</v>
      </c>
      <c r="F14" s="74"/>
      <c r="G14" s="62">
        <f>(TRUNC(H5/0.25)*(H6+2.4))</f>
        <v>37</v>
      </c>
      <c r="H14" s="74"/>
      <c r="I14" s="55"/>
      <c r="J14" s="56"/>
      <c r="M14" s="75"/>
      <c r="N14" s="76"/>
      <c r="P14" s="14"/>
      <c r="Q14" s="14"/>
      <c r="AH14" s="78"/>
      <c r="AI14" s="78"/>
      <c r="AJ14" s="79"/>
    </row>
    <row r="15" spans="2:36">
      <c r="B15" s="36" t="s">
        <v>479</v>
      </c>
      <c r="C15" s="62">
        <f>D5*4</f>
        <v>6.4</v>
      </c>
      <c r="D15" s="58">
        <f>C15/10*2</f>
        <v>1.28</v>
      </c>
      <c r="E15" s="62">
        <f>F5*4</f>
        <v>8.6</v>
      </c>
      <c r="F15" s="58">
        <f>E15/10*2</f>
        <v>1.72</v>
      </c>
      <c r="G15" s="62">
        <f>H5*4</f>
        <v>10.8</v>
      </c>
      <c r="H15" s="58">
        <f>G15/10*2</f>
        <v>2.16</v>
      </c>
      <c r="I15" s="55" t="s">
        <v>448</v>
      </c>
      <c r="J15" s="56"/>
      <c r="M15" s="75"/>
      <c r="N15" s="76"/>
      <c r="P15" s="14"/>
      <c r="Q15" s="14"/>
    </row>
    <row r="16" spans="2:36">
      <c r="B16" s="36" t="s">
        <v>480</v>
      </c>
      <c r="C16" s="62"/>
      <c r="D16" s="58">
        <f>((D13*4.99)+(D15*8.88))/1000</f>
        <v>4.4699600000000013E-2</v>
      </c>
      <c r="E16" s="62"/>
      <c r="F16" s="58">
        <f>((F13*4.99)+(F15*8.88))/1000</f>
        <v>5.98343E-2</v>
      </c>
      <c r="G16" s="62"/>
      <c r="H16" s="58">
        <f>((H13*4.99)+(H15*8.88))/1000</f>
        <v>7.4969000000000008E-2</v>
      </c>
      <c r="I16" s="55" t="s">
        <v>187</v>
      </c>
      <c r="J16" s="56"/>
      <c r="M16" s="75"/>
      <c r="N16" s="76"/>
      <c r="P16" s="14"/>
      <c r="Q16" s="14"/>
    </row>
    <row r="17" spans="2:19">
      <c r="B17" s="36" t="s">
        <v>571</v>
      </c>
      <c r="C17" s="40"/>
      <c r="D17" s="58">
        <f>D9*6.72</f>
        <v>10.928741968414519</v>
      </c>
      <c r="E17" s="40"/>
      <c r="F17" s="58">
        <f>F9*6.72</f>
        <v>14.519243936829037</v>
      </c>
      <c r="G17" s="40"/>
      <c r="H17" s="58">
        <f>H9*6.72</f>
        <v>18.109745905243553</v>
      </c>
      <c r="I17" s="55" t="s">
        <v>575</v>
      </c>
      <c r="J17" s="56"/>
      <c r="M17" s="75"/>
      <c r="N17" s="76"/>
      <c r="P17" s="14"/>
    </row>
    <row r="18" spans="2:19">
      <c r="B18" s="36" t="s">
        <v>578</v>
      </c>
      <c r="C18" s="40"/>
      <c r="D18" s="58">
        <f>D9*0.54</f>
        <v>0.87820247960473818</v>
      </c>
      <c r="E18" s="40"/>
      <c r="F18" s="58">
        <f>F9*0.54</f>
        <v>1.1667249592094764</v>
      </c>
      <c r="G18" s="40"/>
      <c r="H18" s="58">
        <f>H9*0.54</f>
        <v>1.4552474388142145</v>
      </c>
      <c r="I18" s="55" t="s">
        <v>870</v>
      </c>
      <c r="J18" s="56"/>
      <c r="M18" s="75"/>
      <c r="N18" s="76"/>
    </row>
    <row r="19" spans="2:19">
      <c r="B19" s="64" t="s">
        <v>580</v>
      </c>
      <c r="C19" s="80"/>
      <c r="D19" s="81">
        <f>D9*1.03</f>
        <v>1.6750899148016303</v>
      </c>
      <c r="E19" s="80"/>
      <c r="F19" s="81">
        <f>F9*1.03</f>
        <v>2.2254198296032603</v>
      </c>
      <c r="G19" s="80"/>
      <c r="H19" s="81">
        <f>H9*1.03</f>
        <v>2.7757497444048904</v>
      </c>
      <c r="I19" s="67" t="s">
        <v>870</v>
      </c>
      <c r="J19" s="56"/>
      <c r="M19" s="75"/>
      <c r="N19" s="76"/>
    </row>
    <row r="21" spans="2:19">
      <c r="B21" s="22" t="s">
        <v>562</v>
      </c>
      <c r="C21" s="21"/>
      <c r="D21" s="21"/>
      <c r="E21" s="21"/>
      <c r="F21" s="21"/>
      <c r="G21" s="21"/>
      <c r="H21" s="21"/>
      <c r="I21" s="23"/>
      <c r="J21" s="24"/>
      <c r="K21" s="22" t="s">
        <v>563</v>
      </c>
      <c r="L21" s="21"/>
      <c r="M21" s="21"/>
      <c r="N21" s="17"/>
      <c r="P21" s="22" t="s">
        <v>913</v>
      </c>
      <c r="Q21" s="21"/>
      <c r="R21" s="17"/>
      <c r="S21" s="89">
        <v>2</v>
      </c>
    </row>
    <row r="22" spans="2:19">
      <c r="B22" s="26" t="s">
        <v>570</v>
      </c>
      <c r="C22" s="27"/>
      <c r="D22" s="28">
        <v>0.4</v>
      </c>
      <c r="E22" s="27"/>
      <c r="F22" s="28">
        <f>D22</f>
        <v>0.4</v>
      </c>
      <c r="G22" s="27"/>
      <c r="H22" s="28">
        <f>D22</f>
        <v>0.4</v>
      </c>
      <c r="I22" s="29"/>
      <c r="J22" s="30"/>
      <c r="K22" s="26" t="s">
        <v>570</v>
      </c>
      <c r="L22" s="31"/>
      <c r="M22" s="32">
        <f>D22</f>
        <v>0.4</v>
      </c>
      <c r="N22" s="33"/>
      <c r="P22" s="26" t="s">
        <v>571</v>
      </c>
      <c r="Q22" s="34">
        <f>D28+F28+H28</f>
        <v>7.8697253289415361</v>
      </c>
      <c r="R22" s="35" t="s">
        <v>870</v>
      </c>
      <c r="S22" s="36"/>
    </row>
    <row r="23" spans="2:19">
      <c r="B23" s="36" t="s">
        <v>574</v>
      </c>
      <c r="C23" s="40"/>
      <c r="D23" s="86">
        <v>1</v>
      </c>
      <c r="E23" s="41"/>
      <c r="F23" s="86">
        <v>2</v>
      </c>
      <c r="G23" s="41"/>
      <c r="H23" s="86">
        <v>3</v>
      </c>
      <c r="I23" s="42"/>
      <c r="J23" s="30"/>
      <c r="K23" s="36" t="s">
        <v>574</v>
      </c>
      <c r="L23" s="43"/>
      <c r="M23" s="44">
        <v>1</v>
      </c>
      <c r="N23" s="45"/>
      <c r="P23" s="36" t="s">
        <v>571</v>
      </c>
      <c r="Q23" s="46">
        <f>D36+F36+H36</f>
        <v>52.884554210487124</v>
      </c>
      <c r="R23" s="47" t="s">
        <v>575</v>
      </c>
      <c r="S23" s="48">
        <f>Q23*S21</f>
        <v>105.76910842097425</v>
      </c>
    </row>
    <row r="24" spans="2:19">
      <c r="B24" s="36" t="s">
        <v>438</v>
      </c>
      <c r="C24" s="40"/>
      <c r="D24" s="51">
        <f>IF(D23=1,VLOOKUP(D22,'ขนาด ท่อ'!$D$5:$K$13,3),
  IF(D23=2,VLOOKUP(D22,'ขนาด ท่อ'!$D$5:$K$13,5),
  IF(D23=3,VLOOKUP(D22,'ขนาด ท่อ'!$D$5:$K$13,7),0)))</f>
        <v>1.72</v>
      </c>
      <c r="E24" s="40"/>
      <c r="F24" s="51">
        <f>IF(F23=1,VLOOKUP(F22,'ขนาด ท่อ'!$D$5:$K$13,3),
  IF(F23=2,VLOOKUP(F22,'ขนาด ท่อ'!$D$5:$K$13,5),
  IF(F23=3,VLOOKUP(F22,'ขนาด ท่อ'!$D$5:$K$13,7),0)))</f>
        <v>2.44</v>
      </c>
      <c r="G24" s="40"/>
      <c r="H24" s="51">
        <f>IF(H23=1,VLOOKUP(H22,'ขนาด ท่อ'!$D$5:$K$13,3),
  IF(H23=2,VLOOKUP(H22,'ขนาด ท่อ'!$D$5:$K$13,5),
  IF(H23=3,VLOOKUP(H22,'ขนาด ท่อ'!$D$5:$K$13,7),0)))</f>
        <v>3.16</v>
      </c>
      <c r="I24" s="42" t="s">
        <v>889</v>
      </c>
      <c r="J24" s="30"/>
      <c r="K24" s="36" t="s">
        <v>438</v>
      </c>
      <c r="L24" s="43"/>
      <c r="M24" s="52">
        <f>IF(M23=1,(M23*(M22+(VLOOKUP(M22,'ขนาด ท่อ'!$D$5:$E$13,2)*2))),
  IF(M23=2,(M23*(M22+(VLOOKUP(M22,'ขนาด ท่อ'!$D$5:$E$13,2)*2))),
  (M23*(M22+(VLOOKUP(M22,'ขนาด ท่อ'!$D$5:$E$13,2)*2)))))</f>
        <v>0.52</v>
      </c>
      <c r="N24" s="42" t="s">
        <v>889</v>
      </c>
      <c r="P24" s="36" t="s">
        <v>571</v>
      </c>
      <c r="Q24" s="46">
        <f>Q23*50/1000</f>
        <v>2.6442277105243561</v>
      </c>
      <c r="R24" s="47" t="s">
        <v>187</v>
      </c>
      <c r="S24" s="48">
        <f>Q24*S21</f>
        <v>5.2884554210487122</v>
      </c>
    </row>
    <row r="25" spans="2:19">
      <c r="B25" s="36" t="s">
        <v>577</v>
      </c>
      <c r="C25" s="40"/>
      <c r="D25" s="51">
        <f>IF(D23=1,VLOOKUP(D22,'ขนาด ท่อ'!$D$5:$K$13,4),
  IF(D23=2,VLOOKUP(D22,'ขนาด ท่อ'!$D$5:$K$13,6),
  IF(D23=3,VLOOKUP(D22,'ขนาด ท่อ'!$D$5:$K$13,8),0)))</f>
        <v>1.52</v>
      </c>
      <c r="E25" s="40"/>
      <c r="F25" s="51">
        <f>IF(F23=1,VLOOKUP(F22,'ขนาด ท่อ'!$D$5:$K$13,4),
  IF(F23=2,VLOOKUP(F22,'ขนาด ท่อ'!$D$5:$K$13,6),
  IF(F23=3,VLOOKUP(F22,'ขนาด ท่อ'!$D$5:$K$13,8),0)))</f>
        <v>1.52</v>
      </c>
      <c r="G25" s="40"/>
      <c r="H25" s="51">
        <f>IF(H23=1,VLOOKUP(H22,'ขนาด ท่อ'!$D$5:$K$13,4),
  IF(H23=2,VLOOKUP(H22,'ขนาด ท่อ'!$D$5:$K$13,6),
  IF(H23=3,VLOOKUP(H22,'ขนาด ท่อ'!$D$5:$K$13,8),0)))</f>
        <v>1.52</v>
      </c>
      <c r="I25" s="42" t="s">
        <v>889</v>
      </c>
      <c r="J25" s="30"/>
      <c r="K25" s="36" t="s">
        <v>577</v>
      </c>
      <c r="L25" s="43"/>
      <c r="M25" s="88">
        <v>1</v>
      </c>
      <c r="N25" s="42" t="s">
        <v>889</v>
      </c>
      <c r="P25" s="36" t="s">
        <v>578</v>
      </c>
      <c r="Q25" s="46">
        <f>D37+F37+H37</f>
        <v>4.2496516776284299</v>
      </c>
      <c r="R25" s="47" t="s">
        <v>870</v>
      </c>
      <c r="S25" s="48">
        <f>Q25*S21</f>
        <v>8.4993033552568598</v>
      </c>
    </row>
    <row r="26" spans="2:19">
      <c r="B26" s="36" t="s">
        <v>579</v>
      </c>
      <c r="C26" s="40"/>
      <c r="D26" s="54">
        <f>((D24*D25)-(PI()*(('ขนาด ท่อ'!$D$5+('ขนาด ท่อ'!$E$5)*2))^2/4*D23))*0.15*2</f>
        <v>0.7466208881569224</v>
      </c>
      <c r="E26" s="40"/>
      <c r="F26" s="54">
        <f>((F24*F25)-(PI()*(('ขนาด ท่อ'!$D$5+('ขนาด ท่อ'!$E$5)*2))^2/4*F23))*0.15*2</f>
        <v>1.0372417763138451</v>
      </c>
      <c r="G26" s="40"/>
      <c r="H26" s="54">
        <f>((H24*H25)-(PI()*(('ขนาด ท่อ'!$D$5+('ขนาด ท่อ'!$E$5)*2))^2/4*H23))*0.15*2</f>
        <v>1.3278626644707676</v>
      </c>
      <c r="I26" s="55" t="s">
        <v>870</v>
      </c>
      <c r="J26" s="56"/>
      <c r="K26" s="36" t="s">
        <v>200</v>
      </c>
      <c r="L26" s="43"/>
      <c r="M26" s="57">
        <f>M24*M25*0.05</f>
        <v>2.6000000000000002E-2</v>
      </c>
      <c r="N26" s="55" t="s">
        <v>870</v>
      </c>
      <c r="P26" s="36" t="s">
        <v>580</v>
      </c>
      <c r="Q26" s="46">
        <f>D38+F38+H38</f>
        <v>8.1058170888097827</v>
      </c>
      <c r="R26" s="47" t="s">
        <v>870</v>
      </c>
      <c r="S26" s="48">
        <f>Q26*S21</f>
        <v>16.211634177619565</v>
      </c>
    </row>
    <row r="27" spans="2:19">
      <c r="B27" s="36" t="s">
        <v>441</v>
      </c>
      <c r="C27" s="40"/>
      <c r="D27" s="58">
        <f>((D24*1*0.2)+(D24*0.2*0.4)+(D24*0.3*0.15))*2</f>
        <v>1.1180000000000001</v>
      </c>
      <c r="E27" s="40"/>
      <c r="F27" s="58">
        <f>((F24*1*0.2)+(F24*0.2*0.4)+(F24*0.3*0.15))*2</f>
        <v>1.5860000000000001</v>
      </c>
      <c r="G27" s="40"/>
      <c r="H27" s="58">
        <f>((H24*1*0.2)+(H24*0.2*0.4)+(H24*0.3*0.15))*2</f>
        <v>2.0540000000000003</v>
      </c>
      <c r="I27" s="55" t="s">
        <v>870</v>
      </c>
      <c r="J27" s="56"/>
      <c r="K27" s="36" t="s">
        <v>442</v>
      </c>
      <c r="L27" s="59">
        <f>IF(M25=0,0,(M24*2+M25*2))</f>
        <v>3.04</v>
      </c>
      <c r="M27" s="60">
        <f>ROUNDUP(L27/3,0)</f>
        <v>2</v>
      </c>
      <c r="N27" s="55" t="s">
        <v>891</v>
      </c>
      <c r="P27" s="36" t="s">
        <v>885</v>
      </c>
      <c r="Q27" s="46">
        <f>(0.15*3*D29)+(0.2*3*D30)+(0.15*3*F29)+(0.2*3*F30)+(0.15*3*H29)+(0.2*3*H30)</f>
        <v>13.5</v>
      </c>
      <c r="R27" s="47" t="s">
        <v>890</v>
      </c>
      <c r="S27" s="48">
        <f>Q27*S21</f>
        <v>27</v>
      </c>
    </row>
    <row r="28" spans="2:19">
      <c r="B28" s="36" t="s">
        <v>443</v>
      </c>
      <c r="C28" s="40"/>
      <c r="D28" s="58">
        <f>SUM(D26:D27)</f>
        <v>1.8646208881569226</v>
      </c>
      <c r="E28" s="40"/>
      <c r="F28" s="58">
        <f>SUM(F26:F27)</f>
        <v>2.6232417763138454</v>
      </c>
      <c r="G28" s="40"/>
      <c r="H28" s="58">
        <f>SUM(H26:H27)</f>
        <v>3.3818626644707681</v>
      </c>
      <c r="I28" s="55" t="s">
        <v>870</v>
      </c>
      <c r="J28" s="56"/>
      <c r="K28" s="36" t="s">
        <v>571</v>
      </c>
      <c r="L28" s="43"/>
      <c r="M28" s="60">
        <f>M26*5.04</f>
        <v>0.13104000000000002</v>
      </c>
      <c r="N28" s="55" t="s">
        <v>575</v>
      </c>
      <c r="P28" s="36" t="s">
        <v>349</v>
      </c>
      <c r="Q28" s="61">
        <f>(((D32+F32+H32)*4.99)+((D34+F34+H34)*8.88))/1000</f>
        <v>0.21607247999999998</v>
      </c>
      <c r="R28" s="47" t="s">
        <v>187</v>
      </c>
      <c r="S28" s="48">
        <f>Q28*S21</f>
        <v>0.43214495999999997</v>
      </c>
    </row>
    <row r="29" spans="2:19">
      <c r="B29" s="36" t="s">
        <v>444</v>
      </c>
      <c r="C29" s="62">
        <f>(D25*2+D24)</f>
        <v>4.76</v>
      </c>
      <c r="D29" s="58">
        <f>ROUNDUP(C29/3,0)*2</f>
        <v>4</v>
      </c>
      <c r="E29" s="62">
        <f>(F25*2+F24)</f>
        <v>5.48</v>
      </c>
      <c r="F29" s="58">
        <f>ROUNDUP(E29/3,0)*2</f>
        <v>4</v>
      </c>
      <c r="G29" s="62">
        <f>(H25*2+H24)</f>
        <v>6.2</v>
      </c>
      <c r="H29" s="58">
        <f>ROUNDUP(G29/3,0)*2</f>
        <v>6</v>
      </c>
      <c r="I29" s="55" t="s">
        <v>891</v>
      </c>
      <c r="J29" s="56"/>
      <c r="K29" s="36" t="s">
        <v>578</v>
      </c>
      <c r="L29" s="43"/>
      <c r="M29" s="60">
        <f>M26*0.62</f>
        <v>1.6120000000000002E-2</v>
      </c>
      <c r="N29" s="55" t="s">
        <v>870</v>
      </c>
      <c r="P29" s="63" t="s">
        <v>886</v>
      </c>
      <c r="Q29" s="61">
        <f>Q27*0.2</f>
        <v>2.7</v>
      </c>
      <c r="R29" s="47" t="s">
        <v>887</v>
      </c>
      <c r="S29" s="48">
        <f>Q29*S21</f>
        <v>5.4</v>
      </c>
    </row>
    <row r="30" spans="2:19">
      <c r="B30" s="36" t="s">
        <v>445</v>
      </c>
      <c r="C30" s="62">
        <f>IF(D24=0,0,D24+3)</f>
        <v>4.72</v>
      </c>
      <c r="D30" s="58">
        <f>ROUNDUP(C30/4,0)*2</f>
        <v>4</v>
      </c>
      <c r="E30" s="62">
        <f>IF(F24=0,0,F24+3)</f>
        <v>5.4399999999999995</v>
      </c>
      <c r="F30" s="58">
        <f>ROUNDUP(E30/4,0)*2</f>
        <v>4</v>
      </c>
      <c r="G30" s="62">
        <f>IF(H24=0,0,H24+3)</f>
        <v>6.16</v>
      </c>
      <c r="H30" s="58">
        <f>ROUNDUP(G30/4,0)*2</f>
        <v>4</v>
      </c>
      <c r="I30" s="55" t="s">
        <v>891</v>
      </c>
      <c r="J30" s="56"/>
      <c r="K30" s="64" t="s">
        <v>580</v>
      </c>
      <c r="L30" s="65"/>
      <c r="M30" s="66">
        <f>M26*0.97</f>
        <v>2.5220000000000003E-2</v>
      </c>
      <c r="N30" s="67" t="s">
        <v>870</v>
      </c>
      <c r="P30" s="68" t="s">
        <v>446</v>
      </c>
      <c r="Q30" s="69">
        <f>Q28*20</f>
        <v>4.3214495999999993</v>
      </c>
      <c r="R30" s="70" t="s">
        <v>887</v>
      </c>
      <c r="S30" s="71">
        <f>Q30*S21</f>
        <v>8.6428991999999987</v>
      </c>
    </row>
    <row r="31" spans="2:19">
      <c r="B31" s="36" t="s">
        <v>885</v>
      </c>
      <c r="C31" s="62"/>
      <c r="D31" s="58">
        <f>(0.15*3*D29)+(0.2*3*D30)</f>
        <v>4.2</v>
      </c>
      <c r="E31" s="62"/>
      <c r="F31" s="58">
        <f>(0.15*3*F29)+(0.2*3*F30)</f>
        <v>4.2</v>
      </c>
      <c r="G31" s="62"/>
      <c r="H31" s="58">
        <f>(0.15*3*H29)+(0.2*3*H30)</f>
        <v>5.0999999999999996</v>
      </c>
      <c r="I31" s="55" t="s">
        <v>890</v>
      </c>
      <c r="J31" s="56"/>
      <c r="L31" s="3"/>
      <c r="M31" s="76"/>
      <c r="N31" s="76"/>
      <c r="P31" s="84"/>
      <c r="Q31" s="84"/>
      <c r="S31" s="75"/>
    </row>
    <row r="32" spans="2:19">
      <c r="B32" s="36" t="s">
        <v>447</v>
      </c>
      <c r="C32" s="62">
        <f>(TRUNC(D25/0.25)+2)*D24</f>
        <v>13.76</v>
      </c>
      <c r="D32" s="58">
        <f>SUM(C32:C33)/10*2</f>
        <v>7.4560000000000004</v>
      </c>
      <c r="E32" s="62">
        <f>(TRUNC(F25/0.25)+2)*F24</f>
        <v>19.52</v>
      </c>
      <c r="F32" s="58">
        <f>SUM(E32:E33)/10*2</f>
        <v>10.959999999999999</v>
      </c>
      <c r="G32" s="62">
        <f>(TRUNC(H25/0.25)+2)*H24</f>
        <v>25.28</v>
      </c>
      <c r="H32" s="58">
        <f>SUM(G32:G33)/10*2</f>
        <v>14.463999999999999</v>
      </c>
      <c r="I32" s="55" t="s">
        <v>448</v>
      </c>
      <c r="J32" s="56"/>
      <c r="P32" s="14"/>
      <c r="Q32" s="14"/>
    </row>
    <row r="33" spans="2:19" hidden="1">
      <c r="B33" s="36"/>
      <c r="C33" s="62">
        <f>(TRUNC(D24/0.25)*(D25+2.4))</f>
        <v>23.52</v>
      </c>
      <c r="D33" s="74"/>
      <c r="E33" s="62">
        <f>(TRUNC(F24/0.25)*(F25+2.4))</f>
        <v>35.28</v>
      </c>
      <c r="F33" s="74"/>
      <c r="G33" s="62">
        <f>(TRUNC(H24/0.25)*(H25+2.4))</f>
        <v>47.04</v>
      </c>
      <c r="H33" s="74"/>
      <c r="I33" s="55"/>
      <c r="J33" s="56"/>
      <c r="M33" s="75"/>
      <c r="N33" s="76"/>
      <c r="P33" s="14"/>
      <c r="Q33" s="14"/>
    </row>
    <row r="34" spans="2:19">
      <c r="B34" s="36" t="s">
        <v>479</v>
      </c>
      <c r="C34" s="62">
        <f>D24*4</f>
        <v>6.88</v>
      </c>
      <c r="D34" s="58">
        <f>C34/10*2</f>
        <v>1.3759999999999999</v>
      </c>
      <c r="E34" s="62">
        <f>F24*4</f>
        <v>9.76</v>
      </c>
      <c r="F34" s="58">
        <f>E34/10*2</f>
        <v>1.952</v>
      </c>
      <c r="G34" s="62">
        <f>H24*4</f>
        <v>12.64</v>
      </c>
      <c r="H34" s="58">
        <f>G34/10*2</f>
        <v>2.528</v>
      </c>
      <c r="I34" s="55" t="s">
        <v>448</v>
      </c>
      <c r="J34" s="56"/>
      <c r="M34" s="75"/>
      <c r="N34" s="76"/>
      <c r="P34" s="14"/>
      <c r="Q34" s="14"/>
    </row>
    <row r="35" spans="2:19">
      <c r="B35" s="36" t="s">
        <v>480</v>
      </c>
      <c r="C35" s="62"/>
      <c r="D35" s="58">
        <f>((D32*4.99)+(D34*8.88))/1000</f>
        <v>4.9424320000000001E-2</v>
      </c>
      <c r="E35" s="62"/>
      <c r="F35" s="58">
        <f>((F32*4.99)+(F34*8.88))/1000</f>
        <v>7.202415999999999E-2</v>
      </c>
      <c r="G35" s="62"/>
      <c r="H35" s="58">
        <f>((H32*4.99)+(H34*8.88))/1000</f>
        <v>9.4624E-2</v>
      </c>
      <c r="I35" s="55" t="s">
        <v>187</v>
      </c>
      <c r="J35" s="56"/>
      <c r="M35" s="75"/>
      <c r="N35" s="76"/>
      <c r="P35" s="14"/>
      <c r="Q35" s="14"/>
    </row>
    <row r="36" spans="2:19">
      <c r="B36" s="36" t="s">
        <v>571</v>
      </c>
      <c r="C36" s="40"/>
      <c r="D36" s="58">
        <f>D28*6.72</f>
        <v>12.530252368414519</v>
      </c>
      <c r="E36" s="40"/>
      <c r="F36" s="58">
        <f>F28*6.72</f>
        <v>17.628184736829041</v>
      </c>
      <c r="G36" s="40"/>
      <c r="H36" s="58">
        <f>H28*6.72</f>
        <v>22.72611710524356</v>
      </c>
      <c r="I36" s="55" t="s">
        <v>575</v>
      </c>
      <c r="J36" s="56"/>
      <c r="M36" s="75"/>
      <c r="N36" s="76"/>
      <c r="P36" s="14"/>
    </row>
    <row r="37" spans="2:19">
      <c r="B37" s="36" t="s">
        <v>578</v>
      </c>
      <c r="C37" s="40"/>
      <c r="D37" s="58">
        <f>D28*0.54</f>
        <v>1.0068952796047383</v>
      </c>
      <c r="E37" s="40"/>
      <c r="F37" s="58">
        <f>F28*0.54</f>
        <v>1.4165505592094765</v>
      </c>
      <c r="G37" s="40"/>
      <c r="H37" s="58">
        <f>H28*0.54</f>
        <v>1.8262058388142148</v>
      </c>
      <c r="I37" s="55" t="s">
        <v>870</v>
      </c>
      <c r="J37" s="56"/>
      <c r="M37" s="75"/>
      <c r="N37" s="76"/>
    </row>
    <row r="38" spans="2:19">
      <c r="B38" s="64" t="s">
        <v>580</v>
      </c>
      <c r="C38" s="80"/>
      <c r="D38" s="81">
        <f>D28*1.03</f>
        <v>1.9205595148016303</v>
      </c>
      <c r="E38" s="80"/>
      <c r="F38" s="81">
        <f>F28*1.03</f>
        <v>2.7019390296032606</v>
      </c>
      <c r="G38" s="80"/>
      <c r="H38" s="81">
        <f>H28*1.03</f>
        <v>3.4833185444048911</v>
      </c>
      <c r="I38" s="67" t="s">
        <v>870</v>
      </c>
      <c r="J38" s="56"/>
      <c r="M38" s="75"/>
      <c r="N38" s="76"/>
    </row>
    <row r="40" spans="2:19">
      <c r="B40" s="22" t="s">
        <v>562</v>
      </c>
      <c r="C40" s="21"/>
      <c r="D40" s="21"/>
      <c r="E40" s="21"/>
      <c r="F40" s="21"/>
      <c r="G40" s="21"/>
      <c r="H40" s="21"/>
      <c r="I40" s="23"/>
      <c r="J40" s="24"/>
      <c r="K40" s="22" t="s">
        <v>563</v>
      </c>
      <c r="L40" s="21"/>
      <c r="M40" s="21"/>
      <c r="N40" s="17"/>
      <c r="P40" s="22" t="s">
        <v>913</v>
      </c>
      <c r="Q40" s="21"/>
      <c r="R40" s="17"/>
      <c r="S40" s="89">
        <v>2</v>
      </c>
    </row>
    <row r="41" spans="2:19">
      <c r="B41" s="26" t="s">
        <v>570</v>
      </c>
      <c r="C41" s="27"/>
      <c r="D41" s="28">
        <v>0.5</v>
      </c>
      <c r="E41" s="27"/>
      <c r="F41" s="28">
        <f>D41</f>
        <v>0.5</v>
      </c>
      <c r="G41" s="27"/>
      <c r="H41" s="28">
        <f>D41</f>
        <v>0.5</v>
      </c>
      <c r="I41" s="29"/>
      <c r="J41" s="30"/>
      <c r="K41" s="26" t="s">
        <v>570</v>
      </c>
      <c r="L41" s="31"/>
      <c r="M41" s="32">
        <f>D41</f>
        <v>0.5</v>
      </c>
      <c r="N41" s="33"/>
      <c r="P41" s="26" t="s">
        <v>571</v>
      </c>
      <c r="Q41" s="34">
        <f>D47+F47+H47</f>
        <v>9.196685328941534</v>
      </c>
      <c r="R41" s="35" t="s">
        <v>870</v>
      </c>
      <c r="S41" s="36"/>
    </row>
    <row r="42" spans="2:19">
      <c r="B42" s="36" t="s">
        <v>574</v>
      </c>
      <c r="C42" s="40"/>
      <c r="D42" s="86">
        <v>1</v>
      </c>
      <c r="E42" s="41"/>
      <c r="F42" s="86">
        <v>2</v>
      </c>
      <c r="G42" s="41"/>
      <c r="H42" s="86">
        <v>3</v>
      </c>
      <c r="I42" s="42"/>
      <c r="J42" s="30"/>
      <c r="K42" s="36" t="s">
        <v>574</v>
      </c>
      <c r="L42" s="43"/>
      <c r="M42" s="44">
        <v>1</v>
      </c>
      <c r="N42" s="45"/>
      <c r="P42" s="36" t="s">
        <v>571</v>
      </c>
      <c r="Q42" s="46">
        <f>D55+F55+H55</f>
        <v>61.801725410487116</v>
      </c>
      <c r="R42" s="47" t="s">
        <v>575</v>
      </c>
      <c r="S42" s="48">
        <f>Q42*S40</f>
        <v>123.60345082097423</v>
      </c>
    </row>
    <row r="43" spans="2:19">
      <c r="B43" s="36" t="s">
        <v>438</v>
      </c>
      <c r="C43" s="40"/>
      <c r="D43" s="51">
        <f>IF(D42=1,VLOOKUP(D41,'ขนาด ท่อ'!$D$5:$K$13,3),
  IF(D42=2,VLOOKUP(D41,'ขนาด ท่อ'!$D$5:$K$13,5),
  IF(D42=3,VLOOKUP(D41,'ขนาด ท่อ'!$D$5:$K$13,7),0)))</f>
        <v>1.84</v>
      </c>
      <c r="E43" s="40"/>
      <c r="F43" s="51">
        <f>IF(F42=1,VLOOKUP(F41,'ขนาด ท่อ'!$D$5:$K$13,3),
  IF(F42=2,VLOOKUP(F41,'ขนาด ท่อ'!$D$5:$K$13,5),
  IF(F42=3,VLOOKUP(F41,'ขนาด ท่อ'!$D$5:$K$13,7),0)))</f>
        <v>2.58</v>
      </c>
      <c r="G43" s="40"/>
      <c r="H43" s="51">
        <f>IF(H42=1,VLOOKUP(H41,'ขนาด ท่อ'!$D$5:$K$13,3),
  IF(H42=2,VLOOKUP(H41,'ขนาด ท่อ'!$D$5:$K$13,5),
  IF(H42=3,VLOOKUP(H41,'ขนาด ท่อ'!$D$5:$K$13,7),0)))</f>
        <v>3.62</v>
      </c>
      <c r="I43" s="42" t="s">
        <v>889</v>
      </c>
      <c r="J43" s="30"/>
      <c r="K43" s="36" t="s">
        <v>438</v>
      </c>
      <c r="L43" s="43"/>
      <c r="M43" s="52">
        <f>IF(M42=1,(M42*(M41+(VLOOKUP(M41,'ขนาด ท่อ'!$D$5:$E$13,2)*2))),
  IF(M42=2,(M42*(M41+(VLOOKUP(M41,'ขนาด ท่อ'!$D$5:$E$13,2)*2))),
  (M42*(M41+(VLOOKUP(M41,'ขนาด ท่อ'!$D$5:$E$13,2)*2)))))</f>
        <v>0.64</v>
      </c>
      <c r="N43" s="42" t="s">
        <v>889</v>
      </c>
      <c r="P43" s="36" t="s">
        <v>571</v>
      </c>
      <c r="Q43" s="46">
        <f>Q42*50/1000</f>
        <v>3.0900862705243557</v>
      </c>
      <c r="R43" s="47" t="s">
        <v>187</v>
      </c>
      <c r="S43" s="48">
        <f>Q43*S40</f>
        <v>6.1801725410487114</v>
      </c>
    </row>
    <row r="44" spans="2:19">
      <c r="B44" s="36" t="s">
        <v>577</v>
      </c>
      <c r="C44" s="40"/>
      <c r="D44" s="51">
        <f>IF(D42=1,VLOOKUP(D41,'ขนาด ท่อ'!$D$5:$K$13,4),
  IF(D42=2,VLOOKUP(D41,'ขนาด ท่อ'!$D$5:$K$13,6),
  IF(D42=3,VLOOKUP(D41,'ขนาด ท่อ'!$D$5:$K$13,8),0)))</f>
        <v>1.74</v>
      </c>
      <c r="E44" s="40"/>
      <c r="F44" s="51">
        <f>IF(F42=1,VLOOKUP(F41,'ขนาด ท่อ'!$D$5:$K$13,4),
  IF(F42=2,VLOOKUP(F41,'ขนาด ท่อ'!$D$5:$K$13,6),
  IF(F42=3,VLOOKUP(F41,'ขนาด ท่อ'!$D$5:$K$13,8),0)))</f>
        <v>1.74</v>
      </c>
      <c r="G44" s="40"/>
      <c r="H44" s="51">
        <f>IF(H42=1,VLOOKUP(H41,'ขนาด ท่อ'!$D$5:$K$13,4),
  IF(H42=2,VLOOKUP(H41,'ขนาด ท่อ'!$D$5:$K$13,6),
  IF(H42=3,VLOOKUP(H41,'ขนาด ท่อ'!$D$5:$K$13,8),0)))</f>
        <v>1.74</v>
      </c>
      <c r="I44" s="42" t="s">
        <v>889</v>
      </c>
      <c r="J44" s="30"/>
      <c r="K44" s="36" t="s">
        <v>577</v>
      </c>
      <c r="L44" s="43"/>
      <c r="M44" s="88">
        <v>1</v>
      </c>
      <c r="N44" s="42" t="s">
        <v>889</v>
      </c>
      <c r="P44" s="36" t="s">
        <v>578</v>
      </c>
      <c r="Q44" s="46">
        <f>D56+F56+H56</f>
        <v>4.9662100776284293</v>
      </c>
      <c r="R44" s="47" t="s">
        <v>870</v>
      </c>
      <c r="S44" s="48">
        <f>Q44*S40</f>
        <v>9.9324201552568585</v>
      </c>
    </row>
    <row r="45" spans="2:19">
      <c r="B45" s="36" t="s">
        <v>579</v>
      </c>
      <c r="C45" s="40"/>
      <c r="D45" s="54">
        <f>((D43*D44)-(PI()*(('ขนาด ท่อ'!$D$5+('ขนาด ท่อ'!$E$5)*2))^2/4*D42))*0.15*2</f>
        <v>0.92278088815692239</v>
      </c>
      <c r="E45" s="40"/>
      <c r="F45" s="54">
        <f>((F43*F44)-(PI()*(('ขนาด ท่อ'!$D$5+('ขนาด ท่อ'!$E$5)*2))^2/4*F42))*0.15*2</f>
        <v>1.2713617763138449</v>
      </c>
      <c r="G45" s="40"/>
      <c r="H45" s="54">
        <f>((H43*H44)-(PI()*(('ขนาด ท่อ'!$D$5+('ขนาด ท่อ'!$E$5)*2))^2/4*H42))*0.15*2</f>
        <v>1.7765426644707676</v>
      </c>
      <c r="I45" s="55" t="s">
        <v>870</v>
      </c>
      <c r="J45" s="56"/>
      <c r="K45" s="36" t="s">
        <v>200</v>
      </c>
      <c r="L45" s="43"/>
      <c r="M45" s="57">
        <f>M43*M44*0.05</f>
        <v>3.2000000000000001E-2</v>
      </c>
      <c r="N45" s="55" t="s">
        <v>870</v>
      </c>
      <c r="P45" s="36" t="s">
        <v>580</v>
      </c>
      <c r="Q45" s="46">
        <f>D57+F57+H57</f>
        <v>9.4725858888097818</v>
      </c>
      <c r="R45" s="47" t="s">
        <v>870</v>
      </c>
      <c r="S45" s="48">
        <f>Q45*S40</f>
        <v>18.945171777619564</v>
      </c>
    </row>
    <row r="46" spans="2:19">
      <c r="B46" s="36" t="s">
        <v>441</v>
      </c>
      <c r="C46" s="40"/>
      <c r="D46" s="58">
        <f>((D43*1*0.2)+(D43*0.2*0.4)+(D43*0.3*0.15))*2</f>
        <v>1.1960000000000002</v>
      </c>
      <c r="E46" s="40"/>
      <c r="F46" s="58">
        <f>((F43*1*0.2)+(F43*0.2*0.4)+(F43*0.3*0.15))*2</f>
        <v>1.677</v>
      </c>
      <c r="G46" s="40"/>
      <c r="H46" s="58">
        <f>((H43*1*0.2)+(H43*0.2*0.4)+(H43*0.3*0.15))*2</f>
        <v>2.3530000000000002</v>
      </c>
      <c r="I46" s="55" t="s">
        <v>870</v>
      </c>
      <c r="J46" s="56"/>
      <c r="K46" s="36" t="s">
        <v>442</v>
      </c>
      <c r="L46" s="59">
        <f>IF(M44=0,0,(M43*2+M44*2))</f>
        <v>3.2800000000000002</v>
      </c>
      <c r="M46" s="60">
        <f>ROUNDUP(L46/3,0)</f>
        <v>2</v>
      </c>
      <c r="N46" s="55" t="s">
        <v>891</v>
      </c>
      <c r="P46" s="36" t="s">
        <v>885</v>
      </c>
      <c r="Q46" s="46">
        <f>(0.15*3*D48)+(0.2*3*D49)+(0.15*3*F48)+(0.2*3*F49)+(0.15*3*H48)+(0.2*3*H49)</f>
        <v>14.4</v>
      </c>
      <c r="R46" s="47" t="s">
        <v>890</v>
      </c>
      <c r="S46" s="48">
        <f>Q46*S40</f>
        <v>28.8</v>
      </c>
    </row>
    <row r="47" spans="2:19">
      <c r="B47" s="36" t="s">
        <v>443</v>
      </c>
      <c r="C47" s="40"/>
      <c r="D47" s="58">
        <f>SUM(D45:D46)</f>
        <v>2.1187808881569223</v>
      </c>
      <c r="E47" s="40"/>
      <c r="F47" s="58">
        <f>SUM(F45:F46)</f>
        <v>2.948361776313845</v>
      </c>
      <c r="G47" s="40"/>
      <c r="H47" s="58">
        <f>SUM(H45:H46)</f>
        <v>4.129542664470768</v>
      </c>
      <c r="I47" s="55" t="s">
        <v>870</v>
      </c>
      <c r="J47" s="56"/>
      <c r="K47" s="36" t="s">
        <v>571</v>
      </c>
      <c r="L47" s="43"/>
      <c r="M47" s="60">
        <f>M45*5.04</f>
        <v>0.16128000000000001</v>
      </c>
      <c r="N47" s="55" t="s">
        <v>575</v>
      </c>
      <c r="P47" s="36" t="s">
        <v>349</v>
      </c>
      <c r="Q47" s="61">
        <f>(((D51+F51+H51)*4.99)+((D53+F53+H53)*8.88))/1000</f>
        <v>0.24939084</v>
      </c>
      <c r="R47" s="47" t="s">
        <v>187</v>
      </c>
      <c r="S47" s="48">
        <f>Q47*S40</f>
        <v>0.49878168000000001</v>
      </c>
    </row>
    <row r="48" spans="2:19">
      <c r="B48" s="36" t="s">
        <v>444</v>
      </c>
      <c r="C48" s="62">
        <f>(D44*2+D43)</f>
        <v>5.32</v>
      </c>
      <c r="D48" s="58">
        <f>ROUNDUP(C48/3,0)*2</f>
        <v>4</v>
      </c>
      <c r="E48" s="62">
        <f>(F44*2+F43)</f>
        <v>6.0600000000000005</v>
      </c>
      <c r="F48" s="58">
        <f>ROUNDUP(E48/3,0)*2</f>
        <v>6</v>
      </c>
      <c r="G48" s="62">
        <f>(H44*2+H43)</f>
        <v>7.1</v>
      </c>
      <c r="H48" s="58">
        <f>ROUNDUP(G48/3,0)*2</f>
        <v>6</v>
      </c>
      <c r="I48" s="55" t="s">
        <v>891</v>
      </c>
      <c r="J48" s="56"/>
      <c r="K48" s="36" t="s">
        <v>578</v>
      </c>
      <c r="L48" s="43"/>
      <c r="M48" s="60">
        <f>M45*0.62</f>
        <v>1.984E-2</v>
      </c>
      <c r="N48" s="55" t="s">
        <v>870</v>
      </c>
      <c r="P48" s="63" t="s">
        <v>886</v>
      </c>
      <c r="Q48" s="61">
        <f>Q46*0.2</f>
        <v>2.8800000000000003</v>
      </c>
      <c r="R48" s="47" t="s">
        <v>887</v>
      </c>
      <c r="S48" s="48">
        <f>Q48*S40</f>
        <v>5.7600000000000007</v>
      </c>
    </row>
    <row r="49" spans="2:19">
      <c r="B49" s="36" t="s">
        <v>445</v>
      </c>
      <c r="C49" s="62">
        <f>IF(D43=0,0,D43+3)</f>
        <v>4.84</v>
      </c>
      <c r="D49" s="58">
        <f>ROUNDUP(C49/4,0)*2</f>
        <v>4</v>
      </c>
      <c r="E49" s="62">
        <f>IF(F43=0,0,F43+3)</f>
        <v>5.58</v>
      </c>
      <c r="F49" s="58">
        <f>ROUNDUP(E49/4,0)*2</f>
        <v>4</v>
      </c>
      <c r="G49" s="62">
        <f>IF(H43=0,0,H43+3)</f>
        <v>6.62</v>
      </c>
      <c r="H49" s="58">
        <f>ROUNDUP(G49/4,0)*2</f>
        <v>4</v>
      </c>
      <c r="I49" s="55" t="s">
        <v>891</v>
      </c>
      <c r="J49" s="56"/>
      <c r="K49" s="64" t="s">
        <v>580</v>
      </c>
      <c r="L49" s="65"/>
      <c r="M49" s="66">
        <f>M45*0.97</f>
        <v>3.1039999999999998E-2</v>
      </c>
      <c r="N49" s="67" t="s">
        <v>870</v>
      </c>
      <c r="P49" s="68" t="s">
        <v>446</v>
      </c>
      <c r="Q49" s="69">
        <f>Q47*20</f>
        <v>4.9878168000000001</v>
      </c>
      <c r="R49" s="70" t="s">
        <v>887</v>
      </c>
      <c r="S49" s="71">
        <f>Q49*S40</f>
        <v>9.9756336000000001</v>
      </c>
    </row>
    <row r="50" spans="2:19">
      <c r="B50" s="36" t="s">
        <v>885</v>
      </c>
      <c r="C50" s="62"/>
      <c r="D50" s="58">
        <f>(0.15*3*D48)+(0.2*3*D49)</f>
        <v>4.2</v>
      </c>
      <c r="E50" s="62"/>
      <c r="F50" s="58">
        <f>(0.15*3*F48)+(0.2*3*F49)</f>
        <v>5.0999999999999996</v>
      </c>
      <c r="G50" s="62"/>
      <c r="H50" s="58">
        <f>(0.15*3*H48)+(0.2*3*H49)</f>
        <v>5.0999999999999996</v>
      </c>
      <c r="I50" s="55" t="s">
        <v>890</v>
      </c>
      <c r="J50" s="56"/>
      <c r="L50" s="3"/>
      <c r="M50" s="76"/>
      <c r="N50" s="76"/>
      <c r="P50" s="84"/>
      <c r="Q50" s="84"/>
      <c r="S50" s="75"/>
    </row>
    <row r="51" spans="2:19">
      <c r="B51" s="36" t="s">
        <v>447</v>
      </c>
      <c r="C51" s="62">
        <f>(TRUNC(D44/0.25)+2)*D43</f>
        <v>14.72</v>
      </c>
      <c r="D51" s="58">
        <f>SUM(C51:C52)/10*2</f>
        <v>8.7399999999999984</v>
      </c>
      <c r="E51" s="62">
        <f>(TRUNC(F44/0.25)+2)*F43</f>
        <v>20.64</v>
      </c>
      <c r="F51" s="58">
        <f>SUM(E51:E52)/10*2</f>
        <v>12.407999999999999</v>
      </c>
      <c r="G51" s="62">
        <f>(TRUNC(H44/0.25)+2)*H43</f>
        <v>28.96</v>
      </c>
      <c r="H51" s="58">
        <f>SUM(G51:G52)/10*2</f>
        <v>17.383999999999997</v>
      </c>
      <c r="I51" s="55" t="s">
        <v>448</v>
      </c>
      <c r="J51" s="56"/>
      <c r="P51" s="14"/>
      <c r="Q51" s="14"/>
    </row>
    <row r="52" spans="2:19" hidden="1">
      <c r="B52" s="36"/>
      <c r="C52" s="62">
        <f>(TRUNC(D43/0.25)*(D44+2.4))</f>
        <v>28.979999999999997</v>
      </c>
      <c r="D52" s="74"/>
      <c r="E52" s="62">
        <f>(TRUNC(F43/0.25)*(F44+2.4))</f>
        <v>41.4</v>
      </c>
      <c r="F52" s="74"/>
      <c r="G52" s="62">
        <f>(TRUNC(H43/0.25)*(H44+2.4))</f>
        <v>57.959999999999994</v>
      </c>
      <c r="H52" s="74"/>
      <c r="I52" s="55"/>
      <c r="J52" s="56"/>
      <c r="M52" s="75"/>
      <c r="N52" s="76"/>
      <c r="P52" s="14"/>
      <c r="Q52" s="14"/>
    </row>
    <row r="53" spans="2:19">
      <c r="B53" s="36" t="s">
        <v>479</v>
      </c>
      <c r="C53" s="62">
        <f>D43*4</f>
        <v>7.36</v>
      </c>
      <c r="D53" s="58">
        <f>C53/10*2</f>
        <v>1.472</v>
      </c>
      <c r="E53" s="62">
        <f>F43*4</f>
        <v>10.32</v>
      </c>
      <c r="F53" s="58">
        <f>E53/10*2</f>
        <v>2.0640000000000001</v>
      </c>
      <c r="G53" s="62">
        <f>H43*4</f>
        <v>14.48</v>
      </c>
      <c r="H53" s="58">
        <f>G53/10*2</f>
        <v>2.8959999999999999</v>
      </c>
      <c r="I53" s="55" t="s">
        <v>448</v>
      </c>
      <c r="J53" s="56"/>
      <c r="M53" s="75"/>
      <c r="N53" s="76"/>
      <c r="P53" s="14"/>
      <c r="Q53" s="14"/>
    </row>
    <row r="54" spans="2:19">
      <c r="B54" s="36" t="s">
        <v>480</v>
      </c>
      <c r="C54" s="62"/>
      <c r="D54" s="58">
        <f>((D51*4.99)+(D53*8.88))/1000</f>
        <v>5.6683959999999992E-2</v>
      </c>
      <c r="E54" s="62"/>
      <c r="F54" s="58">
        <f>((F51*4.99)+(F53*8.88))/1000</f>
        <v>8.0244240000000008E-2</v>
      </c>
      <c r="G54" s="62"/>
      <c r="H54" s="58">
        <f>((H51*4.99)+(H53*8.88))/1000</f>
        <v>0.11246263999999999</v>
      </c>
      <c r="I54" s="55" t="s">
        <v>187</v>
      </c>
      <c r="J54" s="56"/>
      <c r="M54" s="75"/>
      <c r="N54" s="76"/>
      <c r="P54" s="14"/>
      <c r="Q54" s="14"/>
    </row>
    <row r="55" spans="2:19">
      <c r="B55" s="36" t="s">
        <v>571</v>
      </c>
      <c r="C55" s="40"/>
      <c r="D55" s="58">
        <f>D47*6.72</f>
        <v>14.238207568414518</v>
      </c>
      <c r="E55" s="40"/>
      <c r="F55" s="58">
        <f>F47*6.72</f>
        <v>19.812991136829037</v>
      </c>
      <c r="G55" s="40"/>
      <c r="H55" s="58">
        <f>H47*6.72</f>
        <v>27.750526705243558</v>
      </c>
      <c r="I55" s="55" t="s">
        <v>575</v>
      </c>
      <c r="J55" s="56"/>
      <c r="M55" s="75"/>
      <c r="N55" s="76"/>
      <c r="P55" s="14"/>
    </row>
    <row r="56" spans="2:19">
      <c r="B56" s="36" t="s">
        <v>578</v>
      </c>
      <c r="C56" s="40"/>
      <c r="D56" s="58">
        <f>D47*0.54</f>
        <v>1.1441416796047381</v>
      </c>
      <c r="E56" s="40"/>
      <c r="F56" s="58">
        <f>F47*0.54</f>
        <v>1.5921153592094763</v>
      </c>
      <c r="G56" s="40"/>
      <c r="H56" s="58">
        <f>H47*0.54</f>
        <v>2.229953038814215</v>
      </c>
      <c r="I56" s="55" t="s">
        <v>870</v>
      </c>
      <c r="J56" s="56"/>
      <c r="M56" s="75"/>
      <c r="N56" s="76"/>
    </row>
    <row r="57" spans="2:19">
      <c r="B57" s="64" t="s">
        <v>580</v>
      </c>
      <c r="C57" s="80"/>
      <c r="D57" s="81">
        <f>D47*1.03</f>
        <v>2.1823443148016302</v>
      </c>
      <c r="E57" s="80"/>
      <c r="F57" s="81">
        <f>F47*1.03</f>
        <v>3.0368126296032605</v>
      </c>
      <c r="G57" s="80"/>
      <c r="H57" s="81">
        <f>H47*1.03</f>
        <v>4.2534289444048907</v>
      </c>
      <c r="I57" s="67" t="s">
        <v>870</v>
      </c>
      <c r="J57" s="56"/>
      <c r="M57" s="75"/>
      <c r="N57" s="76"/>
    </row>
    <row r="59" spans="2:19">
      <c r="B59" s="22" t="s">
        <v>562</v>
      </c>
      <c r="C59" s="21"/>
      <c r="D59" s="21"/>
      <c r="E59" s="21"/>
      <c r="F59" s="21"/>
      <c r="G59" s="21"/>
      <c r="H59" s="21"/>
      <c r="I59" s="23"/>
      <c r="J59" s="24"/>
      <c r="K59" s="22" t="s">
        <v>563</v>
      </c>
      <c r="L59" s="21"/>
      <c r="M59" s="21"/>
      <c r="N59" s="17"/>
      <c r="P59" s="22" t="s">
        <v>913</v>
      </c>
      <c r="Q59" s="21"/>
      <c r="R59" s="17"/>
      <c r="S59" s="89">
        <v>2</v>
      </c>
    </row>
    <row r="60" spans="2:19">
      <c r="B60" s="26" t="s">
        <v>570</v>
      </c>
      <c r="C60" s="27"/>
      <c r="D60" s="28">
        <v>0.6</v>
      </c>
      <c r="E60" s="27"/>
      <c r="F60" s="28">
        <f>D60</f>
        <v>0.6</v>
      </c>
      <c r="G60" s="27"/>
      <c r="H60" s="28">
        <f>D60</f>
        <v>0.6</v>
      </c>
      <c r="I60" s="29"/>
      <c r="J60" s="30"/>
      <c r="K60" s="26" t="s">
        <v>570</v>
      </c>
      <c r="L60" s="31"/>
      <c r="M60" s="32">
        <f>D60</f>
        <v>0.6</v>
      </c>
      <c r="N60" s="33"/>
      <c r="P60" s="26" t="s">
        <v>571</v>
      </c>
      <c r="Q60" s="34">
        <f>D66+F66+H66</f>
        <v>10.888805328941533</v>
      </c>
      <c r="R60" s="35" t="s">
        <v>870</v>
      </c>
      <c r="S60" s="36"/>
    </row>
    <row r="61" spans="2:19">
      <c r="B61" s="36" t="s">
        <v>574</v>
      </c>
      <c r="C61" s="40"/>
      <c r="D61" s="86">
        <v>1</v>
      </c>
      <c r="E61" s="41"/>
      <c r="F61" s="86">
        <v>2</v>
      </c>
      <c r="G61" s="41"/>
      <c r="H61" s="86">
        <v>3</v>
      </c>
      <c r="I61" s="42"/>
      <c r="J61" s="30"/>
      <c r="K61" s="36" t="s">
        <v>574</v>
      </c>
      <c r="L61" s="43"/>
      <c r="M61" s="44">
        <v>1</v>
      </c>
      <c r="N61" s="45"/>
      <c r="P61" s="36" t="s">
        <v>571</v>
      </c>
      <c r="Q61" s="46">
        <f>D74+F74+H74</f>
        <v>73.172771810487106</v>
      </c>
      <c r="R61" s="47" t="s">
        <v>575</v>
      </c>
      <c r="S61" s="48">
        <f>Q61*S59</f>
        <v>146.34554362097421</v>
      </c>
    </row>
    <row r="62" spans="2:19">
      <c r="B62" s="36" t="s">
        <v>438</v>
      </c>
      <c r="C62" s="40"/>
      <c r="D62" s="51">
        <f>IF(D61=1,VLOOKUP(D60,'ขนาด ท่อ'!$D$5:$K$13,3),
  IF(D61=2,VLOOKUP(D60,'ขนาด ท่อ'!$D$5:$K$13,5),
  IF(D61=3,VLOOKUP(D60,'ขนาด ท่อ'!$D$5:$K$13,7),0)))</f>
        <v>1.95</v>
      </c>
      <c r="E62" s="40"/>
      <c r="F62" s="51">
        <f>IF(F61=1,VLOOKUP(F60,'ขนาด ท่อ'!$D$5:$K$13,3),
  IF(F61=2,VLOOKUP(F60,'ขนาด ท่อ'!$D$5:$K$13,5),
  IF(F61=3,VLOOKUP(F60,'ขนาด ท่อ'!$D$5:$K$13,7),0)))</f>
        <v>3</v>
      </c>
      <c r="G62" s="40"/>
      <c r="H62" s="51">
        <f>IF(H61=1,VLOOKUP(H60,'ขนาด ท่อ'!$D$5:$K$13,3),
  IF(H61=2,VLOOKUP(H60,'ขนาด ท่อ'!$D$5:$K$13,5),
  IF(H61=3,VLOOKUP(H60,'ขนาด ท่อ'!$D$5:$K$13,7),0)))</f>
        <v>4.05</v>
      </c>
      <c r="I62" s="42" t="s">
        <v>889</v>
      </c>
      <c r="J62" s="30"/>
      <c r="K62" s="36" t="s">
        <v>438</v>
      </c>
      <c r="L62" s="43"/>
      <c r="M62" s="52">
        <f>IF(M61=1,(M61*(M60+(VLOOKUP(M60,'ขนาด ท่อ'!$D$5:$E$13,2)*2))),
  IF(M61=2,(M61*(M60+(VLOOKUP(M60,'ขนาด ท่อ'!$D$5:$E$13,2)*2))),
  (M61*(M60+(VLOOKUP(M60,'ขนาด ท่อ'!$D$5:$E$13,2)*2)))))</f>
        <v>0.75</v>
      </c>
      <c r="N62" s="42" t="s">
        <v>889</v>
      </c>
      <c r="P62" s="36" t="s">
        <v>571</v>
      </c>
      <c r="Q62" s="46">
        <f>Q61*50/1000</f>
        <v>3.658638590524355</v>
      </c>
      <c r="R62" s="47" t="s">
        <v>187</v>
      </c>
      <c r="S62" s="48">
        <f>Q62*S59</f>
        <v>7.3172771810487101</v>
      </c>
    </row>
    <row r="63" spans="2:19">
      <c r="B63" s="36" t="s">
        <v>577</v>
      </c>
      <c r="C63" s="40"/>
      <c r="D63" s="51">
        <f>IF(D61=1,VLOOKUP(D60,'ขนาด ท่อ'!$D$5:$K$13,4),
  IF(D61=2,VLOOKUP(D60,'ขนาด ท่อ'!$D$5:$K$13,6),
  IF(D61=3,VLOOKUP(D60,'ขนาด ท่อ'!$D$5:$K$13,8),0)))</f>
        <v>1.95</v>
      </c>
      <c r="E63" s="40"/>
      <c r="F63" s="51">
        <f>IF(F61=1,VLOOKUP(F60,'ขนาด ท่อ'!$D$5:$K$13,4),
  IF(F61=2,VLOOKUP(F60,'ขนาด ท่อ'!$D$5:$K$13,6),
  IF(F61=3,VLOOKUP(F60,'ขนาด ท่อ'!$D$5:$K$13,8),0)))</f>
        <v>1.95</v>
      </c>
      <c r="G63" s="40"/>
      <c r="H63" s="51">
        <f>IF(H61=1,VLOOKUP(H60,'ขนาด ท่อ'!$D$5:$K$13,4),
  IF(H61=2,VLOOKUP(H60,'ขนาด ท่อ'!$D$5:$K$13,6),
  IF(H61=3,VLOOKUP(H60,'ขนาด ท่อ'!$D$5:$K$13,8),0)))</f>
        <v>1.95</v>
      </c>
      <c r="I63" s="42" t="s">
        <v>889</v>
      </c>
      <c r="J63" s="30"/>
      <c r="K63" s="36" t="s">
        <v>577</v>
      </c>
      <c r="L63" s="43"/>
      <c r="M63" s="88">
        <v>1</v>
      </c>
      <c r="N63" s="42" t="s">
        <v>889</v>
      </c>
      <c r="P63" s="36" t="s">
        <v>578</v>
      </c>
      <c r="Q63" s="46">
        <f>D75+F75+H75</f>
        <v>5.8799548776284283</v>
      </c>
      <c r="R63" s="47" t="s">
        <v>870</v>
      </c>
      <c r="S63" s="48">
        <f>Q63*S59</f>
        <v>11.759909755256857</v>
      </c>
    </row>
    <row r="64" spans="2:19">
      <c r="B64" s="36" t="s">
        <v>579</v>
      </c>
      <c r="C64" s="40"/>
      <c r="D64" s="54">
        <f>((D62*D63)-(PI()*(('ขนาด ท่อ'!$D$5+('ขนาด ท่อ'!$E$5)*2))^2/4*D61))*0.15*2</f>
        <v>1.1030508881569223</v>
      </c>
      <c r="E64" s="40"/>
      <c r="F64" s="54">
        <f>((F62*F63)-(PI()*(('ขนาด ท่อ'!$D$5+('ขนาด ท่อ'!$E$5)*2))^2/4*F61))*0.15*2</f>
        <v>1.6796017763138447</v>
      </c>
      <c r="G64" s="40"/>
      <c r="H64" s="54">
        <f>((H62*H63)-(PI()*(('ขนาด ท่อ'!$D$5+('ขนาด ท่อ'!$E$5)*2))^2/4*H61))*0.15*2</f>
        <v>2.256152664470767</v>
      </c>
      <c r="I64" s="55" t="s">
        <v>870</v>
      </c>
      <c r="J64" s="56"/>
      <c r="K64" s="36" t="s">
        <v>200</v>
      </c>
      <c r="L64" s="43"/>
      <c r="M64" s="57">
        <f>M62*M63*0.05</f>
        <v>3.7500000000000006E-2</v>
      </c>
      <c r="N64" s="55" t="s">
        <v>870</v>
      </c>
      <c r="P64" s="36" t="s">
        <v>580</v>
      </c>
      <c r="Q64" s="46">
        <f>D76+F76+H76</f>
        <v>11.215469488809781</v>
      </c>
      <c r="R64" s="47" t="s">
        <v>870</v>
      </c>
      <c r="S64" s="48">
        <f>Q64*S59</f>
        <v>22.430938977619562</v>
      </c>
    </row>
    <row r="65" spans="2:20">
      <c r="B65" s="36" t="s">
        <v>441</v>
      </c>
      <c r="C65" s="40"/>
      <c r="D65" s="58">
        <f>((D62*1*0.2)+(D62*0.2*0.4)+(D62*0.3*0.15))*2</f>
        <v>1.2675000000000001</v>
      </c>
      <c r="E65" s="40"/>
      <c r="F65" s="58">
        <f>((F62*1*0.2)+(F62*0.2*0.4)+(F62*0.3*0.15))*2</f>
        <v>1.9500000000000002</v>
      </c>
      <c r="G65" s="40"/>
      <c r="H65" s="58">
        <f>((H62*1*0.2)+(H62*0.2*0.4)+(H62*0.3*0.15))*2</f>
        <v>2.6325000000000003</v>
      </c>
      <c r="I65" s="55" t="s">
        <v>870</v>
      </c>
      <c r="J65" s="56"/>
      <c r="K65" s="36" t="s">
        <v>442</v>
      </c>
      <c r="L65" s="59">
        <f>IF(M63=0,0,(M62*2+M63*2))</f>
        <v>3.5</v>
      </c>
      <c r="M65" s="60">
        <f>ROUNDUP(L65/3,0)</f>
        <v>2</v>
      </c>
      <c r="N65" s="55" t="s">
        <v>891</v>
      </c>
      <c r="P65" s="36" t="s">
        <v>885</v>
      </c>
      <c r="Q65" s="46">
        <f>(0.15*3*D67)+(0.2*3*D68)+(0.15*3*F67)+(0.2*3*F68)+(0.15*3*H67)+(0.2*3*H68)</f>
        <v>14.4</v>
      </c>
      <c r="R65" s="47" t="s">
        <v>890</v>
      </c>
      <c r="S65" s="48">
        <f>Q65*S59</f>
        <v>28.8</v>
      </c>
    </row>
    <row r="66" spans="2:20">
      <c r="B66" s="36" t="s">
        <v>443</v>
      </c>
      <c r="C66" s="40"/>
      <c r="D66" s="58">
        <f>SUM(D64:D65)</f>
        <v>2.3705508881569224</v>
      </c>
      <c r="E66" s="40"/>
      <c r="F66" s="58">
        <f>SUM(F64:F65)</f>
        <v>3.6296017763138448</v>
      </c>
      <c r="G66" s="40"/>
      <c r="H66" s="58">
        <f>SUM(H64:H65)</f>
        <v>4.8886526644707669</v>
      </c>
      <c r="I66" s="55" t="s">
        <v>870</v>
      </c>
      <c r="J66" s="56"/>
      <c r="K66" s="36" t="s">
        <v>571</v>
      </c>
      <c r="L66" s="43"/>
      <c r="M66" s="60">
        <f>M64*5.04</f>
        <v>0.18900000000000003</v>
      </c>
      <c r="N66" s="55" t="s">
        <v>575</v>
      </c>
      <c r="P66" s="36" t="s">
        <v>349</v>
      </c>
      <c r="Q66" s="61">
        <f>(((D70+F70+H70)*4.99)+((D72+F72+H72)*8.88))/1000</f>
        <v>0.29671949999999997</v>
      </c>
      <c r="R66" s="47" t="s">
        <v>187</v>
      </c>
      <c r="S66" s="48">
        <f>Q66*S59</f>
        <v>0.59343899999999994</v>
      </c>
    </row>
    <row r="67" spans="2:20">
      <c r="B67" s="36" t="s">
        <v>444</v>
      </c>
      <c r="C67" s="62">
        <f>(D63*2+D62)</f>
        <v>5.85</v>
      </c>
      <c r="D67" s="58">
        <f>ROUNDUP(C67/3,0)*2</f>
        <v>4</v>
      </c>
      <c r="E67" s="62">
        <f>(F63*2+F62)</f>
        <v>6.9</v>
      </c>
      <c r="F67" s="58">
        <f>ROUNDUP(E67/3,0)*2</f>
        <v>6</v>
      </c>
      <c r="G67" s="62">
        <f>(H63*2+H62)</f>
        <v>7.9499999999999993</v>
      </c>
      <c r="H67" s="58">
        <f>ROUNDUP(G67/3,0)*2</f>
        <v>6</v>
      </c>
      <c r="I67" s="55" t="s">
        <v>891</v>
      </c>
      <c r="J67" s="56"/>
      <c r="K67" s="36" t="s">
        <v>578</v>
      </c>
      <c r="L67" s="43"/>
      <c r="M67" s="60">
        <f>M64*0.62</f>
        <v>2.3250000000000003E-2</v>
      </c>
      <c r="N67" s="55" t="s">
        <v>870</v>
      </c>
      <c r="P67" s="63" t="s">
        <v>886</v>
      </c>
      <c r="Q67" s="61">
        <f>Q65*0.2</f>
        <v>2.8800000000000003</v>
      </c>
      <c r="R67" s="47" t="s">
        <v>887</v>
      </c>
      <c r="S67" s="48">
        <f>Q67*S59</f>
        <v>5.7600000000000007</v>
      </c>
    </row>
    <row r="68" spans="2:20">
      <c r="B68" s="36" t="s">
        <v>445</v>
      </c>
      <c r="C68" s="62">
        <f>IF(D62=0,0,D62+3)</f>
        <v>4.95</v>
      </c>
      <c r="D68" s="58">
        <f>ROUNDUP(C68/4,0)*2</f>
        <v>4</v>
      </c>
      <c r="E68" s="62">
        <f>IF(F62=0,0,F62+3)</f>
        <v>6</v>
      </c>
      <c r="F68" s="58">
        <f>ROUNDUP(E68/4,0)*2</f>
        <v>4</v>
      </c>
      <c r="G68" s="62">
        <f>IF(H62=0,0,H62+3)</f>
        <v>7.05</v>
      </c>
      <c r="H68" s="58">
        <f>ROUNDUP(G68/4,0)*2</f>
        <v>4</v>
      </c>
      <c r="I68" s="55" t="s">
        <v>891</v>
      </c>
      <c r="J68" s="56"/>
      <c r="K68" s="64" t="s">
        <v>580</v>
      </c>
      <c r="L68" s="65"/>
      <c r="M68" s="66">
        <f>M64*0.97</f>
        <v>3.6375000000000005E-2</v>
      </c>
      <c r="N68" s="67" t="s">
        <v>870</v>
      </c>
      <c r="P68" s="68" t="s">
        <v>446</v>
      </c>
      <c r="Q68" s="69">
        <f>Q66*20</f>
        <v>5.9343899999999996</v>
      </c>
      <c r="R68" s="70" t="s">
        <v>887</v>
      </c>
      <c r="S68" s="71">
        <f>Q68*S59</f>
        <v>11.868779999999999</v>
      </c>
    </row>
    <row r="69" spans="2:20">
      <c r="B69" s="36" t="s">
        <v>885</v>
      </c>
      <c r="C69" s="62"/>
      <c r="D69" s="58">
        <f>(0.15*3*D67)+(0.2*3*D68)</f>
        <v>4.2</v>
      </c>
      <c r="E69" s="62"/>
      <c r="F69" s="58">
        <f>(0.15*3*F67)+(0.2*3*F68)</f>
        <v>5.0999999999999996</v>
      </c>
      <c r="G69" s="62"/>
      <c r="H69" s="58">
        <f>(0.15*3*H67)+(0.2*3*H68)</f>
        <v>5.0999999999999996</v>
      </c>
      <c r="I69" s="55" t="s">
        <v>890</v>
      </c>
      <c r="J69" s="56"/>
      <c r="L69" s="3"/>
      <c r="M69" s="76"/>
      <c r="N69" s="76"/>
      <c r="P69" s="84"/>
      <c r="Q69" s="84"/>
      <c r="S69" s="75"/>
    </row>
    <row r="70" spans="2:20">
      <c r="B70" s="36" t="s">
        <v>447</v>
      </c>
      <c r="C70" s="62">
        <f>(TRUNC(D63/0.25)+2)*D62</f>
        <v>17.55</v>
      </c>
      <c r="D70" s="58">
        <f>SUM(C70:C71)/10*2</f>
        <v>9.6</v>
      </c>
      <c r="E70" s="62">
        <f>(TRUNC(F63/0.25)+2)*F62</f>
        <v>27</v>
      </c>
      <c r="F70" s="58">
        <f>SUM(E70:E71)/10*2</f>
        <v>15.839999999999998</v>
      </c>
      <c r="G70" s="62">
        <f>(TRUNC(H63/0.25)+2)*H62</f>
        <v>36.449999999999996</v>
      </c>
      <c r="H70" s="58">
        <f>SUM(G70:G71)/10*2</f>
        <v>21.209999999999997</v>
      </c>
      <c r="I70" s="55" t="s">
        <v>448</v>
      </c>
      <c r="J70" s="56"/>
      <c r="P70" s="14"/>
      <c r="Q70" s="14"/>
    </row>
    <row r="71" spans="2:20" hidden="1">
      <c r="B71" s="36"/>
      <c r="C71" s="62">
        <f>(TRUNC(D62/0.25)*(D63+2.4))</f>
        <v>30.449999999999996</v>
      </c>
      <c r="D71" s="74"/>
      <c r="E71" s="62">
        <f>(TRUNC(F62/0.25)*(F63+2.4))</f>
        <v>52.199999999999996</v>
      </c>
      <c r="F71" s="74"/>
      <c r="G71" s="62">
        <f>(TRUNC(H62/0.25)*(H63+2.4))</f>
        <v>69.599999999999994</v>
      </c>
      <c r="H71" s="74"/>
      <c r="I71" s="55"/>
      <c r="J71" s="56"/>
      <c r="M71" s="75"/>
      <c r="N71" s="76"/>
      <c r="P71" s="14"/>
      <c r="Q71" s="14"/>
    </row>
    <row r="72" spans="2:20">
      <c r="B72" s="36" t="s">
        <v>479</v>
      </c>
      <c r="C72" s="62">
        <f>D62*4</f>
        <v>7.8</v>
      </c>
      <c r="D72" s="58">
        <f>C72/10*2</f>
        <v>1.56</v>
      </c>
      <c r="E72" s="62">
        <f>F62*4</f>
        <v>12</v>
      </c>
      <c r="F72" s="58">
        <f>E72/10*2</f>
        <v>2.4</v>
      </c>
      <c r="G72" s="62">
        <f>H62*4</f>
        <v>16.2</v>
      </c>
      <c r="H72" s="58">
        <f>G72/10*2</f>
        <v>3.2399999999999998</v>
      </c>
      <c r="I72" s="55" t="s">
        <v>448</v>
      </c>
      <c r="J72" s="56"/>
      <c r="M72" s="75"/>
      <c r="N72" s="76"/>
      <c r="P72" s="14"/>
      <c r="Q72" s="14"/>
    </row>
    <row r="73" spans="2:20">
      <c r="B73" s="36" t="s">
        <v>480</v>
      </c>
      <c r="C73" s="62"/>
      <c r="D73" s="58">
        <f>((D70*4.99)+(D72*8.88))/1000</f>
        <v>6.1756800000000008E-2</v>
      </c>
      <c r="E73" s="62"/>
      <c r="F73" s="58">
        <f>((F70*4.99)+(F72*8.88))/1000</f>
        <v>0.10035359999999999</v>
      </c>
      <c r="G73" s="62"/>
      <c r="H73" s="58">
        <f>((H70*4.99)+(H72*8.88))/1000</f>
        <v>0.13460909999999998</v>
      </c>
      <c r="I73" s="55" t="s">
        <v>187</v>
      </c>
      <c r="J73" s="56"/>
      <c r="M73" s="75"/>
      <c r="N73" s="76"/>
      <c r="P73" s="14"/>
      <c r="Q73" s="14"/>
    </row>
    <row r="74" spans="2:20">
      <c r="B74" s="36" t="s">
        <v>571</v>
      </c>
      <c r="C74" s="40"/>
      <c r="D74" s="58">
        <f>D66*6.72</f>
        <v>15.930101968414517</v>
      </c>
      <c r="E74" s="40"/>
      <c r="F74" s="58">
        <f>F66*6.72</f>
        <v>24.390923936829036</v>
      </c>
      <c r="G74" s="40"/>
      <c r="H74" s="58">
        <f>H66*6.72</f>
        <v>32.851745905243554</v>
      </c>
      <c r="I74" s="55" t="s">
        <v>575</v>
      </c>
      <c r="J74" s="56"/>
      <c r="M74" s="75"/>
      <c r="N74" s="76"/>
      <c r="P74" s="14"/>
    </row>
    <row r="75" spans="2:20">
      <c r="B75" s="36" t="s">
        <v>578</v>
      </c>
      <c r="C75" s="40"/>
      <c r="D75" s="58">
        <f>D66*0.54</f>
        <v>1.2800974796047382</v>
      </c>
      <c r="E75" s="40"/>
      <c r="F75" s="58">
        <f>F66*0.54</f>
        <v>1.9599849592094762</v>
      </c>
      <c r="G75" s="40"/>
      <c r="H75" s="58">
        <f>H66*0.54</f>
        <v>2.6398724388142143</v>
      </c>
      <c r="I75" s="55" t="s">
        <v>870</v>
      </c>
      <c r="J75" s="56"/>
      <c r="M75" s="75"/>
      <c r="N75" s="76"/>
    </row>
    <row r="76" spans="2:20">
      <c r="B76" s="64" t="s">
        <v>580</v>
      </c>
      <c r="C76" s="80"/>
      <c r="D76" s="81">
        <f>D66*1.03</f>
        <v>2.4416674148016302</v>
      </c>
      <c r="E76" s="80"/>
      <c r="F76" s="81">
        <f>F66*1.03</f>
        <v>3.7384898296032603</v>
      </c>
      <c r="G76" s="80"/>
      <c r="H76" s="81">
        <f>H66*1.03</f>
        <v>5.0353122444048903</v>
      </c>
      <c r="I76" s="67" t="s">
        <v>870</v>
      </c>
      <c r="J76" s="56"/>
      <c r="M76" s="75"/>
      <c r="N76" s="76"/>
    </row>
    <row r="78" spans="2:20">
      <c r="B78" s="22" t="s">
        <v>562</v>
      </c>
      <c r="C78" s="21"/>
      <c r="D78" s="21"/>
      <c r="E78" s="21"/>
      <c r="F78" s="21"/>
      <c r="G78" s="21"/>
      <c r="H78" s="21"/>
      <c r="I78" s="23"/>
      <c r="J78" s="24"/>
      <c r="K78" s="22" t="s">
        <v>563</v>
      </c>
      <c r="L78" s="21"/>
      <c r="M78" s="21"/>
      <c r="N78" s="17"/>
      <c r="P78" s="22" t="s">
        <v>913</v>
      </c>
      <c r="Q78" s="21"/>
      <c r="R78" s="17"/>
      <c r="S78" s="89">
        <v>2</v>
      </c>
      <c r="T78" s="18"/>
    </row>
    <row r="79" spans="2:20">
      <c r="B79" s="26" t="s">
        <v>570</v>
      </c>
      <c r="C79" s="27"/>
      <c r="D79" s="28">
        <v>0.8</v>
      </c>
      <c r="E79" s="27"/>
      <c r="F79" s="28">
        <f>D79</f>
        <v>0.8</v>
      </c>
      <c r="G79" s="27"/>
      <c r="H79" s="28">
        <f>D79</f>
        <v>0.8</v>
      </c>
      <c r="I79" s="29"/>
      <c r="J79" s="30"/>
      <c r="K79" s="26" t="s">
        <v>570</v>
      </c>
      <c r="L79" s="31"/>
      <c r="M79" s="32">
        <f>D79</f>
        <v>0.8</v>
      </c>
      <c r="N79" s="33"/>
      <c r="P79" s="26" t="s">
        <v>571</v>
      </c>
      <c r="Q79" s="34">
        <f>D85+F85+H85</f>
        <v>14.455385328941535</v>
      </c>
      <c r="R79" s="35" t="s">
        <v>870</v>
      </c>
      <c r="S79" s="36"/>
    </row>
    <row r="80" spans="2:20">
      <c r="B80" s="36" t="s">
        <v>574</v>
      </c>
      <c r="C80" s="40"/>
      <c r="D80" s="86">
        <v>1</v>
      </c>
      <c r="E80" s="41"/>
      <c r="F80" s="86">
        <v>2</v>
      </c>
      <c r="G80" s="41"/>
      <c r="H80" s="86">
        <v>3</v>
      </c>
      <c r="I80" s="42"/>
      <c r="J80" s="30"/>
      <c r="K80" s="36" t="s">
        <v>574</v>
      </c>
      <c r="L80" s="43"/>
      <c r="M80" s="44">
        <v>1</v>
      </c>
      <c r="N80" s="45"/>
      <c r="P80" s="36" t="s">
        <v>571</v>
      </c>
      <c r="Q80" s="46">
        <f>D93+F93+H93</f>
        <v>97.140189410487096</v>
      </c>
      <c r="R80" s="47" t="s">
        <v>575</v>
      </c>
      <c r="S80" s="48">
        <f>Q80*S78</f>
        <v>194.28037882097419</v>
      </c>
    </row>
    <row r="81" spans="2:19">
      <c r="B81" s="36" t="s">
        <v>438</v>
      </c>
      <c r="C81" s="40"/>
      <c r="D81" s="51">
        <f>IF(D80=1,VLOOKUP(D79,'ขนาด ท่อ'!$D$5:$K$13,3),
  IF(D80=2,VLOOKUP(D79,'ขนาด ท่อ'!$D$5:$K$13,5),
  IF(D80=3,VLOOKUP(D79,'ขนาด ท่อ'!$D$5:$K$13,7),0)))</f>
        <v>2.19</v>
      </c>
      <c r="E81" s="40"/>
      <c r="F81" s="51">
        <f>IF(F80=1,VLOOKUP(F79,'ขนาด ท่อ'!$D$5:$K$13,3),
  IF(F80=2,VLOOKUP(F79,'ขนาด ท่อ'!$D$5:$K$13,5),
  IF(F80=3,VLOOKUP(F79,'ขนาด ท่อ'!$D$5:$K$13,7),0)))</f>
        <v>3.58</v>
      </c>
      <c r="G81" s="40"/>
      <c r="H81" s="51">
        <f>IF(H80=1,VLOOKUP(H79,'ขนาด ท่อ'!$D$5:$K$13,3),
  IF(H80=2,VLOOKUP(H79,'ขนาด ท่อ'!$D$5:$K$13,5),
  IF(H80=3,VLOOKUP(H79,'ขนาด ท่อ'!$D$5:$K$13,7),0)))</f>
        <v>4.97</v>
      </c>
      <c r="I81" s="42" t="s">
        <v>889</v>
      </c>
      <c r="J81" s="30"/>
      <c r="K81" s="36" t="s">
        <v>438</v>
      </c>
      <c r="L81" s="43"/>
      <c r="M81" s="52">
        <f>IF(M80=1,(M80*(M79+(VLOOKUP(M79,'ขนาด ท่อ'!$D$5:$E$13,2)*2))),
  IF(M80=2,(M80*(M79+(VLOOKUP(M79,'ขนาด ท่อ'!$D$5:$E$13,2)*2))),
  (M80*(M79+(VLOOKUP(M79,'ขนาด ท่อ'!$D$5:$E$13,2)*2)))))</f>
        <v>0.99</v>
      </c>
      <c r="N81" s="42" t="s">
        <v>889</v>
      </c>
      <c r="P81" s="36" t="s">
        <v>571</v>
      </c>
      <c r="Q81" s="46">
        <f>Q80*50/1000</f>
        <v>4.8570094705243543</v>
      </c>
      <c r="R81" s="47" t="s">
        <v>187</v>
      </c>
      <c r="S81" s="48">
        <f>Q81*S78</f>
        <v>9.7140189410487086</v>
      </c>
    </row>
    <row r="82" spans="2:19">
      <c r="B82" s="36" t="s">
        <v>577</v>
      </c>
      <c r="C82" s="40"/>
      <c r="D82" s="51">
        <f>IF(D80=1,VLOOKUP(D79,'ขนาด ท่อ'!$D$5:$K$13,4),
  IF(D80=2,VLOOKUP(D79,'ขนาด ท่อ'!$D$5:$K$13,6),
  IF(D80=3,VLOOKUP(D79,'ขนาด ท่อ'!$D$5:$K$13,8),0)))</f>
        <v>2.39</v>
      </c>
      <c r="E82" s="40"/>
      <c r="F82" s="51">
        <f>IF(F80=1,VLOOKUP(F79,'ขนาด ท่อ'!$D$5:$K$13,4),
  IF(F80=2,VLOOKUP(F79,'ขนาด ท่อ'!$D$5:$K$13,6),
  IF(F80=3,VLOOKUP(F79,'ขนาด ท่อ'!$D$5:$K$13,8),0)))</f>
        <v>2.39</v>
      </c>
      <c r="G82" s="40"/>
      <c r="H82" s="51">
        <f>IF(H80=1,VLOOKUP(H79,'ขนาด ท่อ'!$D$5:$K$13,4),
  IF(H80=2,VLOOKUP(H79,'ขนาด ท่อ'!$D$5:$K$13,6),
  IF(H80=3,VLOOKUP(H79,'ขนาด ท่อ'!$D$5:$K$13,8),0)))</f>
        <v>2.39</v>
      </c>
      <c r="I82" s="42" t="s">
        <v>889</v>
      </c>
      <c r="J82" s="30"/>
      <c r="K82" s="36" t="s">
        <v>577</v>
      </c>
      <c r="L82" s="43"/>
      <c r="M82" s="88">
        <v>1</v>
      </c>
      <c r="N82" s="90" t="s">
        <v>889</v>
      </c>
      <c r="P82" s="36" t="s">
        <v>578</v>
      </c>
      <c r="Q82" s="46">
        <f>D94+F94+H94</f>
        <v>7.8059080776284286</v>
      </c>
      <c r="R82" s="47" t="s">
        <v>870</v>
      </c>
      <c r="S82" s="48">
        <f>Q82*S78</f>
        <v>15.611816155256857</v>
      </c>
    </row>
    <row r="83" spans="2:19">
      <c r="B83" s="36" t="s">
        <v>579</v>
      </c>
      <c r="C83" s="40"/>
      <c r="D83" s="54">
        <f>((D81*D82)-(PI()*(('ขนาด ท่อ'!$D$5+('ขนาด ท่อ'!$E$5)*2))^2/4*D80))*0.15*2</f>
        <v>1.5325308881569224</v>
      </c>
      <c r="E83" s="40"/>
      <c r="F83" s="54">
        <f>((F81*F82)-(PI()*(('ขนาด ท่อ'!$D$5+('ขนาด ท่อ'!$E$5)*2))^2/4*F80))*0.15*2</f>
        <v>2.4914617763138449</v>
      </c>
      <c r="G83" s="40"/>
      <c r="H83" s="54">
        <f>((H81*H82)-(PI()*(('ขนาด ท่อ'!$D$5+('ขนาด ท่อ'!$E$5)*2))^2/4*H80))*0.15*2</f>
        <v>3.4503926644707672</v>
      </c>
      <c r="I83" s="55" t="s">
        <v>870</v>
      </c>
      <c r="J83" s="56"/>
      <c r="K83" s="36" t="s">
        <v>200</v>
      </c>
      <c r="L83" s="43"/>
      <c r="M83" s="57">
        <f>M81*M82*0.05</f>
        <v>4.9500000000000002E-2</v>
      </c>
      <c r="N83" s="55" t="s">
        <v>870</v>
      </c>
      <c r="P83" s="36" t="s">
        <v>580</v>
      </c>
      <c r="Q83" s="46">
        <f>D95+F95+H95</f>
        <v>14.88904688880978</v>
      </c>
      <c r="R83" s="47" t="s">
        <v>870</v>
      </c>
      <c r="S83" s="48">
        <f>Q83*S78</f>
        <v>29.77809377761956</v>
      </c>
    </row>
    <row r="84" spans="2:19">
      <c r="B84" s="36" t="s">
        <v>441</v>
      </c>
      <c r="C84" s="40"/>
      <c r="D84" s="58">
        <f>((D81*1*0.2)+(D81*0.2*0.4)+(D81*0.3*0.15))*2</f>
        <v>1.4235</v>
      </c>
      <c r="E84" s="40"/>
      <c r="F84" s="58">
        <f>((F81*1*0.2)+(F81*0.2*0.4)+(F81*0.3*0.15))*2</f>
        <v>2.3270000000000004</v>
      </c>
      <c r="G84" s="40"/>
      <c r="H84" s="58">
        <f>((H81*1*0.2)+(H81*0.2*0.4)+(H81*0.3*0.15))*2</f>
        <v>3.2304999999999997</v>
      </c>
      <c r="I84" s="55" t="s">
        <v>870</v>
      </c>
      <c r="J84" s="56"/>
      <c r="K84" s="36" t="s">
        <v>442</v>
      </c>
      <c r="L84" s="59">
        <f>IF(M82=0,0,(M81*2+M82*2))</f>
        <v>3.98</v>
      </c>
      <c r="M84" s="60">
        <f>ROUNDUP(L84/3,0)</f>
        <v>2</v>
      </c>
      <c r="N84" s="55" t="s">
        <v>891</v>
      </c>
      <c r="P84" s="36" t="s">
        <v>885</v>
      </c>
      <c r="Q84" s="46">
        <f>(0.15*3*D86)+(0.2*3*D87)+(0.15*3*F86)+(0.2*3*F87)+(0.15*3*H86)+(0.2*3*H87)</f>
        <v>16.2</v>
      </c>
      <c r="R84" s="47" t="s">
        <v>890</v>
      </c>
      <c r="S84" s="48">
        <f>Q84*S78</f>
        <v>32.4</v>
      </c>
    </row>
    <row r="85" spans="2:19">
      <c r="B85" s="36" t="s">
        <v>443</v>
      </c>
      <c r="C85" s="40"/>
      <c r="D85" s="58">
        <f>SUM(D83:D84)</f>
        <v>2.9560308881569224</v>
      </c>
      <c r="E85" s="40"/>
      <c r="F85" s="58">
        <f>SUM(F83:F84)</f>
        <v>4.8184617763138453</v>
      </c>
      <c r="G85" s="40"/>
      <c r="H85" s="58">
        <f>SUM(H83:H84)</f>
        <v>6.6808926644707665</v>
      </c>
      <c r="I85" s="55" t="s">
        <v>870</v>
      </c>
      <c r="J85" s="56"/>
      <c r="K85" s="36" t="s">
        <v>571</v>
      </c>
      <c r="L85" s="43"/>
      <c r="M85" s="60">
        <f>M83*5.04</f>
        <v>0.24948000000000001</v>
      </c>
      <c r="N85" s="55" t="s">
        <v>575</v>
      </c>
      <c r="P85" s="36" t="s">
        <v>349</v>
      </c>
      <c r="Q85" s="61">
        <f>(((D89+F89+H89)*4.99)+((D91+F91+H91)*8.88))/1000</f>
        <v>0.39019789999999999</v>
      </c>
      <c r="R85" s="47" t="s">
        <v>187</v>
      </c>
      <c r="S85" s="48">
        <f>Q85*S78</f>
        <v>0.78039579999999997</v>
      </c>
    </row>
    <row r="86" spans="2:19">
      <c r="B86" s="36" t="s">
        <v>444</v>
      </c>
      <c r="C86" s="62">
        <f>(D82*2+D81)</f>
        <v>6.9700000000000006</v>
      </c>
      <c r="D86" s="58">
        <f>ROUNDUP(C86/3,0)*2</f>
        <v>6</v>
      </c>
      <c r="E86" s="62">
        <f>(F82*2+F81)</f>
        <v>8.36</v>
      </c>
      <c r="F86" s="58">
        <f>ROUNDUP(E86/3,0)*2</f>
        <v>6</v>
      </c>
      <c r="G86" s="62">
        <f>(H82*2+H81)</f>
        <v>9.75</v>
      </c>
      <c r="H86" s="58">
        <f>ROUNDUP(G86/3,0)*2</f>
        <v>8</v>
      </c>
      <c r="I86" s="55" t="s">
        <v>891</v>
      </c>
      <c r="J86" s="56"/>
      <c r="K86" s="36" t="s">
        <v>578</v>
      </c>
      <c r="L86" s="43"/>
      <c r="M86" s="60">
        <f>M83*0.62</f>
        <v>3.0690000000000002E-2</v>
      </c>
      <c r="N86" s="55" t="s">
        <v>870</v>
      </c>
      <c r="P86" s="63" t="s">
        <v>886</v>
      </c>
      <c r="Q86" s="61">
        <f>Q84*0.2</f>
        <v>3.24</v>
      </c>
      <c r="R86" s="47" t="s">
        <v>887</v>
      </c>
      <c r="S86" s="48">
        <f>Q86*S78</f>
        <v>6.48</v>
      </c>
    </row>
    <row r="87" spans="2:19">
      <c r="B87" s="36" t="s">
        <v>445</v>
      </c>
      <c r="C87" s="62">
        <f>IF(D81=0,0,D81+3)</f>
        <v>5.1899999999999995</v>
      </c>
      <c r="D87" s="58">
        <f>ROUNDUP(C87/4,0)*2</f>
        <v>4</v>
      </c>
      <c r="E87" s="62">
        <f>IF(F81=0,0,F81+3)</f>
        <v>6.58</v>
      </c>
      <c r="F87" s="58">
        <f>ROUNDUP(E87/4,0)*2</f>
        <v>4</v>
      </c>
      <c r="G87" s="62">
        <f>IF(H81=0,0,H81+3)</f>
        <v>7.97</v>
      </c>
      <c r="H87" s="58">
        <f>ROUNDUP(G87/4,0)*2</f>
        <v>4</v>
      </c>
      <c r="I87" s="55" t="s">
        <v>891</v>
      </c>
      <c r="J87" s="56"/>
      <c r="K87" s="64" t="s">
        <v>580</v>
      </c>
      <c r="L87" s="65"/>
      <c r="M87" s="66">
        <f>M83*0.97</f>
        <v>4.8015000000000002E-2</v>
      </c>
      <c r="N87" s="67" t="s">
        <v>870</v>
      </c>
      <c r="P87" s="68" t="s">
        <v>446</v>
      </c>
      <c r="Q87" s="69">
        <f>Q85*20</f>
        <v>7.8039579999999997</v>
      </c>
      <c r="R87" s="70" t="s">
        <v>887</v>
      </c>
      <c r="S87" s="71">
        <f>Q87*S78</f>
        <v>15.607915999999999</v>
      </c>
    </row>
    <row r="88" spans="2:19">
      <c r="B88" s="36" t="s">
        <v>885</v>
      </c>
      <c r="C88" s="62"/>
      <c r="D88" s="58">
        <f>(0.15*3*D86)+(0.2*3*D87)</f>
        <v>5.0999999999999996</v>
      </c>
      <c r="E88" s="62"/>
      <c r="F88" s="58">
        <f>(0.15*3*F86)+(0.2*3*F87)</f>
        <v>5.0999999999999996</v>
      </c>
      <c r="G88" s="62"/>
      <c r="H88" s="58">
        <f>(0.15*3*H86)+(0.2*3*H87)</f>
        <v>6</v>
      </c>
      <c r="I88" s="55" t="s">
        <v>890</v>
      </c>
      <c r="J88" s="56"/>
      <c r="L88" s="3"/>
      <c r="M88" s="76"/>
      <c r="N88" s="76"/>
      <c r="P88" s="84"/>
      <c r="Q88" s="84"/>
      <c r="S88" s="75"/>
    </row>
    <row r="89" spans="2:19">
      <c r="B89" s="36" t="s">
        <v>447</v>
      </c>
      <c r="C89" s="62">
        <f>(TRUNC(D82/0.25)+2)*D81</f>
        <v>24.09</v>
      </c>
      <c r="D89" s="58">
        <f>SUM(C89:C90)/10*2</f>
        <v>12.481999999999999</v>
      </c>
      <c r="E89" s="62">
        <f>(TRUNC(F82/0.25)+2)*F81</f>
        <v>39.380000000000003</v>
      </c>
      <c r="F89" s="58">
        <f>SUM(E89:E90)/10*2</f>
        <v>21.288</v>
      </c>
      <c r="G89" s="62">
        <f>(TRUNC(H82/0.25)+2)*H81</f>
        <v>54.669999999999995</v>
      </c>
      <c r="H89" s="58">
        <f>SUM(G89:G90)/10*2</f>
        <v>29.136000000000003</v>
      </c>
      <c r="I89" s="55" t="s">
        <v>448</v>
      </c>
      <c r="J89" s="56"/>
      <c r="P89" s="14"/>
      <c r="Q89" s="14"/>
    </row>
    <row r="90" spans="2:19" hidden="1">
      <c r="B90" s="36"/>
      <c r="C90" s="62">
        <f>(TRUNC(D81/0.25)*(D82+2.4))</f>
        <v>38.32</v>
      </c>
      <c r="D90" s="74"/>
      <c r="E90" s="62">
        <f>(TRUNC(F81/0.25)*(F82+2.4))</f>
        <v>67.06</v>
      </c>
      <c r="F90" s="74"/>
      <c r="G90" s="62">
        <f>(TRUNC(H81/0.25)*(H82+2.4))</f>
        <v>91.01</v>
      </c>
      <c r="H90" s="74"/>
      <c r="I90" s="55"/>
      <c r="J90" s="56"/>
      <c r="M90" s="75"/>
      <c r="N90" s="76"/>
      <c r="P90" s="14"/>
      <c r="Q90" s="14"/>
    </row>
    <row r="91" spans="2:19">
      <c r="B91" s="36" t="s">
        <v>479</v>
      </c>
      <c r="C91" s="62">
        <f>D81*4</f>
        <v>8.76</v>
      </c>
      <c r="D91" s="58">
        <f>C91/10*2</f>
        <v>1.752</v>
      </c>
      <c r="E91" s="62">
        <f>F81*4</f>
        <v>14.32</v>
      </c>
      <c r="F91" s="58">
        <f>E91/10*2</f>
        <v>2.8639999999999999</v>
      </c>
      <c r="G91" s="62">
        <f>H81*4</f>
        <v>19.88</v>
      </c>
      <c r="H91" s="58">
        <f>G91/10*2</f>
        <v>3.976</v>
      </c>
      <c r="I91" s="55" t="s">
        <v>448</v>
      </c>
      <c r="J91" s="56"/>
      <c r="M91" s="75"/>
      <c r="N91" s="76"/>
      <c r="P91" s="14"/>
      <c r="Q91" s="14"/>
    </row>
    <row r="92" spans="2:19">
      <c r="B92" s="36" t="s">
        <v>480</v>
      </c>
      <c r="C92" s="62"/>
      <c r="D92" s="58">
        <f>((D89*4.99)+(D91*8.88))/1000</f>
        <v>7.7842939999999999E-2</v>
      </c>
      <c r="E92" s="62"/>
      <c r="F92" s="58">
        <f>((F89*4.99)+(F91*8.88))/1000</f>
        <v>0.13165943999999999</v>
      </c>
      <c r="G92" s="62"/>
      <c r="H92" s="58">
        <f>((H89*4.99)+(H91*8.88))/1000</f>
        <v>0.18069552000000003</v>
      </c>
      <c r="I92" s="55" t="s">
        <v>187</v>
      </c>
      <c r="J92" s="56"/>
      <c r="M92" s="75"/>
      <c r="N92" s="76"/>
      <c r="P92" s="14"/>
      <c r="Q92" s="14"/>
    </row>
    <row r="93" spans="2:19">
      <c r="B93" s="36" t="s">
        <v>571</v>
      </c>
      <c r="C93" s="40"/>
      <c r="D93" s="58">
        <f>D85*6.72</f>
        <v>19.864527568414516</v>
      </c>
      <c r="E93" s="40"/>
      <c r="F93" s="58">
        <f>F85*6.72</f>
        <v>32.380063136829037</v>
      </c>
      <c r="G93" s="40"/>
      <c r="H93" s="58">
        <f>H85*6.72</f>
        <v>44.89559870524355</v>
      </c>
      <c r="I93" s="55" t="s">
        <v>575</v>
      </c>
      <c r="J93" s="56"/>
      <c r="M93" s="75"/>
      <c r="N93" s="76"/>
      <c r="P93" s="14"/>
    </row>
    <row r="94" spans="2:19">
      <c r="B94" s="36" t="s">
        <v>578</v>
      </c>
      <c r="C94" s="40"/>
      <c r="D94" s="58">
        <f>D85*0.54</f>
        <v>1.5962566796047382</v>
      </c>
      <c r="E94" s="40"/>
      <c r="F94" s="58">
        <f>F85*0.54</f>
        <v>2.6019693592094768</v>
      </c>
      <c r="G94" s="40"/>
      <c r="H94" s="58">
        <f>H85*0.54</f>
        <v>3.6076820388142141</v>
      </c>
      <c r="I94" s="55" t="s">
        <v>870</v>
      </c>
      <c r="J94" s="56"/>
      <c r="M94" s="75"/>
      <c r="N94" s="76"/>
    </row>
    <row r="95" spans="2:19">
      <c r="B95" s="64" t="s">
        <v>580</v>
      </c>
      <c r="C95" s="80"/>
      <c r="D95" s="81">
        <f>D85*1.03</f>
        <v>3.0447118148016301</v>
      </c>
      <c r="E95" s="80"/>
      <c r="F95" s="81">
        <f>F85*1.03</f>
        <v>4.9630156296032606</v>
      </c>
      <c r="G95" s="80"/>
      <c r="H95" s="81">
        <f>H85*1.03</f>
        <v>6.8813194444048893</v>
      </c>
      <c r="I95" s="67" t="s">
        <v>870</v>
      </c>
      <c r="J95" s="56"/>
      <c r="M95" s="75"/>
      <c r="N95" s="76"/>
    </row>
    <row r="97" spans="2:19">
      <c r="B97" s="22" t="s">
        <v>562</v>
      </c>
      <c r="C97" s="21"/>
      <c r="D97" s="21"/>
      <c r="E97" s="21"/>
      <c r="F97" s="21"/>
      <c r="G97" s="21"/>
      <c r="H97" s="21"/>
      <c r="I97" s="23"/>
      <c r="J97" s="24"/>
      <c r="K97" s="22" t="s">
        <v>563</v>
      </c>
      <c r="L97" s="21"/>
      <c r="M97" s="21"/>
      <c r="N97" s="17"/>
      <c r="P97" s="22" t="s">
        <v>913</v>
      </c>
      <c r="Q97" s="21"/>
      <c r="R97" s="17"/>
      <c r="S97" s="89">
        <v>2</v>
      </c>
    </row>
    <row r="98" spans="2:19">
      <c r="B98" s="26" t="s">
        <v>570</v>
      </c>
      <c r="C98" s="27"/>
      <c r="D98" s="28">
        <v>1</v>
      </c>
      <c r="E98" s="27"/>
      <c r="F98" s="28">
        <f>D98</f>
        <v>1</v>
      </c>
      <c r="G98" s="27"/>
      <c r="H98" s="28">
        <f>D98</f>
        <v>1</v>
      </c>
      <c r="I98" s="29"/>
      <c r="J98" s="30"/>
      <c r="K98" s="26" t="s">
        <v>570</v>
      </c>
      <c r="L98" s="31"/>
      <c r="M98" s="32">
        <f>D98</f>
        <v>1</v>
      </c>
      <c r="N98" s="33"/>
      <c r="P98" s="26" t="s">
        <v>571</v>
      </c>
      <c r="Q98" s="34">
        <f>D104+F104+H104</f>
        <v>18.354125328941535</v>
      </c>
      <c r="R98" s="35" t="s">
        <v>870</v>
      </c>
      <c r="S98" s="36"/>
    </row>
    <row r="99" spans="2:19">
      <c r="B99" s="36" t="s">
        <v>574</v>
      </c>
      <c r="C99" s="40"/>
      <c r="D99" s="86">
        <v>1</v>
      </c>
      <c r="E99" s="41"/>
      <c r="F99" s="86">
        <v>2</v>
      </c>
      <c r="G99" s="41"/>
      <c r="H99" s="86">
        <v>3</v>
      </c>
      <c r="I99" s="42"/>
      <c r="J99" s="30"/>
      <c r="K99" s="36" t="s">
        <v>574</v>
      </c>
      <c r="L99" s="43"/>
      <c r="M99" s="44">
        <v>1</v>
      </c>
      <c r="N99" s="45"/>
      <c r="P99" s="36" t="s">
        <v>571</v>
      </c>
      <c r="Q99" s="46">
        <f>D112+F112+H112</f>
        <v>123.3397222104871</v>
      </c>
      <c r="R99" s="47" t="s">
        <v>575</v>
      </c>
      <c r="S99" s="48">
        <f>Q99*S97</f>
        <v>246.67944442097419</v>
      </c>
    </row>
    <row r="100" spans="2:19">
      <c r="B100" s="36" t="s">
        <v>438</v>
      </c>
      <c r="C100" s="40"/>
      <c r="D100" s="51">
        <f>IF(D99=1,VLOOKUP(D98,'ขนาด ท่อ'!$D$5:$K$13,3),
  IF(D99=2,VLOOKUP(D98,'ขนาด ท่อ'!$D$5:$K$13,5),
  IF(D99=3,VLOOKUP(D98,'ขนาด ท่อ'!$D$5:$K$13,7),0)))</f>
        <v>2.42</v>
      </c>
      <c r="E100" s="40"/>
      <c r="F100" s="51">
        <f>IF(F99=1,VLOOKUP(F98,'ขนาด ท่อ'!$D$5:$K$13,3),
  IF(F99=2,VLOOKUP(F98,'ขนาด ท่อ'!$D$5:$K$13,5),
  IF(F99=3,VLOOKUP(F98,'ขนาด ท่อ'!$D$5:$K$13,7),0)))</f>
        <v>4.1399999999999997</v>
      </c>
      <c r="G100" s="40"/>
      <c r="H100" s="51">
        <f>IF(H99=1,VLOOKUP(H98,'ขนาด ท่อ'!$D$5:$K$13,3),
  IF(H99=2,VLOOKUP(H98,'ขนาด ท่อ'!$D$5:$K$13,5),
  IF(H99=3,VLOOKUP(H98,'ขนาด ท่อ'!$D$5:$K$13,7),0)))</f>
        <v>5.86</v>
      </c>
      <c r="I100" s="42" t="s">
        <v>889</v>
      </c>
      <c r="J100" s="30"/>
      <c r="K100" s="36" t="s">
        <v>438</v>
      </c>
      <c r="L100" s="43"/>
      <c r="M100" s="52">
        <f>IF(M99=1,(M99*(M98+(VLOOKUP(M98,'ขนาด ท่อ'!$D$5:$E$13,2)*2))),
  IF(M99=2,(M99*(M98+(VLOOKUP(M98,'ขนาด ท่อ'!$D$5:$E$13,2)*2))),
  (M99*(M98+(VLOOKUP(M98,'ขนาด ท่อ'!$D$5:$E$13,2)*2)))))</f>
        <v>1.22</v>
      </c>
      <c r="N100" s="42" t="s">
        <v>889</v>
      </c>
      <c r="P100" s="36" t="s">
        <v>571</v>
      </c>
      <c r="Q100" s="46">
        <f>Q99*50/1000</f>
        <v>6.1669861105243546</v>
      </c>
      <c r="R100" s="47" t="s">
        <v>187</v>
      </c>
      <c r="S100" s="48">
        <f>Q100*S97</f>
        <v>12.333972221048709</v>
      </c>
    </row>
    <row r="101" spans="2:19">
      <c r="B101" s="36" t="s">
        <v>577</v>
      </c>
      <c r="C101" s="40"/>
      <c r="D101" s="51">
        <f>IF(D99=1,VLOOKUP(D98,'ขนาด ท่อ'!$D$5:$K$13,4),
  IF(D99=2,VLOOKUP(D98,'ขนาด ท่อ'!$D$5:$K$13,6),
  IF(D99=3,VLOOKUP(D98,'ขนาด ท่อ'!$D$5:$K$13,8),0)))</f>
        <v>2.82</v>
      </c>
      <c r="E101" s="40"/>
      <c r="F101" s="51">
        <f>IF(F99=1,VLOOKUP(F98,'ขนาด ท่อ'!$D$5:$K$13,4),
  IF(F99=2,VLOOKUP(F98,'ขนาด ท่อ'!$D$5:$K$13,6),
  IF(F99=3,VLOOKUP(F98,'ขนาด ท่อ'!$D$5:$K$13,8),0)))</f>
        <v>2.82</v>
      </c>
      <c r="G101" s="40"/>
      <c r="H101" s="51">
        <f>IF(H99=1,VLOOKUP(H98,'ขนาด ท่อ'!$D$5:$K$13,4),
  IF(H99=2,VLOOKUP(H98,'ขนาด ท่อ'!$D$5:$K$13,6),
  IF(H99=3,VLOOKUP(H98,'ขนาด ท่อ'!$D$5:$K$13,8),0)))</f>
        <v>2.82</v>
      </c>
      <c r="I101" s="42" t="s">
        <v>889</v>
      </c>
      <c r="J101" s="30"/>
      <c r="K101" s="36" t="s">
        <v>577</v>
      </c>
      <c r="L101" s="43"/>
      <c r="M101" s="88">
        <v>1</v>
      </c>
      <c r="N101" s="42" t="s">
        <v>889</v>
      </c>
      <c r="P101" s="36" t="s">
        <v>578</v>
      </c>
      <c r="Q101" s="46">
        <f>D113+F113+H113</f>
        <v>9.9112276776284283</v>
      </c>
      <c r="R101" s="47" t="s">
        <v>870</v>
      </c>
      <c r="S101" s="48">
        <f>Q101*S97</f>
        <v>19.822455355256857</v>
      </c>
    </row>
    <row r="102" spans="2:19">
      <c r="B102" s="36" t="s">
        <v>579</v>
      </c>
      <c r="C102" s="40"/>
      <c r="D102" s="54">
        <f>((D100*D101)-(PI()*(('ขนาด ท่อ'!$D$5+('ขนาด ท่อ'!$E$5)*2))^2/4*D99))*0.15*2</f>
        <v>2.0096208881569222</v>
      </c>
      <c r="E102" s="40"/>
      <c r="F102" s="54">
        <f>((F100*F101)-(PI()*(('ขนาด ท่อ'!$D$5+('ขนาด ท่อ'!$E$5)*2))^2/4*F99))*0.15*2</f>
        <v>3.4270417763138439</v>
      </c>
      <c r="G102" s="40"/>
      <c r="H102" s="54">
        <f>((H100*H101)-(PI()*(('ขนาด ท่อ'!$D$5+('ขนาด ท่อ'!$E$5)*2))^2/4*H99))*0.15*2</f>
        <v>4.8444626644707673</v>
      </c>
      <c r="I102" s="55" t="s">
        <v>870</v>
      </c>
      <c r="J102" s="56"/>
      <c r="K102" s="36" t="s">
        <v>200</v>
      </c>
      <c r="L102" s="43"/>
      <c r="M102" s="57">
        <f>M100*M101*0.05</f>
        <v>6.0999999999999999E-2</v>
      </c>
      <c r="N102" s="55" t="s">
        <v>870</v>
      </c>
      <c r="P102" s="36" t="s">
        <v>580</v>
      </c>
      <c r="Q102" s="46">
        <f>D114+F114+H114</f>
        <v>18.90474908880978</v>
      </c>
      <c r="R102" s="47" t="s">
        <v>870</v>
      </c>
      <c r="S102" s="48">
        <f>Q102*S97</f>
        <v>37.80949817761956</v>
      </c>
    </row>
    <row r="103" spans="2:19">
      <c r="B103" s="36" t="s">
        <v>441</v>
      </c>
      <c r="C103" s="40"/>
      <c r="D103" s="58">
        <f>((D100*1*0.2)+(D100*0.2*0.4)+(D100*0.3*0.15))*2</f>
        <v>1.573</v>
      </c>
      <c r="E103" s="40"/>
      <c r="F103" s="58">
        <f>((F100*1*0.2)+(F100*0.2*0.4)+(F100*0.3*0.15))*2</f>
        <v>2.6909999999999998</v>
      </c>
      <c r="G103" s="40"/>
      <c r="H103" s="58">
        <f>((H100*1*0.2)+(H100*0.2*0.4)+(H100*0.3*0.15))*2</f>
        <v>3.8090000000000006</v>
      </c>
      <c r="I103" s="55" t="s">
        <v>870</v>
      </c>
      <c r="J103" s="56"/>
      <c r="K103" s="36" t="s">
        <v>442</v>
      </c>
      <c r="L103" s="59">
        <f>IF(M101=0,0,(M100*2+M101*2))</f>
        <v>4.4399999999999995</v>
      </c>
      <c r="M103" s="60">
        <f>ROUNDUP(L103/3,0)</f>
        <v>2</v>
      </c>
      <c r="N103" s="55" t="s">
        <v>891</v>
      </c>
      <c r="P103" s="36" t="s">
        <v>885</v>
      </c>
      <c r="Q103" s="46">
        <f>(0.15*3*D105)+(0.2*3*D106)+(0.15*3*F105)+(0.2*3*F106)+(0.15*3*H105)+(0.2*3*H106)</f>
        <v>18.3</v>
      </c>
      <c r="R103" s="47" t="s">
        <v>890</v>
      </c>
      <c r="S103" s="48">
        <f>Q103*S97</f>
        <v>36.6</v>
      </c>
    </row>
    <row r="104" spans="2:19">
      <c r="B104" s="36" t="s">
        <v>443</v>
      </c>
      <c r="C104" s="40"/>
      <c r="D104" s="58">
        <f>SUM(D102:D103)</f>
        <v>3.5826208881569221</v>
      </c>
      <c r="E104" s="40"/>
      <c r="F104" s="58">
        <f>SUM(F102:F103)</f>
        <v>6.1180417763138433</v>
      </c>
      <c r="G104" s="40"/>
      <c r="H104" s="58">
        <f>SUM(H102:H103)</f>
        <v>8.6534626644707675</v>
      </c>
      <c r="I104" s="55" t="s">
        <v>870</v>
      </c>
      <c r="J104" s="56"/>
      <c r="K104" s="36" t="s">
        <v>571</v>
      </c>
      <c r="L104" s="43"/>
      <c r="M104" s="60">
        <f>M102*5.04</f>
        <v>0.30743999999999999</v>
      </c>
      <c r="N104" s="55" t="s">
        <v>575</v>
      </c>
      <c r="P104" s="36" t="s">
        <v>349</v>
      </c>
      <c r="Q104" s="61">
        <f>(((D108+F108+H108)*4.99)+((D110+F110+H110)*8.88))/1000</f>
        <v>0.49942764000000001</v>
      </c>
      <c r="R104" s="47" t="s">
        <v>187</v>
      </c>
      <c r="S104" s="48">
        <f>Q104*S97</f>
        <v>0.99885528000000001</v>
      </c>
    </row>
    <row r="105" spans="2:19">
      <c r="B105" s="36" t="s">
        <v>444</v>
      </c>
      <c r="C105" s="62">
        <f>(D101*2+D100)</f>
        <v>8.0599999999999987</v>
      </c>
      <c r="D105" s="58">
        <f>ROUNDUP(C105/3,0)*2</f>
        <v>6</v>
      </c>
      <c r="E105" s="62">
        <f>(F101*2+F100)</f>
        <v>9.7799999999999994</v>
      </c>
      <c r="F105" s="58">
        <f>ROUNDUP(E105/3,0)*2</f>
        <v>8</v>
      </c>
      <c r="G105" s="62">
        <f>(H101*2+H100)</f>
        <v>11.5</v>
      </c>
      <c r="H105" s="58">
        <f>ROUNDUP(G105/3,0)*2</f>
        <v>8</v>
      </c>
      <c r="I105" s="55" t="s">
        <v>891</v>
      </c>
      <c r="J105" s="56"/>
      <c r="K105" s="36" t="s">
        <v>578</v>
      </c>
      <c r="L105" s="43"/>
      <c r="M105" s="60">
        <f>M102*0.62</f>
        <v>3.7819999999999999E-2</v>
      </c>
      <c r="N105" s="55" t="s">
        <v>870</v>
      </c>
      <c r="P105" s="63" t="s">
        <v>886</v>
      </c>
      <c r="Q105" s="61">
        <f>Q103*0.2</f>
        <v>3.66</v>
      </c>
      <c r="R105" s="47" t="s">
        <v>887</v>
      </c>
      <c r="S105" s="48">
        <f>Q105*S97</f>
        <v>7.32</v>
      </c>
    </row>
    <row r="106" spans="2:19">
      <c r="B106" s="36" t="s">
        <v>445</v>
      </c>
      <c r="C106" s="62">
        <f>IF(D100=0,0,D100+3)</f>
        <v>5.42</v>
      </c>
      <c r="D106" s="58">
        <f>ROUNDUP(C106/4,0)*2</f>
        <v>4</v>
      </c>
      <c r="E106" s="62">
        <f>IF(F100=0,0,F100+3)</f>
        <v>7.14</v>
      </c>
      <c r="F106" s="58">
        <f>ROUNDUP(E106/4,0)*2</f>
        <v>4</v>
      </c>
      <c r="G106" s="62">
        <f>IF(H100=0,0,H100+3)</f>
        <v>8.86</v>
      </c>
      <c r="H106" s="58">
        <f>ROUNDUP(G106/4,0)*2</f>
        <v>6</v>
      </c>
      <c r="I106" s="55" t="s">
        <v>891</v>
      </c>
      <c r="J106" s="56"/>
      <c r="K106" s="64" t="s">
        <v>580</v>
      </c>
      <c r="L106" s="65"/>
      <c r="M106" s="66">
        <f>M102*0.97</f>
        <v>5.917E-2</v>
      </c>
      <c r="N106" s="67" t="s">
        <v>870</v>
      </c>
      <c r="P106" s="68" t="s">
        <v>446</v>
      </c>
      <c r="Q106" s="69">
        <f>Q104*20</f>
        <v>9.9885528000000008</v>
      </c>
      <c r="R106" s="70" t="s">
        <v>887</v>
      </c>
      <c r="S106" s="71">
        <f>Q106*S97</f>
        <v>19.977105600000002</v>
      </c>
    </row>
    <row r="107" spans="2:19">
      <c r="B107" s="36" t="s">
        <v>885</v>
      </c>
      <c r="C107" s="62"/>
      <c r="D107" s="58">
        <f>(0.15*3*D105)+(0.2*3*D106)</f>
        <v>5.0999999999999996</v>
      </c>
      <c r="E107" s="62"/>
      <c r="F107" s="58">
        <f>(0.15*3*F105)+(0.2*3*F106)</f>
        <v>6</v>
      </c>
      <c r="G107" s="62"/>
      <c r="H107" s="58">
        <f>(0.15*3*H105)+(0.2*3*H106)</f>
        <v>7.2</v>
      </c>
      <c r="I107" s="55" t="s">
        <v>890</v>
      </c>
      <c r="J107" s="56"/>
      <c r="L107" s="3"/>
      <c r="M107" s="76"/>
      <c r="N107" s="76"/>
      <c r="P107" s="84"/>
      <c r="Q107" s="84"/>
      <c r="S107" s="75"/>
    </row>
    <row r="108" spans="2:19">
      <c r="B108" s="36" t="s">
        <v>447</v>
      </c>
      <c r="C108" s="62">
        <f>(TRUNC(D101/0.25)+2)*D100</f>
        <v>31.46</v>
      </c>
      <c r="D108" s="58">
        <f>SUM(C108:C109)/10*2</f>
        <v>15.687999999999999</v>
      </c>
      <c r="E108" s="62">
        <f>(TRUNC(F101/0.25)+2)*F100</f>
        <v>53.819999999999993</v>
      </c>
      <c r="F108" s="58">
        <f>SUM(E108:E109)/10*2</f>
        <v>27.467999999999996</v>
      </c>
      <c r="G108" s="62">
        <f>(TRUNC(H101/0.25)+2)*H100</f>
        <v>76.180000000000007</v>
      </c>
      <c r="H108" s="58">
        <f>SUM(G108:G109)/10*2</f>
        <v>39.248000000000005</v>
      </c>
      <c r="I108" s="55" t="s">
        <v>448</v>
      </c>
      <c r="J108" s="56"/>
      <c r="P108" s="14"/>
      <c r="Q108" s="14"/>
    </row>
    <row r="109" spans="2:19" hidden="1">
      <c r="B109" s="36"/>
      <c r="C109" s="62">
        <f>(TRUNC(D100/0.25)*(D101+2.4))</f>
        <v>46.98</v>
      </c>
      <c r="D109" s="74"/>
      <c r="E109" s="62">
        <f>(TRUNC(F100/0.25)*(F101+2.4))</f>
        <v>83.52</v>
      </c>
      <c r="F109" s="74"/>
      <c r="G109" s="62">
        <f>(TRUNC(H100/0.25)*(H101+2.4))</f>
        <v>120.05999999999999</v>
      </c>
      <c r="H109" s="74"/>
      <c r="I109" s="55"/>
      <c r="J109" s="56"/>
      <c r="M109" s="75"/>
      <c r="N109" s="76"/>
      <c r="P109" s="14"/>
      <c r="Q109" s="14"/>
    </row>
    <row r="110" spans="2:19">
      <c r="B110" s="36" t="s">
        <v>479</v>
      </c>
      <c r="C110" s="62">
        <f>D100*4</f>
        <v>9.68</v>
      </c>
      <c r="D110" s="58">
        <f>C110/10*2</f>
        <v>1.9359999999999999</v>
      </c>
      <c r="E110" s="62">
        <f>F100*4</f>
        <v>16.559999999999999</v>
      </c>
      <c r="F110" s="58">
        <f>E110/10*2</f>
        <v>3.3119999999999998</v>
      </c>
      <c r="G110" s="62">
        <f>H100*4</f>
        <v>23.44</v>
      </c>
      <c r="H110" s="58">
        <f>G110/10*2</f>
        <v>4.6880000000000006</v>
      </c>
      <c r="I110" s="55" t="s">
        <v>448</v>
      </c>
      <c r="J110" s="56"/>
      <c r="M110" s="75"/>
      <c r="N110" s="76"/>
      <c r="P110" s="14"/>
      <c r="Q110" s="14"/>
    </row>
    <row r="111" spans="2:19">
      <c r="B111" s="36" t="s">
        <v>480</v>
      </c>
      <c r="C111" s="62"/>
      <c r="D111" s="58">
        <f>((D108*4.99)+(D110*8.88))/1000</f>
        <v>9.5474799999999999E-2</v>
      </c>
      <c r="E111" s="62"/>
      <c r="F111" s="58">
        <f>((F108*4.99)+(F110*8.88))/1000</f>
        <v>0.16647587999999999</v>
      </c>
      <c r="G111" s="62"/>
      <c r="H111" s="58">
        <f>((H108*4.99)+(H110*8.88))/1000</f>
        <v>0.23747696000000004</v>
      </c>
      <c r="I111" s="55" t="s">
        <v>187</v>
      </c>
      <c r="J111" s="56"/>
      <c r="M111" s="75"/>
      <c r="N111" s="76"/>
      <c r="P111" s="14"/>
      <c r="Q111" s="14"/>
    </row>
    <row r="112" spans="2:19">
      <c r="B112" s="36" t="s">
        <v>571</v>
      </c>
      <c r="C112" s="40"/>
      <c r="D112" s="58">
        <f>D104*6.72</f>
        <v>24.075212368414515</v>
      </c>
      <c r="E112" s="40"/>
      <c r="F112" s="58">
        <f>F104*6.72</f>
        <v>41.113240736829027</v>
      </c>
      <c r="G112" s="40"/>
      <c r="H112" s="58">
        <f>H104*6.72</f>
        <v>58.151269105243557</v>
      </c>
      <c r="I112" s="55" t="s">
        <v>575</v>
      </c>
      <c r="J112" s="56"/>
      <c r="M112" s="75"/>
      <c r="N112" s="76"/>
      <c r="P112" s="14"/>
    </row>
    <row r="113" spans="2:19">
      <c r="B113" s="36" t="s">
        <v>578</v>
      </c>
      <c r="C113" s="40"/>
      <c r="D113" s="58">
        <f>D104*0.54</f>
        <v>1.934615279604738</v>
      </c>
      <c r="E113" s="40"/>
      <c r="F113" s="58">
        <f>F104*0.54</f>
        <v>3.3037425592094758</v>
      </c>
      <c r="G113" s="40"/>
      <c r="H113" s="58">
        <f>H104*0.54</f>
        <v>4.6728698388142149</v>
      </c>
      <c r="I113" s="55" t="s">
        <v>870</v>
      </c>
      <c r="J113" s="56"/>
      <c r="M113" s="75"/>
      <c r="N113" s="76"/>
    </row>
    <row r="114" spans="2:19">
      <c r="B114" s="64" t="s">
        <v>580</v>
      </c>
      <c r="C114" s="80"/>
      <c r="D114" s="81">
        <f>D104*1.03</f>
        <v>3.6900995148016298</v>
      </c>
      <c r="E114" s="80"/>
      <c r="F114" s="81">
        <f>F104*1.03</f>
        <v>6.3015830296032584</v>
      </c>
      <c r="G114" s="80"/>
      <c r="H114" s="81">
        <f>H104*1.03</f>
        <v>8.9130665444048915</v>
      </c>
      <c r="I114" s="67" t="s">
        <v>870</v>
      </c>
      <c r="J114" s="56"/>
      <c r="M114" s="75"/>
      <c r="N114" s="76"/>
    </row>
    <row r="116" spans="2:19">
      <c r="B116" s="22" t="s">
        <v>562</v>
      </c>
      <c r="C116" s="21"/>
      <c r="D116" s="21"/>
      <c r="E116" s="21"/>
      <c r="F116" s="21"/>
      <c r="G116" s="21"/>
      <c r="H116" s="21"/>
      <c r="I116" s="23"/>
      <c r="J116" s="24"/>
      <c r="K116" s="22" t="s">
        <v>563</v>
      </c>
      <c r="L116" s="21"/>
      <c r="M116" s="21"/>
      <c r="N116" s="17"/>
      <c r="P116" s="22" t="s">
        <v>913</v>
      </c>
      <c r="Q116" s="21"/>
      <c r="R116" s="17"/>
      <c r="S116" s="89">
        <v>2</v>
      </c>
    </row>
    <row r="117" spans="2:19">
      <c r="B117" s="26" t="s">
        <v>570</v>
      </c>
      <c r="C117" s="27"/>
      <c r="D117" s="28">
        <v>1.2</v>
      </c>
      <c r="E117" s="27"/>
      <c r="F117" s="28">
        <f>D117</f>
        <v>1.2</v>
      </c>
      <c r="G117" s="27"/>
      <c r="H117" s="28">
        <f>D117</f>
        <v>1.2</v>
      </c>
      <c r="I117" s="29"/>
      <c r="J117" s="30"/>
      <c r="K117" s="26" t="s">
        <v>570</v>
      </c>
      <c r="L117" s="31"/>
      <c r="M117" s="32">
        <f>D117</f>
        <v>1.2</v>
      </c>
      <c r="N117" s="33"/>
      <c r="P117" s="26" t="s">
        <v>571</v>
      </c>
      <c r="Q117" s="34">
        <f>D123+F123+H123</f>
        <v>22.523805328941535</v>
      </c>
      <c r="R117" s="35" t="s">
        <v>870</v>
      </c>
      <c r="S117" s="36"/>
    </row>
    <row r="118" spans="2:19">
      <c r="B118" s="36" t="s">
        <v>574</v>
      </c>
      <c r="C118" s="40"/>
      <c r="D118" s="86">
        <v>1</v>
      </c>
      <c r="E118" s="41"/>
      <c r="F118" s="86">
        <v>2</v>
      </c>
      <c r="G118" s="41"/>
      <c r="H118" s="86">
        <v>3</v>
      </c>
      <c r="I118" s="42"/>
      <c r="J118" s="30"/>
      <c r="K118" s="36" t="s">
        <v>574</v>
      </c>
      <c r="L118" s="43"/>
      <c r="M118" s="44">
        <v>1</v>
      </c>
      <c r="N118" s="45"/>
      <c r="P118" s="36" t="s">
        <v>571</v>
      </c>
      <c r="Q118" s="46">
        <f>D131+F131+H131</f>
        <v>151.35997181048711</v>
      </c>
      <c r="R118" s="47" t="s">
        <v>575</v>
      </c>
      <c r="S118" s="48">
        <f>Q118*S116</f>
        <v>302.71994362097422</v>
      </c>
    </row>
    <row r="119" spans="2:19">
      <c r="B119" s="36" t="s">
        <v>438</v>
      </c>
      <c r="C119" s="40"/>
      <c r="D119" s="51">
        <f>IF(D118=1,VLOOKUP(D117,'ขนาด ท่อ'!$D$5:$K$13,3),
  IF(D118=2,VLOOKUP(D117,'ขนาด ท่อ'!$D$5:$K$13,5),
  IF(D118=3,VLOOKUP(D117,'ขนาด ท่อ'!$D$5:$K$13,7),0)))</f>
        <v>2.5499999999999998</v>
      </c>
      <c r="E119" s="40"/>
      <c r="F119" s="51">
        <f>IF(F118=1,VLOOKUP(F117,'ขนาด ท่อ'!$D$5:$K$13,3),
  IF(F118=2,VLOOKUP(F117,'ขนาด ท่อ'!$D$5:$K$13,5),
  IF(F118=3,VLOOKUP(F117,'ขนาด ท่อ'!$D$5:$K$13,7),0)))</f>
        <v>4.7</v>
      </c>
      <c r="G119" s="40"/>
      <c r="H119" s="51">
        <f>IF(H118=1,VLOOKUP(H117,'ขนาด ท่อ'!$D$5:$K$13,3),
  IF(H118=2,VLOOKUP(H117,'ขนาด ท่อ'!$D$5:$K$13,5),
  IF(H118=3,VLOOKUP(H117,'ขนาด ท่อ'!$D$5:$K$13,7),0)))</f>
        <v>6.75</v>
      </c>
      <c r="I119" s="42" t="s">
        <v>889</v>
      </c>
      <c r="J119" s="30"/>
      <c r="K119" s="36" t="s">
        <v>438</v>
      </c>
      <c r="L119" s="43"/>
      <c r="M119" s="52">
        <f>IF(M118=1,(M118*(M117+(VLOOKUP(M117,'ขนาด ท่อ'!$D$5:$E$13,2)*2))),
  IF(M118=2,(M118*(M117+(VLOOKUP(M117,'ขนาด ท่อ'!$D$5:$E$13,2)*2))),
  (M118*(M117+(VLOOKUP(M117,'ขนาด ท่อ'!$D$5:$E$13,2)*2)))))</f>
        <v>1.45</v>
      </c>
      <c r="N119" s="42" t="s">
        <v>889</v>
      </c>
      <c r="P119" s="36" t="s">
        <v>571</v>
      </c>
      <c r="Q119" s="46">
        <f>Q118*50/1000</f>
        <v>7.5679985905243559</v>
      </c>
      <c r="R119" s="47" t="s">
        <v>187</v>
      </c>
      <c r="S119" s="48">
        <f>Q119*S116</f>
        <v>15.135997181048712</v>
      </c>
    </row>
    <row r="120" spans="2:19">
      <c r="B120" s="36" t="s">
        <v>577</v>
      </c>
      <c r="C120" s="40"/>
      <c r="D120" s="51">
        <f>IF(D118=1,VLOOKUP(D117,'ขนาด ท่อ'!$D$5:$K$13,4),
  IF(D118=2,VLOOKUP(D117,'ขนาด ท่อ'!$D$5:$K$13,6),
  IF(D118=3,VLOOKUP(D117,'ขนาด ท่อ'!$D$5:$K$13,8),0)))</f>
        <v>3.25</v>
      </c>
      <c r="E120" s="40"/>
      <c r="F120" s="51">
        <f>IF(F118=1,VLOOKUP(F117,'ขนาด ท่อ'!$D$5:$K$13,4),
  IF(F118=2,VLOOKUP(F117,'ขนาด ท่อ'!$D$5:$K$13,6),
  IF(F118=3,VLOOKUP(F117,'ขนาด ท่อ'!$D$5:$K$13,8),0)))</f>
        <v>3.25</v>
      </c>
      <c r="G120" s="40"/>
      <c r="H120" s="51">
        <f>IF(H118=1,VLOOKUP(H117,'ขนาด ท่อ'!$D$5:$K$13,4),
  IF(H118=2,VLOOKUP(H117,'ขนาด ท่อ'!$D$5:$K$13,6),
  IF(H118=3,VLOOKUP(H117,'ขนาด ท่อ'!$D$5:$K$13,8),0)))</f>
        <v>3.25</v>
      </c>
      <c r="I120" s="42" t="s">
        <v>889</v>
      </c>
      <c r="J120" s="30"/>
      <c r="K120" s="36" t="s">
        <v>577</v>
      </c>
      <c r="L120" s="43"/>
      <c r="M120" s="88">
        <v>1</v>
      </c>
      <c r="N120" s="42" t="s">
        <v>889</v>
      </c>
      <c r="P120" s="36" t="s">
        <v>578</v>
      </c>
      <c r="Q120" s="46">
        <f>D132+F132+H132</f>
        <v>12.16285487762843</v>
      </c>
      <c r="R120" s="47" t="s">
        <v>870</v>
      </c>
      <c r="S120" s="48">
        <f>Q120*S116</f>
        <v>24.32570975525686</v>
      </c>
    </row>
    <row r="121" spans="2:19">
      <c r="B121" s="36" t="s">
        <v>579</v>
      </c>
      <c r="C121" s="40"/>
      <c r="D121" s="54">
        <f>((D119*D120)-(PI()*(('ขนาด ท่อ'!$D$5+('ขนาด ท่อ'!$E$5)*2))^2/4*D118))*0.15*2</f>
        <v>2.4485508881569227</v>
      </c>
      <c r="E121" s="40"/>
      <c r="F121" s="54">
        <f>((F119*F120)-(PI()*(('ขนาด ท่อ'!$D$5+('ขนาด ท่อ'!$E$5)*2))^2/4*F118))*0.15*2</f>
        <v>4.5071017763138448</v>
      </c>
      <c r="G121" s="40"/>
      <c r="H121" s="54">
        <f>((H119*H120)-(PI()*(('ขนาด ท่อ'!$D$5+('ขนาด ท่อ'!$E$5)*2))^2/4*H118))*0.15*2</f>
        <v>6.4681526644707672</v>
      </c>
      <c r="I121" s="55" t="s">
        <v>870</v>
      </c>
      <c r="J121" s="56"/>
      <c r="K121" s="36" t="s">
        <v>200</v>
      </c>
      <c r="L121" s="43"/>
      <c r="M121" s="57">
        <f>M119*M120*0.05</f>
        <v>7.2499999999999995E-2</v>
      </c>
      <c r="N121" s="55" t="s">
        <v>870</v>
      </c>
      <c r="P121" s="36" t="s">
        <v>580</v>
      </c>
      <c r="Q121" s="46">
        <f>D133+F133+H133</f>
        <v>23.199519488809784</v>
      </c>
      <c r="R121" s="47" t="s">
        <v>870</v>
      </c>
      <c r="S121" s="48">
        <f>Q121*S116</f>
        <v>46.399038977619568</v>
      </c>
    </row>
    <row r="122" spans="2:19">
      <c r="B122" s="36" t="s">
        <v>441</v>
      </c>
      <c r="C122" s="40"/>
      <c r="D122" s="58">
        <f>((D119*1*0.2)+(D119*0.2*0.4)+(D119*0.3*0.15))*2</f>
        <v>1.6575</v>
      </c>
      <c r="E122" s="40"/>
      <c r="F122" s="58">
        <f>((F119*1*0.2)+(F119*0.2*0.4)+(F119*0.3*0.15))*2</f>
        <v>3.0550000000000002</v>
      </c>
      <c r="G122" s="40"/>
      <c r="H122" s="58">
        <f>((H119*1*0.2)+(H119*0.2*0.4)+(H119*0.3*0.15))*2</f>
        <v>4.3875000000000002</v>
      </c>
      <c r="I122" s="55" t="s">
        <v>870</v>
      </c>
      <c r="J122" s="56"/>
      <c r="K122" s="36" t="s">
        <v>442</v>
      </c>
      <c r="L122" s="59">
        <f>IF(M120=0,0,(M119*2+M120*2))</f>
        <v>4.9000000000000004</v>
      </c>
      <c r="M122" s="60">
        <f>ROUNDUP(L122/3,0)</f>
        <v>2</v>
      </c>
      <c r="N122" s="55" t="s">
        <v>891</v>
      </c>
      <c r="P122" s="36" t="s">
        <v>885</v>
      </c>
      <c r="Q122" s="46">
        <f>(0.15*3*D124)+(0.2*3*D125)+(0.15*3*F124)+(0.2*3*F125)+(0.15*3*H124)+(0.2*3*H125)</f>
        <v>20.100000000000001</v>
      </c>
      <c r="R122" s="47" t="s">
        <v>890</v>
      </c>
      <c r="S122" s="48">
        <f>Q122*S116</f>
        <v>40.200000000000003</v>
      </c>
    </row>
    <row r="123" spans="2:19">
      <c r="B123" s="36" t="s">
        <v>443</v>
      </c>
      <c r="C123" s="40"/>
      <c r="D123" s="58">
        <f>SUM(D121:D122)</f>
        <v>4.1060508881569229</v>
      </c>
      <c r="E123" s="40"/>
      <c r="F123" s="58">
        <f>SUM(F121:F122)</f>
        <v>7.5621017763138454</v>
      </c>
      <c r="G123" s="40"/>
      <c r="H123" s="58">
        <f>SUM(H121:H122)</f>
        <v>10.855652664470767</v>
      </c>
      <c r="I123" s="55" t="s">
        <v>870</v>
      </c>
      <c r="J123" s="56"/>
      <c r="K123" s="36" t="s">
        <v>571</v>
      </c>
      <c r="L123" s="43"/>
      <c r="M123" s="60">
        <f>M121*5.04</f>
        <v>0.3654</v>
      </c>
      <c r="N123" s="55" t="s">
        <v>575</v>
      </c>
      <c r="P123" s="36" t="s">
        <v>349</v>
      </c>
      <c r="Q123" s="61">
        <f>(((D127+F127+H127)*4.99)+((D129+F129+H129)*8.88))/1000</f>
        <v>0.61916450000000012</v>
      </c>
      <c r="R123" s="47" t="s">
        <v>187</v>
      </c>
      <c r="S123" s="48">
        <f>Q123*S116</f>
        <v>1.2383290000000002</v>
      </c>
    </row>
    <row r="124" spans="2:19">
      <c r="B124" s="36" t="s">
        <v>444</v>
      </c>
      <c r="C124" s="62">
        <f>(D120*2+D119)</f>
        <v>9.0500000000000007</v>
      </c>
      <c r="D124" s="58">
        <f>ROUNDUP(C124/3,0)*2</f>
        <v>8</v>
      </c>
      <c r="E124" s="62">
        <f>(F120*2+F119)</f>
        <v>11.2</v>
      </c>
      <c r="F124" s="58">
        <f>ROUNDUP(E124/3,0)*2</f>
        <v>8</v>
      </c>
      <c r="G124" s="62">
        <f>(H120*2+H119)</f>
        <v>13.25</v>
      </c>
      <c r="H124" s="58">
        <f>ROUNDUP(G124/3,0)*2</f>
        <v>10</v>
      </c>
      <c r="I124" s="55" t="s">
        <v>891</v>
      </c>
      <c r="J124" s="56"/>
      <c r="K124" s="36" t="s">
        <v>578</v>
      </c>
      <c r="L124" s="43"/>
      <c r="M124" s="60">
        <f>M121*0.62</f>
        <v>4.4949999999999997E-2</v>
      </c>
      <c r="N124" s="55" t="s">
        <v>870</v>
      </c>
      <c r="P124" s="63" t="s">
        <v>886</v>
      </c>
      <c r="Q124" s="61">
        <f>Q122*0.2</f>
        <v>4.0200000000000005</v>
      </c>
      <c r="R124" s="47" t="s">
        <v>887</v>
      </c>
      <c r="S124" s="48">
        <f>Q124*S116</f>
        <v>8.0400000000000009</v>
      </c>
    </row>
    <row r="125" spans="2:19">
      <c r="B125" s="36" t="s">
        <v>445</v>
      </c>
      <c r="C125" s="62">
        <f>IF(D119=0,0,D119+3)</f>
        <v>5.55</v>
      </c>
      <c r="D125" s="58">
        <f>ROUNDUP(C125/4,0)*2</f>
        <v>4</v>
      </c>
      <c r="E125" s="62">
        <f>IF(F119=0,0,F119+3)</f>
        <v>7.7</v>
      </c>
      <c r="F125" s="58">
        <f>ROUNDUP(E125/4,0)*2</f>
        <v>4</v>
      </c>
      <c r="G125" s="62">
        <f>IF(H119=0,0,H119+3)</f>
        <v>9.75</v>
      </c>
      <c r="H125" s="58">
        <f>ROUNDUP(G125/4,0)*2</f>
        <v>6</v>
      </c>
      <c r="I125" s="55" t="s">
        <v>891</v>
      </c>
      <c r="J125" s="56"/>
      <c r="K125" s="64" t="s">
        <v>580</v>
      </c>
      <c r="L125" s="65"/>
      <c r="M125" s="66">
        <f>M121*0.97</f>
        <v>7.0324999999999999E-2</v>
      </c>
      <c r="N125" s="67" t="s">
        <v>870</v>
      </c>
      <c r="P125" s="68" t="s">
        <v>446</v>
      </c>
      <c r="Q125" s="69">
        <f>Q123*20</f>
        <v>12.383290000000002</v>
      </c>
      <c r="R125" s="70" t="s">
        <v>887</v>
      </c>
      <c r="S125" s="71">
        <f>Q125*S116</f>
        <v>24.766580000000005</v>
      </c>
    </row>
    <row r="126" spans="2:19">
      <c r="B126" s="36" t="s">
        <v>885</v>
      </c>
      <c r="C126" s="62"/>
      <c r="D126" s="58">
        <f>(0.15*3*D124)+(0.2*3*D125)</f>
        <v>6</v>
      </c>
      <c r="E126" s="62"/>
      <c r="F126" s="58">
        <f>(0.15*3*F124)+(0.2*3*F125)</f>
        <v>6</v>
      </c>
      <c r="G126" s="62"/>
      <c r="H126" s="58">
        <f>(0.15*3*H124)+(0.2*3*H125)</f>
        <v>8.1000000000000014</v>
      </c>
      <c r="I126" s="55" t="s">
        <v>890</v>
      </c>
      <c r="J126" s="56"/>
      <c r="L126" s="3"/>
      <c r="M126" s="76"/>
      <c r="N126" s="76"/>
      <c r="P126" s="84"/>
      <c r="Q126" s="84"/>
      <c r="S126" s="75"/>
    </row>
    <row r="127" spans="2:19">
      <c r="B127" s="36" t="s">
        <v>447</v>
      </c>
      <c r="C127" s="62">
        <f>(TRUNC(D120/0.25)+2)*D119</f>
        <v>38.25</v>
      </c>
      <c r="D127" s="58">
        <f>SUM(C127:C128)/10*2</f>
        <v>18.95</v>
      </c>
      <c r="E127" s="62">
        <f>(TRUNC(F120/0.25)+2)*F119</f>
        <v>70.5</v>
      </c>
      <c r="F127" s="58">
        <f>SUM(E127:E128)/10*2</f>
        <v>34.44</v>
      </c>
      <c r="G127" s="62">
        <f>(TRUNC(H120/0.25)+2)*H119</f>
        <v>101.25</v>
      </c>
      <c r="H127" s="58">
        <f>SUM(G127:G128)/10*2</f>
        <v>50.760000000000005</v>
      </c>
      <c r="I127" s="55" t="s">
        <v>448</v>
      </c>
      <c r="J127" s="56"/>
      <c r="P127" s="14"/>
      <c r="Q127" s="14"/>
    </row>
    <row r="128" spans="2:19" hidden="1">
      <c r="B128" s="36"/>
      <c r="C128" s="62">
        <f>(TRUNC(D119/0.25)*(D120+2.4))</f>
        <v>56.5</v>
      </c>
      <c r="D128" s="74"/>
      <c r="E128" s="62">
        <f>(TRUNC(F119/0.25)*(F120+2.4))</f>
        <v>101.7</v>
      </c>
      <c r="F128" s="74"/>
      <c r="G128" s="62">
        <f>(TRUNC(H119/0.25)*(H120+2.4))</f>
        <v>152.55000000000001</v>
      </c>
      <c r="H128" s="74"/>
      <c r="I128" s="55"/>
      <c r="J128" s="56"/>
      <c r="M128" s="75"/>
      <c r="N128" s="76"/>
      <c r="P128" s="14"/>
      <c r="Q128" s="14"/>
    </row>
    <row r="129" spans="2:19">
      <c r="B129" s="36" t="s">
        <v>479</v>
      </c>
      <c r="C129" s="62">
        <f>D119*4</f>
        <v>10.199999999999999</v>
      </c>
      <c r="D129" s="58">
        <f>C129/10*2</f>
        <v>2.04</v>
      </c>
      <c r="E129" s="62">
        <f>F119*4</f>
        <v>18.8</v>
      </c>
      <c r="F129" s="58">
        <f>E129/10*2</f>
        <v>3.7600000000000002</v>
      </c>
      <c r="G129" s="62">
        <f>H119*4</f>
        <v>27</v>
      </c>
      <c r="H129" s="58">
        <f>G129/10*2</f>
        <v>5.4</v>
      </c>
      <c r="I129" s="55" t="s">
        <v>448</v>
      </c>
      <c r="J129" s="56"/>
      <c r="M129" s="75"/>
      <c r="N129" s="76"/>
      <c r="P129" s="14"/>
      <c r="Q129" s="14"/>
    </row>
    <row r="130" spans="2:19">
      <c r="B130" s="36" t="s">
        <v>480</v>
      </c>
      <c r="C130" s="62"/>
      <c r="D130" s="58">
        <f>((D127*4.99)+(D129*8.88))/1000</f>
        <v>0.1126757</v>
      </c>
      <c r="E130" s="62"/>
      <c r="F130" s="58">
        <f>((F127*4.99)+(F129*8.88))/1000</f>
        <v>0.20524440000000002</v>
      </c>
      <c r="G130" s="62"/>
      <c r="H130" s="58">
        <f>((H127*4.99)+(H129*8.88))/1000</f>
        <v>0.30124440000000002</v>
      </c>
      <c r="I130" s="55" t="s">
        <v>187</v>
      </c>
      <c r="J130" s="56"/>
      <c r="M130" s="75"/>
      <c r="N130" s="76"/>
      <c r="P130" s="14"/>
      <c r="Q130" s="14"/>
    </row>
    <row r="131" spans="2:19">
      <c r="B131" s="36" t="s">
        <v>571</v>
      </c>
      <c r="C131" s="40"/>
      <c r="D131" s="58">
        <f>D123*6.72</f>
        <v>27.592661968414522</v>
      </c>
      <c r="E131" s="40"/>
      <c r="F131" s="58">
        <f>F123*6.72</f>
        <v>50.817323936829041</v>
      </c>
      <c r="G131" s="40"/>
      <c r="H131" s="58">
        <f>H123*6.72</f>
        <v>72.949985905243551</v>
      </c>
      <c r="I131" s="55" t="s">
        <v>575</v>
      </c>
      <c r="J131" s="56"/>
      <c r="M131" s="75"/>
      <c r="N131" s="76"/>
      <c r="P131" s="14"/>
    </row>
    <row r="132" spans="2:19">
      <c r="B132" s="36" t="s">
        <v>578</v>
      </c>
      <c r="C132" s="40"/>
      <c r="D132" s="58">
        <f>D123*0.54</f>
        <v>2.2172674796047387</v>
      </c>
      <c r="E132" s="40"/>
      <c r="F132" s="58">
        <f>F123*0.54</f>
        <v>4.0835349592094765</v>
      </c>
      <c r="G132" s="40"/>
      <c r="H132" s="58">
        <f>H123*0.54</f>
        <v>5.8620524388142146</v>
      </c>
      <c r="I132" s="55" t="s">
        <v>870</v>
      </c>
      <c r="J132" s="56"/>
      <c r="M132" s="75"/>
      <c r="N132" s="76"/>
    </row>
    <row r="133" spans="2:19">
      <c r="B133" s="64" t="s">
        <v>580</v>
      </c>
      <c r="C133" s="80"/>
      <c r="D133" s="81">
        <f>D123*1.03</f>
        <v>4.2292324148016309</v>
      </c>
      <c r="E133" s="80"/>
      <c r="F133" s="81">
        <f>F123*1.03</f>
        <v>7.7889648296032608</v>
      </c>
      <c r="G133" s="80"/>
      <c r="H133" s="81">
        <f>H123*1.03</f>
        <v>11.181322244404891</v>
      </c>
      <c r="I133" s="67" t="s">
        <v>870</v>
      </c>
      <c r="J133" s="56"/>
      <c r="M133" s="75"/>
      <c r="N133" s="76"/>
    </row>
    <row r="135" spans="2:19">
      <c r="B135" s="22" t="s">
        <v>562</v>
      </c>
      <c r="C135" s="21"/>
      <c r="D135" s="21"/>
      <c r="E135" s="21"/>
      <c r="F135" s="21"/>
      <c r="G135" s="21"/>
      <c r="H135" s="21"/>
      <c r="I135" s="23"/>
      <c r="J135" s="24"/>
      <c r="K135" s="22" t="s">
        <v>563</v>
      </c>
      <c r="L135" s="21"/>
      <c r="M135" s="21"/>
      <c r="N135" s="17"/>
      <c r="P135" s="22" t="s">
        <v>913</v>
      </c>
      <c r="Q135" s="21"/>
      <c r="R135" s="17"/>
      <c r="S135" s="89">
        <v>2</v>
      </c>
    </row>
    <row r="136" spans="2:19">
      <c r="B136" s="26" t="s">
        <v>570</v>
      </c>
      <c r="C136" s="27"/>
      <c r="D136" s="28">
        <v>1.35</v>
      </c>
      <c r="E136" s="27"/>
      <c r="F136" s="28">
        <f>D136</f>
        <v>1.35</v>
      </c>
      <c r="G136" s="27"/>
      <c r="H136" s="28">
        <f>D136</f>
        <v>1.35</v>
      </c>
      <c r="I136" s="29"/>
      <c r="J136" s="30"/>
      <c r="K136" s="26" t="s">
        <v>570</v>
      </c>
      <c r="L136" s="31"/>
      <c r="M136" s="32">
        <f>D136</f>
        <v>1.35</v>
      </c>
      <c r="N136" s="33"/>
      <c r="P136" s="26" t="s">
        <v>571</v>
      </c>
      <c r="Q136" s="34">
        <f>D142+F142+H142</f>
        <v>26.323405328941536</v>
      </c>
      <c r="R136" s="35" t="s">
        <v>870</v>
      </c>
      <c r="S136" s="36"/>
    </row>
    <row r="137" spans="2:19">
      <c r="B137" s="36" t="s">
        <v>574</v>
      </c>
      <c r="C137" s="40"/>
      <c r="D137" s="86">
        <v>1</v>
      </c>
      <c r="E137" s="41"/>
      <c r="F137" s="86">
        <v>2</v>
      </c>
      <c r="G137" s="41"/>
      <c r="H137" s="86">
        <v>3</v>
      </c>
      <c r="I137" s="42"/>
      <c r="J137" s="30"/>
      <c r="K137" s="36" t="s">
        <v>574</v>
      </c>
      <c r="L137" s="43"/>
      <c r="M137" s="44">
        <v>1</v>
      </c>
      <c r="N137" s="45"/>
      <c r="P137" s="36" t="s">
        <v>571</v>
      </c>
      <c r="Q137" s="46">
        <f>D150+F150+H150</f>
        <v>176.89328381048711</v>
      </c>
      <c r="R137" s="47" t="s">
        <v>575</v>
      </c>
      <c r="S137" s="48">
        <f>Q137*S135</f>
        <v>353.78656762097421</v>
      </c>
    </row>
    <row r="138" spans="2:19">
      <c r="B138" s="36" t="s">
        <v>438</v>
      </c>
      <c r="C138" s="40"/>
      <c r="D138" s="51">
        <f>IF(D137=1,VLOOKUP(D136,'ขนาด ท่อ'!$D$5:$K$13,3),
  IF(D137=2,VLOOKUP(D136,'ขนาด ท่อ'!$D$5:$K$13,5),
  IF(D137=3,VLOOKUP(D136,'ขนาด ท่อ'!$D$5:$K$13,7),0)))</f>
        <v>2.83</v>
      </c>
      <c r="E138" s="40"/>
      <c r="F138" s="51">
        <f>IF(F137=1,VLOOKUP(F136,'ขนาด ท่อ'!$D$5:$K$13,3),
  IF(F137=2,VLOOKUP(F136,'ขนาด ท่อ'!$D$5:$K$13,5),
  IF(F137=3,VLOOKUP(F136,'ขนาด ท่อ'!$D$5:$K$13,7),0)))</f>
        <v>5.13</v>
      </c>
      <c r="G138" s="40"/>
      <c r="H138" s="51">
        <f>IF(H137=1,VLOOKUP(H136,'ขนาด ท่อ'!$D$5:$K$13,3),
  IF(H137=2,VLOOKUP(H136,'ขนาด ท่อ'!$D$5:$K$13,5),
  IF(H137=3,VLOOKUP(H136,'ขนาด ท่อ'!$D$5:$K$13,7),0)))</f>
        <v>7.44</v>
      </c>
      <c r="I138" s="42" t="s">
        <v>889</v>
      </c>
      <c r="J138" s="30"/>
      <c r="K138" s="36" t="s">
        <v>438</v>
      </c>
      <c r="L138" s="43"/>
      <c r="M138" s="52">
        <f>IF(M137=1,(M137*(M136+(VLOOKUP(M136,'ขนาด ท่อ'!$D$5:$E$13,2)*2))),
  IF(M137=2,(M137*(M136+(VLOOKUP(M136,'ขนาด ท่อ'!$D$5:$E$13,2)*2))),
  (M137*(M136+(VLOOKUP(M136,'ขนาด ท่อ'!$D$5:$E$13,2)*2)))))</f>
        <v>1.6300000000000001</v>
      </c>
      <c r="N138" s="42" t="s">
        <v>889</v>
      </c>
      <c r="P138" s="36" t="s">
        <v>571</v>
      </c>
      <c r="Q138" s="46">
        <f>Q137*50/1000</f>
        <v>8.8446641905243553</v>
      </c>
      <c r="R138" s="47" t="s">
        <v>187</v>
      </c>
      <c r="S138" s="48">
        <f>Q138*S135</f>
        <v>17.689328381048711</v>
      </c>
    </row>
    <row r="139" spans="2:19">
      <c r="B139" s="36" t="s">
        <v>577</v>
      </c>
      <c r="C139" s="40"/>
      <c r="D139" s="51">
        <f>IF(D137=1,VLOOKUP(D136,'ขนาด ท่อ'!$D$5:$K$13,4),
  IF(D137=2,VLOOKUP(D136,'ขนาด ท่อ'!$D$5:$K$13,6),
  IF(D137=3,VLOOKUP(D136,'ขนาด ท่อ'!$D$5:$K$13,8),0)))</f>
        <v>3.58</v>
      </c>
      <c r="E139" s="40"/>
      <c r="F139" s="51">
        <f>IF(F137=1,VLOOKUP(F136,'ขนาด ท่อ'!$D$5:$K$13,4),
  IF(F137=2,VLOOKUP(F136,'ขนาด ท่อ'!$D$5:$K$13,6),
  IF(F137=3,VLOOKUP(F136,'ขนาด ท่อ'!$D$5:$K$13,8),0)))</f>
        <v>3.58</v>
      </c>
      <c r="G139" s="40"/>
      <c r="H139" s="51">
        <f>IF(H137=1,VLOOKUP(H136,'ขนาด ท่อ'!$D$5:$K$13,4),
  IF(H137=2,VLOOKUP(H136,'ขนาด ท่อ'!$D$5:$K$13,6),
  IF(H137=3,VLOOKUP(H136,'ขนาด ท่อ'!$D$5:$K$13,8),0)))</f>
        <v>3.58</v>
      </c>
      <c r="I139" s="42" t="s">
        <v>889</v>
      </c>
      <c r="J139" s="30"/>
      <c r="K139" s="36" t="s">
        <v>577</v>
      </c>
      <c r="L139" s="43"/>
      <c r="M139" s="88">
        <v>1</v>
      </c>
      <c r="N139" s="42" t="s">
        <v>889</v>
      </c>
      <c r="P139" s="36" t="s">
        <v>578</v>
      </c>
      <c r="Q139" s="46">
        <f>D151+F151+H151</f>
        <v>14.214638877628431</v>
      </c>
      <c r="R139" s="47" t="s">
        <v>870</v>
      </c>
      <c r="S139" s="48">
        <f>Q139*S135</f>
        <v>28.429277755256862</v>
      </c>
    </row>
    <row r="140" spans="2:19">
      <c r="B140" s="36" t="s">
        <v>579</v>
      </c>
      <c r="C140" s="40"/>
      <c r="D140" s="54">
        <f>((D138*D139)-(PI()*(('ขนาด ท่อ'!$D$5+('ขนาด ท่อ'!$E$5)*2))^2/4*D137))*0.15*2</f>
        <v>3.0017208881569228</v>
      </c>
      <c r="E140" s="40"/>
      <c r="F140" s="54">
        <f>((F138*F139)-(PI()*(('ขนาด ท่อ'!$D$5+('ขนาด ท่อ'!$E$5)*2))^2/4*F137))*0.15*2</f>
        <v>5.4342217763138452</v>
      </c>
      <c r="G140" s="40"/>
      <c r="H140" s="54">
        <f>((H138*H139)-(PI()*(('ขนาด ท่อ'!$D$5+('ขนาด ท่อ'!$E$5)*2))^2/4*H137))*0.15*2</f>
        <v>7.8774626644707668</v>
      </c>
      <c r="I140" s="55" t="s">
        <v>870</v>
      </c>
      <c r="J140" s="56"/>
      <c r="K140" s="36" t="s">
        <v>200</v>
      </c>
      <c r="L140" s="43"/>
      <c r="M140" s="57">
        <f>M138*M139*0.05</f>
        <v>8.1500000000000017E-2</v>
      </c>
      <c r="N140" s="55" t="s">
        <v>870</v>
      </c>
      <c r="P140" s="36" t="s">
        <v>580</v>
      </c>
      <c r="Q140" s="46">
        <f>D152+F152+H152</f>
        <v>27.113107488809781</v>
      </c>
      <c r="R140" s="47" t="s">
        <v>870</v>
      </c>
      <c r="S140" s="48">
        <f>Q140*S135</f>
        <v>54.226214977619563</v>
      </c>
    </row>
    <row r="141" spans="2:19">
      <c r="B141" s="36" t="s">
        <v>441</v>
      </c>
      <c r="C141" s="40"/>
      <c r="D141" s="58">
        <f>((D138*1*0.2)+(D138*0.2*0.4)+(D138*0.3*0.15))*2</f>
        <v>1.8395000000000001</v>
      </c>
      <c r="E141" s="40"/>
      <c r="F141" s="58">
        <f>((F138*1*0.2)+(F138*0.2*0.4)+(F138*0.3*0.15))*2</f>
        <v>3.3345000000000002</v>
      </c>
      <c r="G141" s="40"/>
      <c r="H141" s="58">
        <f>((H138*1*0.2)+(H138*0.2*0.4)+(H138*0.3*0.15))*2</f>
        <v>4.8360000000000003</v>
      </c>
      <c r="I141" s="55" t="s">
        <v>870</v>
      </c>
      <c r="J141" s="56"/>
      <c r="K141" s="36" t="s">
        <v>442</v>
      </c>
      <c r="L141" s="59">
        <f>IF(M139=0,0,(M138*2+M139*2))</f>
        <v>5.26</v>
      </c>
      <c r="M141" s="60">
        <f>ROUNDUP(L141/3,0)</f>
        <v>2</v>
      </c>
      <c r="N141" s="55" t="s">
        <v>891</v>
      </c>
      <c r="P141" s="36" t="s">
        <v>885</v>
      </c>
      <c r="Q141" s="46">
        <f>(0.15*3*D143)+(0.2*3*D144)+(0.15*3*F143)+(0.2*3*F144)+(0.15*3*H143)+(0.2*3*H144)</f>
        <v>22.200000000000003</v>
      </c>
      <c r="R141" s="47" t="s">
        <v>890</v>
      </c>
      <c r="S141" s="48">
        <f>Q141*S135</f>
        <v>44.400000000000006</v>
      </c>
    </row>
    <row r="142" spans="2:19">
      <c r="B142" s="36" t="s">
        <v>443</v>
      </c>
      <c r="C142" s="40"/>
      <c r="D142" s="58">
        <f>SUM(D140:D141)</f>
        <v>4.841220888156923</v>
      </c>
      <c r="E142" s="40"/>
      <c r="F142" s="58">
        <f>SUM(F140:F141)</f>
        <v>8.7687217763138463</v>
      </c>
      <c r="G142" s="40"/>
      <c r="H142" s="58">
        <f>SUM(H140:H141)</f>
        <v>12.713462664470768</v>
      </c>
      <c r="I142" s="55" t="s">
        <v>870</v>
      </c>
      <c r="J142" s="56"/>
      <c r="K142" s="36" t="s">
        <v>571</v>
      </c>
      <c r="L142" s="43"/>
      <c r="M142" s="60">
        <f>M140*5.04</f>
        <v>0.41076000000000007</v>
      </c>
      <c r="N142" s="55" t="s">
        <v>575</v>
      </c>
      <c r="P142" s="36" t="s">
        <v>349</v>
      </c>
      <c r="Q142" s="61">
        <f>(((D146+F146+H146)*4.99)+((D148+F148+H148)*8.88))/1000</f>
        <v>0.71339120000000011</v>
      </c>
      <c r="R142" s="47" t="s">
        <v>187</v>
      </c>
      <c r="S142" s="48">
        <f>Q142*S135</f>
        <v>1.4267824000000002</v>
      </c>
    </row>
    <row r="143" spans="2:19">
      <c r="B143" s="36" t="s">
        <v>444</v>
      </c>
      <c r="C143" s="62">
        <f>(D139*2+D138)</f>
        <v>9.99</v>
      </c>
      <c r="D143" s="58">
        <f>ROUNDUP(C143/3,0)*2</f>
        <v>8</v>
      </c>
      <c r="E143" s="62">
        <f>(F139*2+F138)</f>
        <v>12.29</v>
      </c>
      <c r="F143" s="58">
        <f>ROUNDUP(E143/3,0)*2</f>
        <v>10</v>
      </c>
      <c r="G143" s="62">
        <f>(H139*2+H138)</f>
        <v>14.600000000000001</v>
      </c>
      <c r="H143" s="58">
        <f>ROUNDUP(G143/3,0)*2</f>
        <v>10</v>
      </c>
      <c r="I143" s="55" t="s">
        <v>891</v>
      </c>
      <c r="J143" s="56"/>
      <c r="K143" s="36" t="s">
        <v>578</v>
      </c>
      <c r="L143" s="43"/>
      <c r="M143" s="60">
        <f>M140*0.62</f>
        <v>5.0530000000000012E-2</v>
      </c>
      <c r="N143" s="55" t="s">
        <v>870</v>
      </c>
      <c r="P143" s="63" t="s">
        <v>886</v>
      </c>
      <c r="Q143" s="61">
        <f>Q141*0.2</f>
        <v>4.4400000000000004</v>
      </c>
      <c r="R143" s="47" t="s">
        <v>887</v>
      </c>
      <c r="S143" s="48">
        <f>Q143*S135</f>
        <v>8.8800000000000008</v>
      </c>
    </row>
    <row r="144" spans="2:19">
      <c r="B144" s="36" t="s">
        <v>445</v>
      </c>
      <c r="C144" s="62">
        <f>IF(D138=0,0,D138+3)</f>
        <v>5.83</v>
      </c>
      <c r="D144" s="58">
        <f>ROUNDUP(C144/4,0)*2</f>
        <v>4</v>
      </c>
      <c r="E144" s="62">
        <f>IF(F138=0,0,F138+3)</f>
        <v>8.129999999999999</v>
      </c>
      <c r="F144" s="58">
        <f>ROUNDUP(E144/4,0)*2</f>
        <v>6</v>
      </c>
      <c r="G144" s="62">
        <f>IF(H138=0,0,H138+3)</f>
        <v>10.440000000000001</v>
      </c>
      <c r="H144" s="58">
        <f>ROUNDUP(G144/4,0)*2</f>
        <v>6</v>
      </c>
      <c r="I144" s="55" t="s">
        <v>891</v>
      </c>
      <c r="J144" s="56"/>
      <c r="K144" s="64" t="s">
        <v>580</v>
      </c>
      <c r="L144" s="65"/>
      <c r="M144" s="66">
        <f>M140*0.97</f>
        <v>7.9055000000000014E-2</v>
      </c>
      <c r="N144" s="67" t="s">
        <v>870</v>
      </c>
      <c r="P144" s="68" t="s">
        <v>446</v>
      </c>
      <c r="Q144" s="69">
        <f>Q142*20</f>
        <v>14.267824000000003</v>
      </c>
      <c r="R144" s="70" t="s">
        <v>887</v>
      </c>
      <c r="S144" s="71">
        <f>Q144*S135</f>
        <v>28.535648000000005</v>
      </c>
    </row>
    <row r="145" spans="2:19">
      <c r="B145" s="36" t="s">
        <v>885</v>
      </c>
      <c r="C145" s="62"/>
      <c r="D145" s="58">
        <f>(0.15*3*D143)+(0.2*3*D144)</f>
        <v>6</v>
      </c>
      <c r="E145" s="62"/>
      <c r="F145" s="58">
        <f>(0.15*3*F143)+(0.2*3*F144)</f>
        <v>8.1000000000000014</v>
      </c>
      <c r="G145" s="62"/>
      <c r="H145" s="58">
        <f>(0.15*3*H143)+(0.2*3*H144)</f>
        <v>8.1000000000000014</v>
      </c>
      <c r="I145" s="55" t="s">
        <v>890</v>
      </c>
      <c r="J145" s="56"/>
      <c r="L145" s="3"/>
      <c r="M145" s="76"/>
      <c r="N145" s="76"/>
      <c r="P145" s="84"/>
      <c r="Q145" s="84"/>
      <c r="S145" s="75"/>
    </row>
    <row r="146" spans="2:19">
      <c r="B146" s="36" t="s">
        <v>447</v>
      </c>
      <c r="C146" s="62">
        <f>(TRUNC(D139/0.25)+2)*D138</f>
        <v>45.28</v>
      </c>
      <c r="D146" s="58">
        <f>SUM(C146:C147)/10*2</f>
        <v>22.212</v>
      </c>
      <c r="E146" s="62">
        <f>(TRUNC(F139/0.25)+2)*F138</f>
        <v>82.08</v>
      </c>
      <c r="F146" s="58">
        <f>SUM(E146:E147)/10*2</f>
        <v>40.335999999999999</v>
      </c>
      <c r="G146" s="62">
        <f>(TRUNC(H139/0.25)+2)*H138</f>
        <v>119.04</v>
      </c>
      <c r="H146" s="58">
        <f>SUM(G146:G147)/10*2</f>
        <v>58.492000000000004</v>
      </c>
      <c r="I146" s="55" t="s">
        <v>448</v>
      </c>
      <c r="J146" s="56"/>
      <c r="P146" s="14"/>
      <c r="Q146" s="14"/>
    </row>
    <row r="147" spans="2:19" hidden="1">
      <c r="B147" s="36"/>
      <c r="C147" s="62">
        <f>(TRUNC(D138/0.25)*(D139+2.4))</f>
        <v>65.78</v>
      </c>
      <c r="D147" s="74"/>
      <c r="E147" s="62">
        <f>(TRUNC(F138/0.25)*(F139+2.4))</f>
        <v>119.60000000000001</v>
      </c>
      <c r="F147" s="74"/>
      <c r="G147" s="62">
        <f>(TRUNC(H138/0.25)*(H139+2.4))</f>
        <v>173.42000000000002</v>
      </c>
      <c r="H147" s="74"/>
      <c r="I147" s="55"/>
      <c r="J147" s="56"/>
      <c r="M147" s="75"/>
      <c r="N147" s="76"/>
      <c r="P147" s="14"/>
      <c r="Q147" s="14"/>
    </row>
    <row r="148" spans="2:19">
      <c r="B148" s="36" t="s">
        <v>479</v>
      </c>
      <c r="C148" s="62">
        <f>D138*4</f>
        <v>11.32</v>
      </c>
      <c r="D148" s="58">
        <f>C148/10*2</f>
        <v>2.2640000000000002</v>
      </c>
      <c r="E148" s="62">
        <f>F138*4</f>
        <v>20.52</v>
      </c>
      <c r="F148" s="58">
        <f>E148/10*2</f>
        <v>4.1040000000000001</v>
      </c>
      <c r="G148" s="62">
        <f>H138*4</f>
        <v>29.76</v>
      </c>
      <c r="H148" s="58">
        <f>G148/10*2</f>
        <v>5.952</v>
      </c>
      <c r="I148" s="55" t="s">
        <v>448</v>
      </c>
      <c r="J148" s="56"/>
      <c r="M148" s="75"/>
      <c r="N148" s="76"/>
      <c r="P148" s="14"/>
      <c r="Q148" s="14"/>
    </row>
    <row r="149" spans="2:19">
      <c r="B149" s="36" t="s">
        <v>480</v>
      </c>
      <c r="C149" s="62"/>
      <c r="D149" s="58">
        <f>((D146*4.99)+(D148*8.88))/1000</f>
        <v>0.13094220000000001</v>
      </c>
      <c r="E149" s="62"/>
      <c r="F149" s="58">
        <f>((F146*4.99)+(F148*8.88))/1000</f>
        <v>0.23772016000000001</v>
      </c>
      <c r="G149" s="62"/>
      <c r="H149" s="58">
        <f>((H146*4.99)+(H148*8.88))/1000</f>
        <v>0.34472884000000004</v>
      </c>
      <c r="I149" s="55" t="s">
        <v>187</v>
      </c>
      <c r="J149" s="56"/>
      <c r="M149" s="75"/>
      <c r="N149" s="76"/>
      <c r="P149" s="14"/>
      <c r="Q149" s="14"/>
    </row>
    <row r="150" spans="2:19">
      <c r="B150" s="36" t="s">
        <v>571</v>
      </c>
      <c r="C150" s="40"/>
      <c r="D150" s="58">
        <f>D142*6.72</f>
        <v>32.533004368414524</v>
      </c>
      <c r="E150" s="40"/>
      <c r="F150" s="58">
        <f>F142*6.72</f>
        <v>58.925810336829045</v>
      </c>
      <c r="G150" s="40"/>
      <c r="H150" s="58">
        <f>H142*6.72</f>
        <v>85.434469105243551</v>
      </c>
      <c r="I150" s="55" t="s">
        <v>575</v>
      </c>
      <c r="J150" s="56"/>
      <c r="M150" s="75"/>
      <c r="N150" s="76"/>
      <c r="P150" s="14"/>
    </row>
    <row r="151" spans="2:19">
      <c r="B151" s="36" t="s">
        <v>578</v>
      </c>
      <c r="C151" s="40"/>
      <c r="D151" s="58">
        <f>D142*0.54</f>
        <v>2.6142592796047386</v>
      </c>
      <c r="E151" s="40"/>
      <c r="F151" s="58">
        <f>F142*0.54</f>
        <v>4.7351097592094771</v>
      </c>
      <c r="G151" s="40"/>
      <c r="H151" s="58">
        <f>H142*0.54</f>
        <v>6.865269838814215</v>
      </c>
      <c r="I151" s="55" t="s">
        <v>870</v>
      </c>
      <c r="J151" s="56"/>
      <c r="M151" s="75"/>
      <c r="N151" s="76"/>
    </row>
    <row r="152" spans="2:19">
      <c r="B152" s="64" t="s">
        <v>580</v>
      </c>
      <c r="C152" s="80"/>
      <c r="D152" s="81">
        <f>D142*1.03</f>
        <v>4.9864575148016304</v>
      </c>
      <c r="E152" s="80"/>
      <c r="F152" s="81">
        <f>F142*1.03</f>
        <v>9.0317834296032622</v>
      </c>
      <c r="G152" s="80"/>
      <c r="H152" s="81">
        <f>H142*1.03</f>
        <v>13.094866544404891</v>
      </c>
      <c r="I152" s="67" t="s">
        <v>870</v>
      </c>
      <c r="J152" s="56"/>
      <c r="M152" s="75"/>
      <c r="N152" s="76"/>
    </row>
    <row r="154" spans="2:19">
      <c r="B154" s="22" t="s">
        <v>562</v>
      </c>
      <c r="C154" s="21"/>
      <c r="D154" s="21"/>
      <c r="E154" s="21"/>
      <c r="F154" s="21"/>
      <c r="G154" s="21"/>
      <c r="H154" s="21"/>
      <c r="I154" s="23"/>
      <c r="J154" s="24"/>
      <c r="K154" s="22" t="s">
        <v>563</v>
      </c>
      <c r="L154" s="21"/>
      <c r="M154" s="21"/>
      <c r="N154" s="17"/>
      <c r="P154" s="22" t="s">
        <v>913</v>
      </c>
      <c r="Q154" s="21"/>
      <c r="R154" s="17"/>
      <c r="S154" s="89">
        <v>2</v>
      </c>
    </row>
    <row r="155" spans="2:19">
      <c r="B155" s="26" t="s">
        <v>570</v>
      </c>
      <c r="C155" s="27"/>
      <c r="D155" s="28">
        <v>1.5</v>
      </c>
      <c r="E155" s="27"/>
      <c r="F155" s="28">
        <f>D155</f>
        <v>1.5</v>
      </c>
      <c r="G155" s="27"/>
      <c r="H155" s="28">
        <f>D155</f>
        <v>1.5</v>
      </c>
      <c r="I155" s="29"/>
      <c r="J155" s="30"/>
      <c r="K155" s="26" t="s">
        <v>570</v>
      </c>
      <c r="L155" s="31"/>
      <c r="M155" s="32">
        <f>D155</f>
        <v>1.5</v>
      </c>
      <c r="N155" s="33"/>
      <c r="P155" s="26" t="s">
        <v>571</v>
      </c>
      <c r="Q155" s="34">
        <f>D161+F161+H161</f>
        <v>30.076805328941532</v>
      </c>
      <c r="R155" s="35" t="s">
        <v>870</v>
      </c>
      <c r="S155" s="36"/>
    </row>
    <row r="156" spans="2:19">
      <c r="B156" s="36" t="s">
        <v>574</v>
      </c>
      <c r="C156" s="40"/>
      <c r="D156" s="86">
        <v>1</v>
      </c>
      <c r="E156" s="41"/>
      <c r="F156" s="86">
        <v>2</v>
      </c>
      <c r="G156" s="41"/>
      <c r="H156" s="86">
        <v>3</v>
      </c>
      <c r="I156" s="42"/>
      <c r="J156" s="30"/>
      <c r="K156" s="36" t="s">
        <v>574</v>
      </c>
      <c r="L156" s="43"/>
      <c r="M156" s="44">
        <v>1</v>
      </c>
      <c r="N156" s="45"/>
      <c r="P156" s="36" t="s">
        <v>571</v>
      </c>
      <c r="Q156" s="46">
        <f>D169+F169+H169</f>
        <v>202.1161318104871</v>
      </c>
      <c r="R156" s="47" t="s">
        <v>575</v>
      </c>
      <c r="S156" s="48">
        <f>Q156*S154</f>
        <v>404.23226362097421</v>
      </c>
    </row>
    <row r="157" spans="2:19">
      <c r="B157" s="36" t="s">
        <v>438</v>
      </c>
      <c r="C157" s="40"/>
      <c r="D157" s="51">
        <f>IF(D156=1,VLOOKUP(D155,'ขนาด ท่อ'!$D$5:$K$13,3),
  IF(D156=2,VLOOKUP(D155,'ขนาด ท่อ'!$D$5:$K$13,5),
  IF(D156=3,VLOOKUP(D155,'ขนาด ท่อ'!$D$5:$K$13,7),0)))</f>
        <v>3</v>
      </c>
      <c r="E157" s="40"/>
      <c r="F157" s="51">
        <f>IF(F156=1,VLOOKUP(F155,'ขนาด ท่อ'!$D$5:$K$13,3),
  IF(F156=2,VLOOKUP(F155,'ขนาด ท่อ'!$D$5:$K$13,5),
  IF(F156=3,VLOOKUP(F155,'ขนาด ท่อ'!$D$5:$K$13,7),0)))</f>
        <v>5.55</v>
      </c>
      <c r="G157" s="40"/>
      <c r="H157" s="51">
        <f>IF(H156=1,VLOOKUP(H155,'ขนาด ท่อ'!$D$5:$K$13,3),
  IF(H156=2,VLOOKUP(H155,'ขนาด ท่อ'!$D$5:$K$13,5),
  IF(H156=3,VLOOKUP(H155,'ขนาด ท่อ'!$D$5:$K$13,7),0)))</f>
        <v>8.1</v>
      </c>
      <c r="I157" s="42" t="s">
        <v>889</v>
      </c>
      <c r="J157" s="30"/>
      <c r="K157" s="36" t="s">
        <v>438</v>
      </c>
      <c r="L157" s="43"/>
      <c r="M157" s="52">
        <f>IF(M156=1,(M156*(M155+(VLOOKUP(M155,'ขนาด ท่อ'!$D$5:$E$13,2)*2))),
  IF(M156=2,(M156*(M155+(VLOOKUP(M155,'ขนาด ท่อ'!$D$5:$E$13,2)*2))),
  (M156*(M155+(VLOOKUP(M155,'ขนาด ท่อ'!$D$5:$E$13,2)*2)))))</f>
        <v>1.8</v>
      </c>
      <c r="N157" s="42" t="s">
        <v>889</v>
      </c>
      <c r="P157" s="36" t="s">
        <v>571</v>
      </c>
      <c r="Q157" s="46">
        <f>Q156*50/1000</f>
        <v>10.105806590524354</v>
      </c>
      <c r="R157" s="47" t="s">
        <v>187</v>
      </c>
      <c r="S157" s="48">
        <f>Q157*S154</f>
        <v>20.211613181048708</v>
      </c>
    </row>
    <row r="158" spans="2:19">
      <c r="B158" s="36" t="s">
        <v>577</v>
      </c>
      <c r="C158" s="40"/>
      <c r="D158" s="51">
        <f>IF(D156=1,VLOOKUP(D155,'ขนาด ท่อ'!$D$5:$K$13,4),
  IF(D156=2,VLOOKUP(D155,'ขนาด ท่อ'!$D$5:$K$13,6),
  IF(D156=3,VLOOKUP(D155,'ขนาด ท่อ'!$D$5:$K$13,8),0)))</f>
        <v>3.9</v>
      </c>
      <c r="E158" s="40"/>
      <c r="F158" s="51">
        <f>IF(F156=1,VLOOKUP(F155,'ขนาด ท่อ'!$D$5:$K$13,4),
  IF(F156=2,VLOOKUP(F155,'ขนาด ท่อ'!$D$5:$K$13,6),
  IF(F156=3,VLOOKUP(F155,'ขนาด ท่อ'!$D$5:$K$13,8),0)))</f>
        <v>3.9</v>
      </c>
      <c r="G158" s="40"/>
      <c r="H158" s="51">
        <f>IF(H156=1,VLOOKUP(H155,'ขนาด ท่อ'!$D$5:$K$13,4),
  IF(H156=2,VLOOKUP(H155,'ขนาด ท่อ'!$D$5:$K$13,6),
  IF(H156=3,VLOOKUP(H155,'ขนาด ท่อ'!$D$5:$K$13,8),0)))</f>
        <v>3.9</v>
      </c>
      <c r="I158" s="42" t="s">
        <v>889</v>
      </c>
      <c r="J158" s="30"/>
      <c r="K158" s="36" t="s">
        <v>577</v>
      </c>
      <c r="L158" s="43"/>
      <c r="M158" s="88">
        <v>1</v>
      </c>
      <c r="N158" s="42" t="s">
        <v>889</v>
      </c>
      <c r="P158" s="36" t="s">
        <v>578</v>
      </c>
      <c r="Q158" s="46">
        <f>D170+F170+H170</f>
        <v>16.241474877628431</v>
      </c>
      <c r="R158" s="47" t="s">
        <v>870</v>
      </c>
      <c r="S158" s="48">
        <f>Q158*S154</f>
        <v>32.482949755256861</v>
      </c>
    </row>
    <row r="159" spans="2:19">
      <c r="B159" s="36" t="s">
        <v>579</v>
      </c>
      <c r="C159" s="40"/>
      <c r="D159" s="54">
        <f>((D157*D158)-(PI()*(('ขนาด ท่อ'!$D$5+('ขนาด ท่อ'!$E$5)*2))^2/4*D156))*0.15*2</f>
        <v>3.4723008881569224</v>
      </c>
      <c r="E159" s="40"/>
      <c r="F159" s="54">
        <f>((F157*F158)-(PI()*(('ขนาด ท่อ'!$D$5+('ขนาด ท่อ'!$E$5)*2))^2/4*F156))*0.15*2</f>
        <v>6.4181017763138453</v>
      </c>
      <c r="G159" s="40"/>
      <c r="H159" s="54">
        <f>((H157*H158)-(PI()*(('ขนาด ท่อ'!$D$5+('ขนาด ท่อ'!$E$5)*2))^2/4*H156))*0.15*2</f>
        <v>9.3639026644707659</v>
      </c>
      <c r="I159" s="55" t="s">
        <v>870</v>
      </c>
      <c r="J159" s="56"/>
      <c r="K159" s="36" t="s">
        <v>200</v>
      </c>
      <c r="L159" s="43"/>
      <c r="M159" s="57">
        <f>M157*M158*0.05</f>
        <v>9.0000000000000011E-2</v>
      </c>
      <c r="N159" s="55" t="s">
        <v>870</v>
      </c>
      <c r="P159" s="36" t="s">
        <v>580</v>
      </c>
      <c r="Q159" s="46">
        <f>D171+F171+H171</f>
        <v>30.979109488809783</v>
      </c>
      <c r="R159" s="47" t="s">
        <v>870</v>
      </c>
      <c r="S159" s="48">
        <f>Q159*S154</f>
        <v>61.958218977619566</v>
      </c>
    </row>
    <row r="160" spans="2:19">
      <c r="B160" s="36" t="s">
        <v>441</v>
      </c>
      <c r="C160" s="40"/>
      <c r="D160" s="58">
        <f>((D157*1*0.2)+(D157*0.2*0.4)+(D157*0.3*0.15))*2</f>
        <v>1.9500000000000002</v>
      </c>
      <c r="E160" s="40"/>
      <c r="F160" s="58">
        <f>((F157*1*0.2)+(F157*0.2*0.4)+(F157*0.3*0.15))*2</f>
        <v>3.6075000000000004</v>
      </c>
      <c r="G160" s="40"/>
      <c r="H160" s="58">
        <f>((H157*1*0.2)+(H157*0.2*0.4)+(H157*0.3*0.15))*2</f>
        <v>5.2650000000000006</v>
      </c>
      <c r="I160" s="55" t="s">
        <v>870</v>
      </c>
      <c r="J160" s="56"/>
      <c r="K160" s="36" t="s">
        <v>442</v>
      </c>
      <c r="L160" s="59">
        <f>IF(M158=0,0,(M157*2+M158*2))</f>
        <v>5.6</v>
      </c>
      <c r="M160" s="60">
        <f>ROUNDUP(L160/3,0)</f>
        <v>2</v>
      </c>
      <c r="N160" s="55" t="s">
        <v>891</v>
      </c>
      <c r="P160" s="36" t="s">
        <v>885</v>
      </c>
      <c r="Q160" s="46">
        <f>(0.15*3*D162)+(0.2*3*D163)+(0.15*3*F162)+(0.2*3*F163)+(0.15*3*H162)+(0.2*3*H163)</f>
        <v>23.1</v>
      </c>
      <c r="R160" s="47" t="s">
        <v>890</v>
      </c>
      <c r="S160" s="48">
        <f>Q160*S154</f>
        <v>46.2</v>
      </c>
    </row>
    <row r="161" spans="2:19">
      <c r="B161" s="36" t="s">
        <v>443</v>
      </c>
      <c r="C161" s="40"/>
      <c r="D161" s="58">
        <f>SUM(D159:D160)</f>
        <v>5.4223008881569221</v>
      </c>
      <c r="E161" s="40"/>
      <c r="F161" s="58">
        <f>SUM(F159:F160)</f>
        <v>10.025601776313845</v>
      </c>
      <c r="G161" s="40"/>
      <c r="H161" s="58">
        <f>SUM(H159:H160)</f>
        <v>14.628902664470766</v>
      </c>
      <c r="I161" s="55" t="s">
        <v>870</v>
      </c>
      <c r="J161" s="56"/>
      <c r="K161" s="36" t="s">
        <v>571</v>
      </c>
      <c r="L161" s="43"/>
      <c r="M161" s="60">
        <f>M159*5.04</f>
        <v>0.45360000000000006</v>
      </c>
      <c r="N161" s="55" t="s">
        <v>575</v>
      </c>
      <c r="P161" s="36" t="s">
        <v>349</v>
      </c>
      <c r="Q161" s="61">
        <f>(((D165+F165+H165)*4.99)+((D167+F167+H167)*8.88))/1000</f>
        <v>0.8157338999999999</v>
      </c>
      <c r="R161" s="47" t="s">
        <v>187</v>
      </c>
      <c r="S161" s="48">
        <f>Q161*S154</f>
        <v>1.6314677999999998</v>
      </c>
    </row>
    <row r="162" spans="2:19">
      <c r="B162" s="36" t="s">
        <v>444</v>
      </c>
      <c r="C162" s="62">
        <f>(D158*2+D157)</f>
        <v>10.8</v>
      </c>
      <c r="D162" s="58">
        <f>ROUNDUP(C162/3,0)*2</f>
        <v>8</v>
      </c>
      <c r="E162" s="62">
        <f>(F158*2+F157)</f>
        <v>13.35</v>
      </c>
      <c r="F162" s="58">
        <f>ROUNDUP(E162/3,0)*2</f>
        <v>10</v>
      </c>
      <c r="G162" s="62">
        <f>(H158*2+H157)</f>
        <v>15.899999999999999</v>
      </c>
      <c r="H162" s="58">
        <f>ROUNDUP(G162/3,0)*2</f>
        <v>12</v>
      </c>
      <c r="I162" s="55" t="s">
        <v>891</v>
      </c>
      <c r="J162" s="56"/>
      <c r="K162" s="36" t="s">
        <v>578</v>
      </c>
      <c r="L162" s="43"/>
      <c r="M162" s="60">
        <f>M159*0.62</f>
        <v>5.5800000000000009E-2</v>
      </c>
      <c r="N162" s="55" t="s">
        <v>870</v>
      </c>
      <c r="P162" s="63" t="s">
        <v>886</v>
      </c>
      <c r="Q162" s="61">
        <f>Q160*0.2</f>
        <v>4.62</v>
      </c>
      <c r="R162" s="47" t="s">
        <v>887</v>
      </c>
      <c r="S162" s="48">
        <f>Q162*S154</f>
        <v>9.24</v>
      </c>
    </row>
    <row r="163" spans="2:19">
      <c r="B163" s="36" t="s">
        <v>445</v>
      </c>
      <c r="C163" s="62">
        <f>IF(D157=0,0,D157+3)</f>
        <v>6</v>
      </c>
      <c r="D163" s="58">
        <f>ROUNDUP(C163/4,0)*2</f>
        <v>4</v>
      </c>
      <c r="E163" s="62">
        <f>IF(F157=0,0,F157+3)</f>
        <v>8.5500000000000007</v>
      </c>
      <c r="F163" s="58">
        <f>ROUNDUP(E163/4,0)*2</f>
        <v>6</v>
      </c>
      <c r="G163" s="62">
        <f>IF(H157=0,0,H157+3)</f>
        <v>11.1</v>
      </c>
      <c r="H163" s="58">
        <f>ROUNDUP(G163/4,0)*2</f>
        <v>6</v>
      </c>
      <c r="I163" s="55" t="s">
        <v>891</v>
      </c>
      <c r="J163" s="56"/>
      <c r="K163" s="64" t="s">
        <v>580</v>
      </c>
      <c r="L163" s="65"/>
      <c r="M163" s="66">
        <f>M159*0.97</f>
        <v>8.7300000000000003E-2</v>
      </c>
      <c r="N163" s="67" t="s">
        <v>870</v>
      </c>
      <c r="P163" s="68" t="s">
        <v>446</v>
      </c>
      <c r="Q163" s="69">
        <f>Q161*20</f>
        <v>16.314677999999997</v>
      </c>
      <c r="R163" s="70" t="s">
        <v>887</v>
      </c>
      <c r="S163" s="71">
        <f>Q163*S154</f>
        <v>32.629355999999994</v>
      </c>
    </row>
    <row r="164" spans="2:19">
      <c r="B164" s="36" t="s">
        <v>885</v>
      </c>
      <c r="C164" s="62"/>
      <c r="D164" s="58">
        <f>(0.15*3*D162)+(0.2*3*D163)</f>
        <v>6</v>
      </c>
      <c r="E164" s="62"/>
      <c r="F164" s="58">
        <f>(0.15*3*F162)+(0.2*3*F163)</f>
        <v>8.1000000000000014</v>
      </c>
      <c r="G164" s="62"/>
      <c r="H164" s="58">
        <f>(0.15*3*H162)+(0.2*3*H163)</f>
        <v>9</v>
      </c>
      <c r="I164" s="55" t="s">
        <v>890</v>
      </c>
      <c r="J164" s="56"/>
      <c r="L164" s="3"/>
      <c r="M164" s="76"/>
      <c r="N164" s="76"/>
      <c r="P164" s="84"/>
      <c r="Q164" s="84"/>
      <c r="S164" s="75"/>
    </row>
    <row r="165" spans="2:19">
      <c r="B165" s="36" t="s">
        <v>447</v>
      </c>
      <c r="C165" s="62">
        <f>(TRUNC(D158/0.25)+2)*D157</f>
        <v>51</v>
      </c>
      <c r="D165" s="58">
        <f>SUM(C165:C166)/10*2</f>
        <v>25.32</v>
      </c>
      <c r="E165" s="62">
        <f>(TRUNC(F158/0.25)+2)*F157</f>
        <v>94.35</v>
      </c>
      <c r="F165" s="58">
        <f>SUM(E165:E166)/10*2</f>
        <v>46.589999999999996</v>
      </c>
      <c r="G165" s="62">
        <f>(TRUNC(H158/0.25)+2)*H157</f>
        <v>137.69999999999999</v>
      </c>
      <c r="H165" s="58">
        <f>SUM(G165:G166)/10*2</f>
        <v>67.859999999999985</v>
      </c>
      <c r="I165" s="55" t="s">
        <v>448</v>
      </c>
      <c r="J165" s="56"/>
      <c r="P165" s="14"/>
      <c r="Q165" s="14"/>
    </row>
    <row r="166" spans="2:19" hidden="1">
      <c r="B166" s="36"/>
      <c r="C166" s="62">
        <f>(TRUNC(D157/0.25)*(D158+2.4))</f>
        <v>75.599999999999994</v>
      </c>
      <c r="D166" s="74"/>
      <c r="E166" s="62">
        <f>(TRUNC(F157/0.25)*(F158+2.4))</f>
        <v>138.6</v>
      </c>
      <c r="F166" s="74"/>
      <c r="G166" s="62">
        <f>(TRUNC(H157/0.25)*(H158+2.4))</f>
        <v>201.6</v>
      </c>
      <c r="H166" s="74"/>
      <c r="I166" s="55"/>
      <c r="J166" s="56"/>
      <c r="M166" s="75"/>
      <c r="N166" s="76"/>
      <c r="P166" s="14"/>
      <c r="Q166" s="14"/>
    </row>
    <row r="167" spans="2:19">
      <c r="B167" s="36" t="s">
        <v>479</v>
      </c>
      <c r="C167" s="62">
        <f>D157*4</f>
        <v>12</v>
      </c>
      <c r="D167" s="58">
        <f>C167/10*2</f>
        <v>2.4</v>
      </c>
      <c r="E167" s="62">
        <f>F157*4</f>
        <v>22.2</v>
      </c>
      <c r="F167" s="58">
        <f>E167/10*2</f>
        <v>4.4399999999999995</v>
      </c>
      <c r="G167" s="62">
        <f>H157*4</f>
        <v>32.4</v>
      </c>
      <c r="H167" s="58">
        <f>G167/10*2</f>
        <v>6.4799999999999995</v>
      </c>
      <c r="I167" s="55" t="s">
        <v>448</v>
      </c>
      <c r="J167" s="56"/>
      <c r="M167" s="75"/>
      <c r="N167" s="76"/>
      <c r="P167" s="14"/>
      <c r="Q167" s="14"/>
    </row>
    <row r="168" spans="2:19">
      <c r="B168" s="36" t="s">
        <v>480</v>
      </c>
      <c r="C168" s="62"/>
      <c r="D168" s="58">
        <f>((D165*4.99)+(D167*8.88))/1000</f>
        <v>0.14765880000000001</v>
      </c>
      <c r="E168" s="62"/>
      <c r="F168" s="58">
        <f>((F165*4.99)+(F167*8.88))/1000</f>
        <v>0.27191129999999997</v>
      </c>
      <c r="G168" s="62"/>
      <c r="H168" s="58">
        <f>((H165*4.99)+(H167*8.88))/1000</f>
        <v>0.3961637999999999</v>
      </c>
      <c r="I168" s="55" t="s">
        <v>187</v>
      </c>
      <c r="J168" s="56"/>
      <c r="M168" s="75"/>
      <c r="N168" s="76"/>
      <c r="P168" s="14"/>
      <c r="Q168" s="14"/>
    </row>
    <row r="169" spans="2:19">
      <c r="B169" s="36" t="s">
        <v>571</v>
      </c>
      <c r="C169" s="40"/>
      <c r="D169" s="58">
        <f>D161*6.72</f>
        <v>36.437861968414516</v>
      </c>
      <c r="E169" s="40"/>
      <c r="F169" s="58">
        <f>F161*6.72</f>
        <v>67.372043936829044</v>
      </c>
      <c r="G169" s="40"/>
      <c r="H169" s="58">
        <f>H161*6.72</f>
        <v>98.306225905243551</v>
      </c>
      <c r="I169" s="55" t="s">
        <v>575</v>
      </c>
      <c r="J169" s="56"/>
      <c r="M169" s="75"/>
      <c r="N169" s="76"/>
      <c r="P169" s="14"/>
    </row>
    <row r="170" spans="2:19">
      <c r="B170" s="36" t="s">
        <v>578</v>
      </c>
      <c r="C170" s="40"/>
      <c r="D170" s="58">
        <f>D161*0.54</f>
        <v>2.9280424796047382</v>
      </c>
      <c r="E170" s="40"/>
      <c r="F170" s="58">
        <f>F161*0.54</f>
        <v>5.4138249592094772</v>
      </c>
      <c r="G170" s="40"/>
      <c r="H170" s="58">
        <f>H161*0.54</f>
        <v>7.8996074388142148</v>
      </c>
      <c r="I170" s="55" t="s">
        <v>870</v>
      </c>
      <c r="J170" s="56"/>
      <c r="M170" s="75"/>
      <c r="N170" s="76"/>
    </row>
    <row r="171" spans="2:19">
      <c r="B171" s="64" t="s">
        <v>580</v>
      </c>
      <c r="C171" s="80"/>
      <c r="D171" s="81">
        <f>D161*1.03</f>
        <v>5.5849699148016301</v>
      </c>
      <c r="E171" s="80"/>
      <c r="F171" s="81">
        <f>F161*1.03</f>
        <v>10.32636982960326</v>
      </c>
      <c r="G171" s="80"/>
      <c r="H171" s="81">
        <f>H161*1.03</f>
        <v>15.06776974440489</v>
      </c>
      <c r="I171" s="67" t="s">
        <v>870</v>
      </c>
      <c r="J171" s="56"/>
      <c r="M171" s="75"/>
      <c r="N171" s="76"/>
    </row>
  </sheetData>
  <sheetProtection password="C424" sheet="1" objects="1" scenarios="1"/>
  <phoneticPr fontId="31" type="noConversion"/>
  <dataValidations count="1">
    <dataValidation type="list" allowBlank="1" showInputMessage="1" showErrorMessage="1" sqref="S2 S21 S40 S59 S78 S97 S116 S135 S154" xr:uid="{00000000-0002-0000-0D00-000000000000}">
      <formula1>"0,1,2,3,4,5,6,7,8,9,10"</formula1>
    </dataValidation>
  </dataValidations>
  <printOptions horizontalCentered="1"/>
  <pageMargins left="0" right="0" top="0.59055118110236227" bottom="0.59055118110236227" header="0.51181102362204722" footer="0.51181102362204722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FFFF00"/>
  </sheetPr>
  <dimension ref="A1:O47"/>
  <sheetViews>
    <sheetView view="pageBreakPreview" workbookViewId="0">
      <selection activeCell="O11" sqref="O11"/>
    </sheetView>
  </sheetViews>
  <sheetFormatPr defaultRowHeight="21"/>
  <cols>
    <col min="1" max="1" width="7" customWidth="1"/>
    <col min="2" max="2" width="25.33203125" customWidth="1"/>
    <col min="3" max="3" width="9.5" customWidth="1"/>
    <col min="4" max="4" width="10.5" customWidth="1"/>
    <col min="5" max="5" width="12" customWidth="1"/>
    <col min="6" max="6" width="13" customWidth="1"/>
    <col min="7" max="8" width="14" customWidth="1"/>
    <col min="9" max="9" width="9.5" bestFit="1" customWidth="1"/>
    <col min="11" max="12" width="0" hidden="1" customWidth="1"/>
  </cols>
  <sheetData>
    <row r="1" spans="1:15" ht="29.25">
      <c r="A1" s="19" t="s">
        <v>193</v>
      </c>
      <c r="B1" s="19"/>
      <c r="C1" s="19"/>
      <c r="D1" s="19"/>
      <c r="E1" s="19"/>
      <c r="F1" s="19"/>
      <c r="G1" s="19"/>
      <c r="H1" s="19"/>
      <c r="I1" s="19"/>
      <c r="J1" s="2"/>
      <c r="K1" s="2"/>
      <c r="L1" s="2"/>
      <c r="M1" s="249"/>
      <c r="N1" s="2"/>
      <c r="O1" s="2"/>
    </row>
    <row r="2" spans="1:15" ht="21.75">
      <c r="A2" s="1"/>
      <c r="B2" s="16" t="s">
        <v>994</v>
      </c>
      <c r="C2" s="1"/>
      <c r="D2" s="1"/>
      <c r="E2" s="1"/>
      <c r="F2" s="1"/>
      <c r="G2" s="1"/>
      <c r="H2" s="1"/>
      <c r="I2" s="1"/>
      <c r="J2" s="1"/>
      <c r="K2" s="1"/>
      <c r="L2" s="1"/>
      <c r="M2" s="14"/>
      <c r="N2" s="1"/>
      <c r="O2" s="1"/>
    </row>
    <row r="3" spans="1:15" ht="21.75">
      <c r="A3" s="1"/>
      <c r="B3" s="16" t="s">
        <v>194</v>
      </c>
      <c r="C3" s="2325"/>
      <c r="D3" s="2325"/>
      <c r="E3" s="1" t="str">
        <f>กรอกราคาวัสดุ!D2</f>
        <v xml:space="preserve">ชื่อสายทาง         </v>
      </c>
      <c r="F3" s="1" t="str">
        <f>กรอกราคาวัสดุ!E2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</v>
      </c>
      <c r="G3" s="1"/>
      <c r="H3" s="1"/>
      <c r="I3" s="1"/>
      <c r="J3" s="1"/>
      <c r="K3" s="1"/>
      <c r="L3" s="1"/>
      <c r="M3" s="14"/>
      <c r="N3" s="1"/>
      <c r="O3" s="1"/>
    </row>
    <row r="4" spans="1:15" ht="21.75">
      <c r="A4" s="1"/>
      <c r="B4" s="1" t="s">
        <v>995</v>
      </c>
      <c r="C4" s="1"/>
      <c r="D4" s="1"/>
      <c r="E4" s="1" t="str">
        <f>กรอกราคาวัสดุ!A3</f>
        <v>สถานที่ตั้ง   ตำบลคลองเมือง   อำเภอจักราช   จังหวัดนครราชสีมา</v>
      </c>
      <c r="G4" s="1"/>
      <c r="H4" s="1"/>
      <c r="I4" s="1"/>
      <c r="J4" s="1"/>
      <c r="K4" s="1"/>
      <c r="L4" s="1"/>
      <c r="M4" s="14"/>
      <c r="N4" s="1"/>
      <c r="O4" s="1"/>
    </row>
    <row r="5" spans="1:15">
      <c r="A5" s="2330" t="s">
        <v>195</v>
      </c>
      <c r="B5" s="2330" t="s">
        <v>182</v>
      </c>
      <c r="C5" s="2328" t="s">
        <v>183</v>
      </c>
      <c r="D5" s="2332" t="s">
        <v>915</v>
      </c>
      <c r="E5" s="2332"/>
      <c r="F5" s="2332"/>
      <c r="G5" s="2328" t="s">
        <v>186</v>
      </c>
      <c r="H5" s="6" t="s">
        <v>196</v>
      </c>
      <c r="I5" s="2328" t="s">
        <v>895</v>
      </c>
      <c r="J5" s="4"/>
      <c r="K5" s="4"/>
      <c r="L5" s="4"/>
      <c r="M5" s="250"/>
      <c r="N5" s="4"/>
      <c r="O5" s="4"/>
    </row>
    <row r="6" spans="1:15">
      <c r="A6" s="2331"/>
      <c r="B6" s="2331"/>
      <c r="C6" s="2329"/>
      <c r="D6" s="7" t="s">
        <v>184</v>
      </c>
      <c r="E6" s="7" t="s">
        <v>197</v>
      </c>
      <c r="F6" s="7" t="s">
        <v>185</v>
      </c>
      <c r="G6" s="2329"/>
      <c r="H6" s="7" t="s">
        <v>185</v>
      </c>
      <c r="I6" s="2329"/>
      <c r="J6" s="4"/>
      <c r="K6" s="4">
        <v>1</v>
      </c>
      <c r="L6" s="251" t="e">
        <f>ปร.5 รางระบายน้ำ!C22</f>
        <v>#NAME?</v>
      </c>
      <c r="M6" s="250"/>
      <c r="N6" s="4"/>
      <c r="O6" s="4"/>
    </row>
    <row r="7" spans="1:15">
      <c r="A7" s="239">
        <v>1</v>
      </c>
      <c r="B7" s="252" t="s">
        <v>996</v>
      </c>
      <c r="C7" s="253">
        <v>3.5</v>
      </c>
      <c r="D7" s="254" t="s">
        <v>870</v>
      </c>
      <c r="E7" s="240">
        <f>IF(C7&lt;=0,0,0)</f>
        <v>0</v>
      </c>
      <c r="F7" s="240">
        <f>IF(C7&lt;=0,0,IF(กรอกราคาวัสดุ!$C$6=2,'ค่าเสื่อมราคา(แก้ไข26ธค.60)'!H11,'ค่าเสื่อมราคา(แก้ไข26ธค.60)'!G11))</f>
        <v>23.060000000000002</v>
      </c>
      <c r="G7" s="240">
        <f t="shared" ref="G7:G24" si="0">E7+F7</f>
        <v>23.060000000000002</v>
      </c>
      <c r="H7" s="240">
        <f t="shared" ref="H7:H24" si="1">IF(C7&gt;=0,ROUND(C7*G7,2),"")</f>
        <v>80.709999999999994</v>
      </c>
      <c r="I7" s="241"/>
      <c r="J7" s="4"/>
      <c r="K7" s="255">
        <v>0.55000000000000004</v>
      </c>
      <c r="L7" s="256" t="e">
        <f t="shared" ref="L7:L12" si="2">($L$6/$K$6)*K7</f>
        <v>#NAME?</v>
      </c>
      <c r="M7" s="250"/>
      <c r="N7" s="4"/>
      <c r="O7" s="4"/>
    </row>
    <row r="8" spans="1:15">
      <c r="A8" s="242">
        <v>2</v>
      </c>
      <c r="B8" s="257" t="s">
        <v>920</v>
      </c>
      <c r="C8" s="259">
        <v>0.7</v>
      </c>
      <c r="D8" s="258" t="s">
        <v>870</v>
      </c>
      <c r="E8" s="245">
        <f>ROUND(IF(C8&lt;=0,0,ค่างานต้นทุน!I319),2)</f>
        <v>338.73</v>
      </c>
      <c r="F8" s="245">
        <f>IF(C8&lt;=0,0,กรอกราคาวัสดุ!D68)</f>
        <v>99</v>
      </c>
      <c r="G8" s="245">
        <f t="shared" si="0"/>
        <v>437.73</v>
      </c>
      <c r="H8" s="245">
        <f t="shared" si="1"/>
        <v>306.41000000000003</v>
      </c>
      <c r="I8" s="246"/>
      <c r="J8" s="4"/>
      <c r="K8" s="253">
        <v>0.28000000000000003</v>
      </c>
      <c r="L8" s="256" t="e">
        <f t="shared" si="2"/>
        <v>#NAME?</v>
      </c>
      <c r="M8" s="250"/>
      <c r="N8" s="4"/>
      <c r="O8" s="4"/>
    </row>
    <row r="9" spans="1:15">
      <c r="A9" s="242">
        <v>3</v>
      </c>
      <c r="B9" s="257" t="s">
        <v>199</v>
      </c>
      <c r="C9" s="259">
        <v>0.35</v>
      </c>
      <c r="D9" s="258" t="s">
        <v>870</v>
      </c>
      <c r="E9" s="245">
        <f>ROUND(IF(C9&lt;=0,0,ค่างานต้นทุน!I324),2)</f>
        <v>1625.06</v>
      </c>
      <c r="F9" s="245">
        <f>IF(C9&lt;=0,0,กรอกราคาวัสดุ!D66)</f>
        <v>436</v>
      </c>
      <c r="G9" s="245">
        <f t="shared" si="0"/>
        <v>2061.06</v>
      </c>
      <c r="H9" s="245">
        <f t="shared" si="1"/>
        <v>721.37</v>
      </c>
      <c r="I9" s="246"/>
      <c r="J9" s="4"/>
      <c r="K9" s="253">
        <v>0.04</v>
      </c>
      <c r="L9" s="256" t="e">
        <f t="shared" si="2"/>
        <v>#NAME?</v>
      </c>
      <c r="M9" s="250"/>
      <c r="N9" s="4"/>
      <c r="O9" s="4"/>
    </row>
    <row r="10" spans="1:15">
      <c r="A10" s="242">
        <v>4</v>
      </c>
      <c r="B10" s="257" t="s">
        <v>200</v>
      </c>
      <c r="C10" s="259">
        <v>1.2250000000000001</v>
      </c>
      <c r="D10" s="258" t="s">
        <v>870</v>
      </c>
      <c r="E10" s="245">
        <f>ROUND(IF(C10&lt;=0,0,ค่างานต้นทุน!I326),2)</f>
        <v>1788.28</v>
      </c>
      <c r="F10" s="245">
        <f>IF(C10&lt;=0,0,กรอกราคาวัสดุ!D66)</f>
        <v>436</v>
      </c>
      <c r="G10" s="245">
        <f t="shared" si="0"/>
        <v>2224.2799999999997</v>
      </c>
      <c r="H10" s="245">
        <f t="shared" si="1"/>
        <v>2724.74</v>
      </c>
      <c r="I10" s="246"/>
      <c r="J10" s="4"/>
      <c r="K10" s="253">
        <v>0.16</v>
      </c>
      <c r="L10" s="256" t="e">
        <f t="shared" si="2"/>
        <v>#NAME?</v>
      </c>
      <c r="M10" s="250"/>
      <c r="N10" s="4"/>
      <c r="O10" s="4"/>
    </row>
    <row r="11" spans="1:15">
      <c r="A11" s="242">
        <v>5</v>
      </c>
      <c r="B11" s="257" t="s">
        <v>885</v>
      </c>
      <c r="C11" s="253">
        <v>20</v>
      </c>
      <c r="D11" s="258" t="s">
        <v>890</v>
      </c>
      <c r="E11" s="245"/>
      <c r="F11" s="245">
        <f>IF(C11&lt;=0,0,กรอกราคาวัสดุ!D70)</f>
        <v>133</v>
      </c>
      <c r="G11" s="245">
        <f t="shared" si="0"/>
        <v>133</v>
      </c>
      <c r="H11" s="245">
        <f t="shared" si="1"/>
        <v>2660</v>
      </c>
      <c r="I11" s="246"/>
      <c r="J11" s="4"/>
      <c r="K11" s="253">
        <v>2</v>
      </c>
      <c r="L11" s="256" t="e">
        <f t="shared" si="2"/>
        <v>#NAME?</v>
      </c>
      <c r="M11" s="250"/>
      <c r="N11" s="4"/>
      <c r="O11" s="4"/>
    </row>
    <row r="12" spans="1:15">
      <c r="A12" s="242">
        <v>6</v>
      </c>
      <c r="B12" s="247" t="s">
        <v>997</v>
      </c>
      <c r="C12" s="253">
        <f>(C11*0.2)</f>
        <v>4</v>
      </c>
      <c r="D12" s="258" t="s">
        <v>890</v>
      </c>
      <c r="E12" s="245">
        <f>IF(C12&lt;=0,0,กรอกราคาวัสดุ!D58)</f>
        <v>657.9</v>
      </c>
      <c r="F12" s="245"/>
      <c r="G12" s="245">
        <f t="shared" si="0"/>
        <v>657.9</v>
      </c>
      <c r="H12" s="245">
        <f t="shared" si="1"/>
        <v>2631.6</v>
      </c>
      <c r="I12" s="246"/>
      <c r="J12" s="4"/>
      <c r="K12" s="253">
        <f>TRUNC(K11*0.25)</f>
        <v>0</v>
      </c>
      <c r="L12" s="269" t="e">
        <f t="shared" si="2"/>
        <v>#NAME?</v>
      </c>
      <c r="M12" s="250"/>
      <c r="N12" s="4"/>
      <c r="O12" s="4"/>
    </row>
    <row r="13" spans="1:15">
      <c r="A13" s="242">
        <v>7</v>
      </c>
      <c r="B13" s="247" t="s">
        <v>998</v>
      </c>
      <c r="C13" s="253">
        <f>C12*0.2</f>
        <v>0.8</v>
      </c>
      <c r="D13" s="258" t="s">
        <v>890</v>
      </c>
      <c r="E13" s="245">
        <f>IF(C13&lt;=0,0,กรอกราคาวัสดุ!D60)</f>
        <v>623.79</v>
      </c>
      <c r="F13" s="245"/>
      <c r="G13" s="245">
        <f t="shared" si="0"/>
        <v>623.79</v>
      </c>
      <c r="H13" s="245">
        <f t="shared" si="1"/>
        <v>499.03</v>
      </c>
      <c r="I13" s="246"/>
      <c r="J13" s="4"/>
      <c r="K13" s="253"/>
      <c r="L13" s="269"/>
      <c r="M13" s="250"/>
      <c r="N13" s="4"/>
      <c r="O13" s="4"/>
    </row>
    <row r="14" spans="1:15">
      <c r="A14" s="242">
        <v>8</v>
      </c>
      <c r="B14" s="247" t="s">
        <v>999</v>
      </c>
      <c r="C14" s="253">
        <f>C11/15</f>
        <v>1.3333333333333333</v>
      </c>
      <c r="D14" s="258" t="s">
        <v>888</v>
      </c>
      <c r="E14" s="245">
        <v>8</v>
      </c>
      <c r="F14" s="245"/>
      <c r="G14" s="245">
        <f t="shared" si="0"/>
        <v>8</v>
      </c>
      <c r="H14" s="245">
        <f t="shared" si="1"/>
        <v>10.67</v>
      </c>
      <c r="I14" s="246"/>
      <c r="J14" s="4"/>
      <c r="K14" s="253">
        <f>TRUNC(K12*0.3)</f>
        <v>0</v>
      </c>
      <c r="L14" s="269" t="e">
        <f t="shared" ref="L14:L28" si="3">($L$6/$K$6)*K14</f>
        <v>#NAME?</v>
      </c>
      <c r="M14" s="250"/>
      <c r="N14" s="4"/>
      <c r="O14" s="4"/>
    </row>
    <row r="15" spans="1:15">
      <c r="A15" s="242">
        <v>9</v>
      </c>
      <c r="B15" s="257" t="s">
        <v>886</v>
      </c>
      <c r="C15" s="253">
        <f>C11*0.25</f>
        <v>5</v>
      </c>
      <c r="D15" s="258" t="s">
        <v>887</v>
      </c>
      <c r="E15" s="245">
        <f>IF(C15&lt;=0,0,กรอกราคาวัสดุ!D65)</f>
        <v>60</v>
      </c>
      <c r="F15" s="245">
        <f>IF(C15&lt;=0,0,0)</f>
        <v>0</v>
      </c>
      <c r="G15" s="245">
        <f t="shared" si="0"/>
        <v>60</v>
      </c>
      <c r="H15" s="245">
        <f t="shared" si="1"/>
        <v>300</v>
      </c>
      <c r="I15" s="246"/>
      <c r="J15" s="4"/>
      <c r="K15" s="253">
        <f>TRUNC(K11*0.25)</f>
        <v>0</v>
      </c>
      <c r="L15" s="269" t="e">
        <f t="shared" si="3"/>
        <v>#NAME?</v>
      </c>
      <c r="M15" s="250"/>
      <c r="N15" s="4"/>
      <c r="O15" s="4"/>
    </row>
    <row r="16" spans="1:15">
      <c r="A16" s="242">
        <v>10</v>
      </c>
      <c r="B16" s="257" t="s">
        <v>151</v>
      </c>
      <c r="C16" s="259">
        <v>41.957999999999998</v>
      </c>
      <c r="D16" s="258" t="s">
        <v>887</v>
      </c>
      <c r="E16" s="245">
        <f>ROUND(IF(C16&lt;=0,0,ค่างานต้นทุน!I328),2)/1000</f>
        <v>26.850819999999999</v>
      </c>
      <c r="F16" s="245">
        <f>IF(C16&lt;=0,0,กรอกราคาวัสดุ!D69)/1000</f>
        <v>3.3</v>
      </c>
      <c r="G16" s="245">
        <f t="shared" si="0"/>
        <v>30.15082</v>
      </c>
      <c r="H16" s="245">
        <f t="shared" si="1"/>
        <v>1265.07</v>
      </c>
      <c r="I16" s="246"/>
      <c r="J16" s="4"/>
      <c r="K16" s="259">
        <v>5.5999999999999999E-3</v>
      </c>
      <c r="L16" s="256" t="e">
        <f t="shared" si="3"/>
        <v>#NAME?</v>
      </c>
      <c r="M16" s="250"/>
      <c r="N16" s="4"/>
      <c r="O16" s="4"/>
    </row>
    <row r="17" spans="1:15">
      <c r="A17" s="242">
        <v>11</v>
      </c>
      <c r="B17" s="257" t="s">
        <v>921</v>
      </c>
      <c r="C17" s="259">
        <v>80.942999999999998</v>
      </c>
      <c r="D17" s="258" t="s">
        <v>887</v>
      </c>
      <c r="E17" s="245">
        <f>ROUND(IF(C17&lt;=0,0,ค่างานต้นทุน!I329),2)/1000</f>
        <v>25.215400000000002</v>
      </c>
      <c r="F17" s="245">
        <f>IF(C17&lt;=0,0,กรอกราคาวัสดุ!D69)/1000</f>
        <v>3.3</v>
      </c>
      <c r="G17" s="245">
        <f t="shared" si="0"/>
        <v>28.515400000000003</v>
      </c>
      <c r="H17" s="245">
        <f t="shared" si="1"/>
        <v>2308.12</v>
      </c>
      <c r="I17" s="246"/>
      <c r="J17" s="4"/>
      <c r="K17" s="259">
        <v>1.7500000000000002E-2</v>
      </c>
      <c r="L17" s="256" t="e">
        <f t="shared" si="3"/>
        <v>#NAME?</v>
      </c>
      <c r="M17" s="250"/>
      <c r="N17" s="4"/>
      <c r="O17" s="4"/>
    </row>
    <row r="18" spans="1:15">
      <c r="A18" s="242">
        <v>12</v>
      </c>
      <c r="B18" s="257" t="s">
        <v>932</v>
      </c>
      <c r="C18" s="259">
        <v>0</v>
      </c>
      <c r="D18" s="258" t="s">
        <v>887</v>
      </c>
      <c r="E18" s="245">
        <f>ROUND(IF(C18&lt;=0,0,ค่างานต้นทุน!I334),2)</f>
        <v>0</v>
      </c>
      <c r="F18" s="245">
        <f>IF(C18&lt;=0,0,กรอกราคาวัสดุ!D69)</f>
        <v>0</v>
      </c>
      <c r="G18" s="245">
        <f t="shared" si="0"/>
        <v>0</v>
      </c>
      <c r="H18" s="245">
        <f t="shared" si="1"/>
        <v>0</v>
      </c>
      <c r="I18" s="246"/>
      <c r="J18" s="4"/>
      <c r="K18" s="259"/>
      <c r="L18" s="256" t="e">
        <f t="shared" si="3"/>
        <v>#NAME?</v>
      </c>
      <c r="M18" s="250"/>
      <c r="N18" s="4"/>
      <c r="O18" s="4"/>
    </row>
    <row r="19" spans="1:15">
      <c r="A19" s="242">
        <v>13</v>
      </c>
      <c r="B19" s="257" t="s">
        <v>933</v>
      </c>
      <c r="C19" s="259">
        <v>0</v>
      </c>
      <c r="D19" s="258" t="s">
        <v>887</v>
      </c>
      <c r="E19" s="245">
        <f>ROUND(IF(C19&lt;=0,0,ค่างานต้นทุน!I335),2)</f>
        <v>0</v>
      </c>
      <c r="F19" s="245">
        <f>IF(C19&lt;=0,0,กรอกราคาวัสดุ!D69)</f>
        <v>0</v>
      </c>
      <c r="G19" s="245">
        <f t="shared" si="0"/>
        <v>0</v>
      </c>
      <c r="H19" s="245">
        <f t="shared" si="1"/>
        <v>0</v>
      </c>
      <c r="I19" s="246"/>
      <c r="J19" s="4"/>
      <c r="K19" s="259"/>
      <c r="L19" s="256" t="e">
        <f t="shared" si="3"/>
        <v>#NAME?</v>
      </c>
      <c r="M19" s="250"/>
      <c r="N19" s="4"/>
      <c r="O19" s="4"/>
    </row>
    <row r="20" spans="1:15">
      <c r="A20" s="242">
        <v>14</v>
      </c>
      <c r="B20" s="257" t="s">
        <v>934</v>
      </c>
      <c r="C20" s="259">
        <v>0</v>
      </c>
      <c r="D20" s="258" t="s">
        <v>887</v>
      </c>
      <c r="E20" s="245">
        <f>ROUND(IF(C20&lt;=0,0,ค่างานต้นทุน!I336),2)</f>
        <v>0</v>
      </c>
      <c r="F20" s="245">
        <f>IF(C20&lt;=0,0,กรอกราคาวัสดุ!D69)</f>
        <v>0</v>
      </c>
      <c r="G20" s="245">
        <f t="shared" si="0"/>
        <v>0</v>
      </c>
      <c r="H20" s="245">
        <f t="shared" si="1"/>
        <v>0</v>
      </c>
      <c r="I20" s="246"/>
      <c r="J20" s="4"/>
      <c r="K20" s="259"/>
      <c r="L20" s="256" t="e">
        <f t="shared" si="3"/>
        <v>#NAME?</v>
      </c>
      <c r="M20" s="250"/>
      <c r="N20" s="4"/>
      <c r="O20" s="4"/>
    </row>
    <row r="21" spans="1:15">
      <c r="A21" s="242">
        <v>15</v>
      </c>
      <c r="B21" s="260" t="s">
        <v>892</v>
      </c>
      <c r="C21" s="261">
        <f>SUM(C16:C20)*30/1000</f>
        <v>3.6870299999999996</v>
      </c>
      <c r="D21" s="258" t="s">
        <v>887</v>
      </c>
      <c r="E21" s="248">
        <f>IF(C21&lt;=0,0,กรอกราคาวัสดุ!D57)</f>
        <v>86.92</v>
      </c>
      <c r="F21" s="245">
        <f>IF(C21&lt;=0,0,0)</f>
        <v>0</v>
      </c>
      <c r="G21" s="245">
        <f t="shared" si="0"/>
        <v>86.92</v>
      </c>
      <c r="H21" s="245">
        <f t="shared" si="1"/>
        <v>320.48</v>
      </c>
      <c r="I21" s="246"/>
      <c r="J21" s="4"/>
      <c r="K21" s="261">
        <f>TRUNC(SUM(K16:K20)*25)</f>
        <v>0</v>
      </c>
      <c r="L21" s="256" t="e">
        <f t="shared" si="3"/>
        <v>#NAME?</v>
      </c>
      <c r="M21" s="250"/>
      <c r="N21" s="4"/>
      <c r="O21" s="4"/>
    </row>
    <row r="22" spans="1:15">
      <c r="A22" s="242">
        <v>16</v>
      </c>
      <c r="B22" s="257" t="s">
        <v>201</v>
      </c>
      <c r="C22" s="253">
        <v>0</v>
      </c>
      <c r="D22" s="258" t="s">
        <v>891</v>
      </c>
      <c r="E22" s="248">
        <f>IF(C22&lt;=0,0,กรอกราคาวัสดุ!D73)</f>
        <v>0</v>
      </c>
      <c r="F22" s="245">
        <f>IF(C22&lt;=0,0,0)</f>
        <v>0</v>
      </c>
      <c r="G22" s="245">
        <f t="shared" si="0"/>
        <v>0</v>
      </c>
      <c r="H22" s="245">
        <f t="shared" si="1"/>
        <v>0</v>
      </c>
      <c r="I22" s="246"/>
      <c r="J22" s="4"/>
      <c r="K22" s="253">
        <v>1.4999999999999999E-2</v>
      </c>
      <c r="L22" s="256" t="e">
        <f t="shared" si="3"/>
        <v>#NAME?</v>
      </c>
      <c r="M22" s="250"/>
      <c r="N22" s="4"/>
      <c r="O22" s="4"/>
    </row>
    <row r="23" spans="1:15">
      <c r="A23" s="242">
        <v>17</v>
      </c>
      <c r="B23" s="257" t="s">
        <v>935</v>
      </c>
      <c r="C23" s="253">
        <v>20</v>
      </c>
      <c r="D23" s="258" t="s">
        <v>380</v>
      </c>
      <c r="E23" s="248">
        <f>IF(C23&lt;=0,0,576)/6</f>
        <v>96</v>
      </c>
      <c r="F23" s="245">
        <f>IF(C23&lt;=0,0,0)</f>
        <v>0</v>
      </c>
      <c r="G23" s="245">
        <f t="shared" si="0"/>
        <v>96</v>
      </c>
      <c r="H23" s="245">
        <f t="shared" si="1"/>
        <v>1920</v>
      </c>
      <c r="I23" s="246"/>
      <c r="J23" s="4"/>
      <c r="K23" s="253">
        <v>0.7</v>
      </c>
      <c r="L23" s="256" t="e">
        <f t="shared" si="3"/>
        <v>#NAME?</v>
      </c>
      <c r="M23" s="250"/>
      <c r="N23" s="4"/>
      <c r="O23" s="4"/>
    </row>
    <row r="24" spans="1:15">
      <c r="A24" s="242">
        <v>18</v>
      </c>
      <c r="B24" s="247" t="s">
        <v>1000</v>
      </c>
      <c r="C24" s="262">
        <v>10</v>
      </c>
      <c r="D24" s="253" t="s">
        <v>1001</v>
      </c>
      <c r="E24" s="248">
        <v>840</v>
      </c>
      <c r="F24" s="245">
        <v>215</v>
      </c>
      <c r="G24" s="245">
        <f t="shared" si="0"/>
        <v>1055</v>
      </c>
      <c r="H24" s="245">
        <f t="shared" si="1"/>
        <v>10550</v>
      </c>
      <c r="I24" s="246"/>
      <c r="J24" s="4"/>
      <c r="K24" s="253">
        <v>0.4</v>
      </c>
      <c r="L24" s="256" t="e">
        <f t="shared" si="3"/>
        <v>#NAME?</v>
      </c>
      <c r="M24" s="250"/>
      <c r="N24" s="4"/>
      <c r="O24" s="4"/>
    </row>
    <row r="25" spans="1:15">
      <c r="A25" s="242"/>
      <c r="B25" s="247" t="s">
        <v>1002</v>
      </c>
      <c r="C25" s="253"/>
      <c r="D25" s="258"/>
      <c r="E25" s="248"/>
      <c r="F25" s="245"/>
      <c r="G25" s="245"/>
      <c r="H25" s="245"/>
      <c r="I25" s="246"/>
      <c r="J25" s="4"/>
      <c r="K25" s="253"/>
      <c r="L25" s="256" t="e">
        <f t="shared" si="3"/>
        <v>#NAME?</v>
      </c>
      <c r="M25" s="250"/>
      <c r="N25" s="4"/>
      <c r="O25" s="4"/>
    </row>
    <row r="26" spans="1:15">
      <c r="A26" s="242"/>
      <c r="B26" s="247"/>
      <c r="C26" s="253"/>
      <c r="D26" s="258"/>
      <c r="E26" s="248"/>
      <c r="F26" s="245"/>
      <c r="G26" s="245"/>
      <c r="H26" s="245"/>
      <c r="I26" s="246"/>
      <c r="J26" s="4"/>
      <c r="K26" s="253"/>
      <c r="L26" s="256" t="e">
        <f t="shared" si="3"/>
        <v>#NAME?</v>
      </c>
      <c r="M26" s="250"/>
      <c r="N26" s="4"/>
      <c r="O26" s="4"/>
    </row>
    <row r="27" spans="1:15">
      <c r="A27" s="242"/>
      <c r="B27" s="247"/>
      <c r="C27" s="253"/>
      <c r="D27" s="258"/>
      <c r="E27" s="248"/>
      <c r="F27" s="245"/>
      <c r="G27" s="245"/>
      <c r="H27" s="245"/>
      <c r="I27" s="246"/>
      <c r="J27" s="4"/>
      <c r="K27" s="253"/>
      <c r="L27" s="256" t="e">
        <f t="shared" si="3"/>
        <v>#NAME?</v>
      </c>
      <c r="M27" s="250"/>
      <c r="N27" s="4"/>
      <c r="O27" s="4"/>
    </row>
    <row r="28" spans="1:15">
      <c r="A28" s="7"/>
      <c r="B28" s="263"/>
      <c r="C28" s="264"/>
      <c r="D28" s="265"/>
      <c r="E28" s="266"/>
      <c r="F28" s="267"/>
      <c r="G28" s="267"/>
      <c r="H28" s="267"/>
      <c r="I28" s="268"/>
      <c r="J28" s="4"/>
      <c r="K28" s="253"/>
      <c r="L28" s="256" t="e">
        <f t="shared" si="3"/>
        <v>#NAME?</v>
      </c>
      <c r="M28" s="250"/>
      <c r="N28" s="4"/>
      <c r="O28" s="4"/>
    </row>
    <row r="29" spans="1:15">
      <c r="A29" s="8"/>
      <c r="B29" s="2326" t="s">
        <v>202</v>
      </c>
      <c r="C29" s="2326"/>
      <c r="D29" s="2326"/>
      <c r="E29" s="2326"/>
      <c r="F29" s="2326"/>
      <c r="G29" s="2327"/>
      <c r="H29" s="9">
        <f>SUM(H7:H28)</f>
        <v>26298.2</v>
      </c>
      <c r="I29" s="509">
        <f>H29/10</f>
        <v>2629.82</v>
      </c>
      <c r="J29" s="4"/>
      <c r="K29" s="4"/>
      <c r="L29" s="4"/>
      <c r="M29" s="250"/>
      <c r="N29" s="4"/>
      <c r="O29" s="4"/>
    </row>
    <row r="30" spans="1:15" ht="21.75" thickBot="1">
      <c r="A30" s="8"/>
      <c r="B30" s="2326" t="s">
        <v>930</v>
      </c>
      <c r="C30" s="2326"/>
      <c r="D30" s="2326"/>
      <c r="E30" s="2326"/>
      <c r="F30" s="2326"/>
      <c r="G30" s="2327"/>
      <c r="H30" s="238">
        <f>IF(I29&lt;10000000,ROUNDDOWN(I29,0),ROUNDDOWN(I29,-1))</f>
        <v>2629</v>
      </c>
      <c r="I30" s="10"/>
      <c r="J30" s="4"/>
      <c r="K30" s="4"/>
      <c r="L30" s="4"/>
      <c r="M30" s="250"/>
      <c r="N30" s="4"/>
      <c r="O30" s="4"/>
    </row>
    <row r="31" spans="1:15" ht="21.75" thickTop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250"/>
      <c r="N31" s="4"/>
      <c r="O31" s="4"/>
    </row>
    <row r="32" spans="1:1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250"/>
      <c r="N32" s="4"/>
      <c r="O32" s="4"/>
    </row>
    <row r="33" spans="1:1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250"/>
      <c r="N33" s="4"/>
      <c r="O33" s="4"/>
    </row>
    <row r="34" spans="1:15">
      <c r="A34" s="4"/>
      <c r="B34" s="4"/>
      <c r="C34" s="5"/>
      <c r="D34" s="5" t="str">
        <f>"ผู้ประมาณราคา………...…………….……………."&amp;กรอกข้อมูล!D20</f>
        <v>ผู้ประมาณราคา………...…………….…………….ผู้อำนวยการกองช่าง</v>
      </c>
      <c r="E34" s="5"/>
      <c r="F34" s="5"/>
      <c r="G34" s="5"/>
      <c r="H34" s="5"/>
      <c r="I34" s="5"/>
      <c r="J34" s="4"/>
      <c r="K34" s="4"/>
      <c r="L34" s="4"/>
      <c r="M34" s="250"/>
      <c r="N34" s="4"/>
      <c r="O34" s="4"/>
    </row>
    <row r="35" spans="1:15">
      <c r="A35" s="4"/>
      <c r="B35" s="4"/>
      <c r="C35" s="5"/>
      <c r="D35" s="5"/>
      <c r="E35" s="2333" t="str">
        <f>"(  "&amp;กรอกข้อมูล!B20&amp;"  )"</f>
        <v>(  นายวัชระ  คำแดง  )</v>
      </c>
      <c r="F35" s="2333"/>
      <c r="G35" s="11"/>
      <c r="H35" s="5"/>
      <c r="I35" s="5"/>
      <c r="J35" s="4"/>
      <c r="K35" s="4"/>
      <c r="L35" s="4"/>
      <c r="M35" s="250"/>
      <c r="N35" s="4"/>
      <c r="O35" s="4"/>
    </row>
    <row r="36" spans="1:15" ht="2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49"/>
      <c r="N36" s="2"/>
      <c r="O36" s="2"/>
    </row>
    <row r="37" spans="1:15" ht="2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49"/>
      <c r="N37" s="2"/>
      <c r="O37" s="2"/>
    </row>
    <row r="38" spans="1:15" ht="2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49"/>
      <c r="N38" s="2"/>
      <c r="O38" s="2"/>
    </row>
    <row r="39" spans="1:15" ht="2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49"/>
      <c r="N39" s="2"/>
      <c r="O39" s="2"/>
    </row>
    <row r="40" spans="1:15" ht="2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49"/>
      <c r="N40" s="2"/>
      <c r="O40" s="2"/>
    </row>
    <row r="41" spans="1:15" ht="2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49"/>
      <c r="N41" s="2"/>
      <c r="O41" s="2"/>
    </row>
    <row r="42" spans="1:15" ht="2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49"/>
      <c r="N42" s="2"/>
      <c r="O42" s="2"/>
    </row>
    <row r="43" spans="1:15" ht="2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49"/>
      <c r="N43" s="2"/>
      <c r="O43" s="2"/>
    </row>
    <row r="44" spans="1:15" ht="2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49"/>
      <c r="N44" s="2"/>
      <c r="O44" s="2"/>
    </row>
    <row r="45" spans="1:15" ht="2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49"/>
      <c r="N45" s="2"/>
      <c r="O45" s="2"/>
    </row>
    <row r="46" spans="1:15" ht="2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49"/>
      <c r="N46" s="2"/>
      <c r="O46" s="2"/>
    </row>
    <row r="47" spans="1:15" ht="2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49"/>
      <c r="N47" s="2"/>
      <c r="O47" s="2"/>
    </row>
  </sheetData>
  <mergeCells count="10">
    <mergeCell ref="A5:A6"/>
    <mergeCell ref="B5:B6"/>
    <mergeCell ref="C5:C6"/>
    <mergeCell ref="D5:F5"/>
    <mergeCell ref="E35:F35"/>
    <mergeCell ref="C3:D3"/>
    <mergeCell ref="B30:G30"/>
    <mergeCell ref="G5:G6"/>
    <mergeCell ref="I5:I6"/>
    <mergeCell ref="B29:G29"/>
  </mergeCells>
  <phoneticPr fontId="31" type="noConversion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92D050"/>
  </sheetPr>
  <dimension ref="A1:BA264"/>
  <sheetViews>
    <sheetView workbookViewId="0">
      <selection activeCell="G8" sqref="G8"/>
    </sheetView>
  </sheetViews>
  <sheetFormatPr defaultColWidth="9.33203125" defaultRowHeight="21.75"/>
  <cols>
    <col min="1" max="1" width="5.5" style="233" customWidth="1"/>
    <col min="2" max="2" width="11.33203125" style="233" customWidth="1"/>
    <col min="3" max="3" width="10.1640625" style="233" customWidth="1"/>
    <col min="4" max="4" width="11.33203125" style="233" customWidth="1"/>
    <col min="5" max="5" width="10.1640625" style="233" customWidth="1"/>
    <col min="6" max="6" width="11.33203125" style="233" customWidth="1"/>
    <col min="7" max="7" width="14.83203125" style="233" customWidth="1"/>
    <col min="8" max="8" width="10.1640625" style="233" customWidth="1"/>
    <col min="9" max="9" width="11.33203125" style="233" customWidth="1"/>
    <col min="10" max="10" width="17.1640625" style="233" customWidth="1"/>
    <col min="11" max="11" width="13" style="233" customWidth="1"/>
    <col min="12" max="12" width="6.1640625" style="233" customWidth="1"/>
    <col min="13" max="13" width="7.83203125" style="233" customWidth="1"/>
    <col min="14" max="14" width="9" style="233" customWidth="1"/>
    <col min="15" max="22" width="11.33203125" style="233" customWidth="1"/>
    <col min="23" max="23" width="6.1640625" style="233" customWidth="1"/>
    <col min="24" max="24" width="7.83203125" style="233" customWidth="1"/>
    <col min="25" max="25" width="9" style="233" customWidth="1"/>
    <col min="26" max="33" width="11.33203125" style="233" customWidth="1"/>
    <col min="34" max="34" width="7.83203125" style="233" customWidth="1"/>
    <col min="35" max="35" width="10.1640625" style="233" customWidth="1"/>
    <col min="36" max="39" width="18.33203125" style="233" customWidth="1"/>
    <col min="40" max="40" width="23" style="233" customWidth="1"/>
    <col min="41" max="41" width="16" style="233" customWidth="1"/>
    <col min="42" max="42" width="3.6640625" style="233" customWidth="1"/>
    <col min="43" max="43" width="7.83203125" style="233" customWidth="1"/>
    <col min="44" max="44" width="9" style="233" customWidth="1"/>
    <col min="45" max="51" width="11.33203125" style="233" customWidth="1"/>
    <col min="52" max="52" width="12.5" style="233" customWidth="1"/>
    <col min="53" max="53" width="9.6640625" style="233" customWidth="1"/>
    <col min="54" max="16384" width="9.33203125" style="233"/>
  </cols>
  <sheetData>
    <row r="1" spans="1:53" ht="18" customHeight="1">
      <c r="A1" s="2339" t="s">
        <v>681</v>
      </c>
      <c r="B1" s="2339"/>
      <c r="C1" s="2339"/>
      <c r="D1" s="2339"/>
      <c r="E1" s="2339"/>
      <c r="F1" s="2339"/>
      <c r="G1" s="2339"/>
      <c r="H1" s="2339"/>
      <c r="I1" s="2339"/>
      <c r="J1" s="2339"/>
      <c r="L1" s="2336" t="s">
        <v>682</v>
      </c>
      <c r="M1" s="2336"/>
      <c r="N1" s="2336"/>
      <c r="O1" s="2336"/>
      <c r="P1" s="2336"/>
      <c r="Q1" s="2336"/>
      <c r="R1" s="2336"/>
      <c r="S1" s="2336"/>
      <c r="T1" s="2336"/>
      <c r="U1" s="2336"/>
      <c r="V1" s="2336"/>
      <c r="W1" s="2336" t="s">
        <v>683</v>
      </c>
      <c r="X1" s="2336"/>
      <c r="Y1" s="2336"/>
      <c r="Z1" s="2336"/>
      <c r="AA1" s="2336"/>
      <c r="AB1" s="2336"/>
      <c r="AC1" s="2336"/>
      <c r="AD1" s="2336"/>
      <c r="AE1" s="2336"/>
      <c r="AF1" s="2336"/>
      <c r="AG1" s="2336"/>
      <c r="AH1" s="2336" t="s">
        <v>684</v>
      </c>
      <c r="AI1" s="2336"/>
      <c r="AJ1" s="2336"/>
      <c r="AK1" s="2336"/>
      <c r="AL1" s="2336"/>
      <c r="AM1" s="2336"/>
      <c r="AN1" s="2336"/>
      <c r="AO1" s="91"/>
    </row>
    <row r="2" spans="1:53" ht="18" customHeight="1">
      <c r="A2" s="2348" t="s">
        <v>877</v>
      </c>
      <c r="B2" s="2348"/>
      <c r="C2" s="2348"/>
      <c r="D2" s="2348"/>
      <c r="E2" s="2348"/>
      <c r="F2" s="2348"/>
      <c r="G2" s="2348"/>
      <c r="H2" s="2348"/>
      <c r="I2" s="2348"/>
      <c r="J2" s="2348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117" t="s">
        <v>878</v>
      </c>
      <c r="X2" s="314"/>
      <c r="Y2" s="277"/>
      <c r="Z2" s="277"/>
      <c r="AA2" s="277"/>
      <c r="AB2" s="277"/>
      <c r="AC2" s="277"/>
      <c r="AD2" s="277"/>
      <c r="AE2" s="277"/>
      <c r="AF2" s="277"/>
      <c r="AG2" s="277"/>
    </row>
    <row r="3" spans="1:53" ht="18" customHeight="1">
      <c r="A3" s="117" t="s">
        <v>687</v>
      </c>
      <c r="B3" s="154"/>
      <c r="C3" s="331"/>
      <c r="D3" s="331"/>
      <c r="E3" s="331"/>
      <c r="F3" s="331"/>
      <c r="G3" s="331"/>
      <c r="H3" s="331"/>
      <c r="I3" s="331"/>
      <c r="J3" s="331"/>
      <c r="K3" s="331"/>
      <c r="L3" s="117" t="s">
        <v>879</v>
      </c>
      <c r="M3" s="314"/>
      <c r="N3" s="277"/>
      <c r="O3" s="277"/>
      <c r="P3" s="277"/>
      <c r="Q3" s="277"/>
      <c r="R3" s="277"/>
      <c r="S3" s="277"/>
      <c r="T3" s="277"/>
      <c r="U3" s="277"/>
      <c r="V3" s="277"/>
      <c r="W3" s="314"/>
      <c r="X3" s="117" t="s">
        <v>689</v>
      </c>
      <c r="Y3" s="135"/>
      <c r="Z3" s="135"/>
      <c r="AA3" s="135">
        <v>10</v>
      </c>
      <c r="AB3" s="135" t="s">
        <v>505</v>
      </c>
      <c r="AC3" s="277"/>
      <c r="AD3" s="277"/>
      <c r="AE3" s="277"/>
      <c r="AF3" s="277"/>
      <c r="AG3" s="277"/>
      <c r="AH3" s="135" t="s">
        <v>690</v>
      </c>
      <c r="BA3" s="344"/>
    </row>
    <row r="4" spans="1:53" ht="18" customHeight="1">
      <c r="A4" s="117" t="s">
        <v>880</v>
      </c>
      <c r="B4" s="440"/>
      <c r="C4" s="212"/>
      <c r="D4" s="212"/>
      <c r="E4" s="212"/>
      <c r="F4" s="212"/>
      <c r="G4" s="212"/>
      <c r="H4" s="277"/>
      <c r="I4" s="277"/>
      <c r="J4" s="277"/>
      <c r="L4" s="314"/>
      <c r="M4" s="117" t="s">
        <v>692</v>
      </c>
      <c r="N4" s="135"/>
      <c r="O4" s="135"/>
      <c r="P4" s="135">
        <v>10</v>
      </c>
      <c r="Q4" s="135" t="s">
        <v>505</v>
      </c>
      <c r="R4" s="277"/>
      <c r="S4" s="277"/>
      <c r="T4" s="277"/>
      <c r="U4" s="277"/>
      <c r="V4" s="277"/>
      <c r="W4" s="2343" t="s">
        <v>195</v>
      </c>
      <c r="X4" s="2349" t="s">
        <v>693</v>
      </c>
      <c r="Y4" s="2350"/>
      <c r="Z4" s="2350"/>
      <c r="AA4" s="2351"/>
      <c r="AB4" s="2343" t="s">
        <v>184</v>
      </c>
      <c r="AC4" s="2343" t="s">
        <v>183</v>
      </c>
      <c r="AD4" s="2337" t="s">
        <v>694</v>
      </c>
      <c r="AE4" s="2338"/>
      <c r="AF4" s="2337" t="s">
        <v>695</v>
      </c>
      <c r="AG4" s="2338"/>
      <c r="AH4" s="277"/>
      <c r="AI4" s="277" t="s">
        <v>696</v>
      </c>
      <c r="AJ4" s="277"/>
      <c r="AK4" s="277"/>
      <c r="AL4" s="277"/>
      <c r="AM4" s="277"/>
      <c r="AN4" s="277"/>
      <c r="BA4" s="160"/>
    </row>
    <row r="5" spans="1:53" ht="18" customHeight="1">
      <c r="A5" s="277" t="s">
        <v>697</v>
      </c>
      <c r="B5" s="277"/>
      <c r="C5" s="277">
        <v>5</v>
      </c>
      <c r="D5" s="277" t="s">
        <v>639</v>
      </c>
      <c r="E5" s="277"/>
      <c r="F5" s="277" t="s">
        <v>394</v>
      </c>
      <c r="G5" s="212"/>
      <c r="H5" s="277">
        <v>2.5</v>
      </c>
      <c r="I5" s="277" t="s">
        <v>395</v>
      </c>
      <c r="J5" s="277"/>
      <c r="L5" s="2343" t="s">
        <v>195</v>
      </c>
      <c r="M5" s="2349" t="s">
        <v>693</v>
      </c>
      <c r="N5" s="2350"/>
      <c r="O5" s="2350"/>
      <c r="P5" s="2351"/>
      <c r="Q5" s="2343" t="s">
        <v>184</v>
      </c>
      <c r="R5" s="2343" t="s">
        <v>183</v>
      </c>
      <c r="S5" s="2337" t="s">
        <v>694</v>
      </c>
      <c r="T5" s="2338"/>
      <c r="U5" s="2337" t="s">
        <v>695</v>
      </c>
      <c r="V5" s="2338"/>
      <c r="W5" s="2344"/>
      <c r="X5" s="2352"/>
      <c r="Y5" s="2353"/>
      <c r="Z5" s="2353"/>
      <c r="AA5" s="2354"/>
      <c r="AB5" s="2344"/>
      <c r="AC5" s="2344"/>
      <c r="AD5" s="2334" t="s">
        <v>927</v>
      </c>
      <c r="AE5" s="2335"/>
      <c r="AF5" s="2334" t="s">
        <v>927</v>
      </c>
      <c r="AG5" s="2335"/>
      <c r="AH5" s="277"/>
      <c r="AI5" s="277" t="s">
        <v>396</v>
      </c>
      <c r="AJ5" s="277"/>
      <c r="AK5" s="277"/>
      <c r="AL5" s="277"/>
      <c r="AM5" s="277">
        <v>0.25</v>
      </c>
      <c r="AN5" s="277" t="s">
        <v>397</v>
      </c>
      <c r="BA5" s="160"/>
    </row>
    <row r="6" spans="1:53" ht="19.5" customHeight="1">
      <c r="A6" s="2345" t="s">
        <v>398</v>
      </c>
      <c r="B6" s="2347"/>
      <c r="C6" s="2345" t="s">
        <v>399</v>
      </c>
      <c r="D6" s="2347"/>
      <c r="E6" s="157" t="s">
        <v>646</v>
      </c>
      <c r="F6" s="2345" t="s">
        <v>400</v>
      </c>
      <c r="G6" s="2347"/>
      <c r="H6" s="2345" t="s">
        <v>401</v>
      </c>
      <c r="I6" s="2346"/>
      <c r="J6" s="2347"/>
      <c r="L6" s="2344"/>
      <c r="M6" s="2352"/>
      <c r="N6" s="2353"/>
      <c r="O6" s="2353"/>
      <c r="P6" s="2354"/>
      <c r="Q6" s="2344"/>
      <c r="R6" s="2344"/>
      <c r="S6" s="2334" t="s">
        <v>927</v>
      </c>
      <c r="T6" s="2335"/>
      <c r="U6" s="2334" t="s">
        <v>927</v>
      </c>
      <c r="V6" s="2335"/>
      <c r="W6" s="187">
        <v>1</v>
      </c>
      <c r="X6" s="188" t="s">
        <v>402</v>
      </c>
      <c r="Y6" s="195"/>
      <c r="Z6" s="195"/>
      <c r="AA6" s="279"/>
      <c r="AB6" s="180"/>
      <c r="AC6" s="180"/>
      <c r="AD6" s="181"/>
      <c r="AE6" s="183"/>
      <c r="AF6" s="181"/>
      <c r="AG6" s="183" t="s">
        <v>403</v>
      </c>
      <c r="AH6" s="277"/>
      <c r="AI6" s="277" t="s">
        <v>404</v>
      </c>
      <c r="AJ6" s="277"/>
      <c r="AK6" s="277"/>
      <c r="AL6" s="277"/>
      <c r="AM6" s="277"/>
      <c r="AN6" s="277"/>
    </row>
    <row r="7" spans="1:53" ht="19.5" customHeight="1">
      <c r="A7" s="2355" t="s">
        <v>505</v>
      </c>
      <c r="B7" s="2356"/>
      <c r="C7" s="2355" t="s">
        <v>505</v>
      </c>
      <c r="D7" s="2356"/>
      <c r="E7" s="166" t="s">
        <v>654</v>
      </c>
      <c r="F7" s="2355" t="s">
        <v>918</v>
      </c>
      <c r="G7" s="2356"/>
      <c r="H7" s="2355" t="s">
        <v>494</v>
      </c>
      <c r="I7" s="2357"/>
      <c r="J7" s="2356"/>
      <c r="L7" s="167">
        <v>1</v>
      </c>
      <c r="M7" s="168" t="s">
        <v>405</v>
      </c>
      <c r="N7" s="169"/>
      <c r="O7" s="169"/>
      <c r="P7" s="170"/>
      <c r="Q7" s="171"/>
      <c r="R7" s="171"/>
      <c r="S7" s="172"/>
      <c r="T7" s="170"/>
      <c r="U7" s="172"/>
      <c r="V7" s="170"/>
      <c r="W7" s="180">
        <v>1.1000000000000001</v>
      </c>
      <c r="X7" s="181" t="s">
        <v>406</v>
      </c>
      <c r="Y7" s="138"/>
      <c r="Z7" s="138"/>
      <c r="AA7" s="182"/>
      <c r="AB7" s="180" t="s">
        <v>407</v>
      </c>
      <c r="AC7" s="180">
        <v>0</v>
      </c>
      <c r="AD7" s="181"/>
      <c r="AE7" s="280">
        <v>30000</v>
      </c>
      <c r="AF7" s="181"/>
      <c r="AG7" s="183">
        <f t="shared" ref="AG7:AG12" si="0">(AC7*AE7)</f>
        <v>0</v>
      </c>
      <c r="AH7" s="277"/>
      <c r="AI7" s="277" t="s">
        <v>408</v>
      </c>
      <c r="AJ7" s="277"/>
      <c r="AK7" s="277"/>
      <c r="AL7" s="277"/>
      <c r="AM7" s="277">
        <v>0.05</v>
      </c>
      <c r="AN7" s="277" t="s">
        <v>397</v>
      </c>
    </row>
    <row r="8" spans="1:53" ht="18" customHeight="1">
      <c r="A8" s="441" t="s">
        <v>510</v>
      </c>
      <c r="B8" s="271">
        <f>'F(Bridge)'!B10</f>
        <v>5</v>
      </c>
      <c r="C8" s="172"/>
      <c r="D8" s="282">
        <f t="shared" ref="D8:D43" si="1">(B8*$C$5)/100</f>
        <v>0.25</v>
      </c>
      <c r="E8" s="271">
        <v>6</v>
      </c>
      <c r="F8" s="172"/>
      <c r="G8" s="283">
        <f>(D8*1000000)*($H$5/100)*(E8/12)</f>
        <v>3125</v>
      </c>
      <c r="H8" s="442"/>
      <c r="I8" s="335"/>
      <c r="J8" s="284">
        <f t="shared" ref="J8:J43" si="2">(G8*100)/(B8*1000000)</f>
        <v>6.25E-2</v>
      </c>
      <c r="L8" s="180">
        <v>1.1000000000000001</v>
      </c>
      <c r="M8" s="181" t="s">
        <v>409</v>
      </c>
      <c r="N8" s="138"/>
      <c r="O8" s="138"/>
      <c r="P8" s="182"/>
      <c r="Q8" s="180" t="s">
        <v>410</v>
      </c>
      <c r="R8" s="180">
        <v>1</v>
      </c>
      <c r="S8" s="181"/>
      <c r="T8" s="183">
        <v>3500</v>
      </c>
      <c r="U8" s="181"/>
      <c r="V8" s="183">
        <f>(R8*T8)</f>
        <v>3500</v>
      </c>
      <c r="W8" s="180">
        <v>1.2</v>
      </c>
      <c r="X8" s="181" t="s">
        <v>411</v>
      </c>
      <c r="Y8" s="138"/>
      <c r="Z8" s="138"/>
      <c r="AA8" s="182"/>
      <c r="AB8" s="180" t="s">
        <v>407</v>
      </c>
      <c r="AC8" s="180">
        <v>1</v>
      </c>
      <c r="AD8" s="181"/>
      <c r="AE8" s="183">
        <v>15000</v>
      </c>
      <c r="AF8" s="181"/>
      <c r="AG8" s="183">
        <f t="shared" si="0"/>
        <v>15000</v>
      </c>
      <c r="AH8" s="277"/>
      <c r="AI8" s="445" t="s">
        <v>412</v>
      </c>
      <c r="AJ8" s="299"/>
      <c r="AK8" s="299"/>
      <c r="AL8" s="299"/>
      <c r="AM8" s="445">
        <v>0.3</v>
      </c>
      <c r="AN8" s="445" t="s">
        <v>397</v>
      </c>
    </row>
    <row r="9" spans="1:53" ht="18" customHeight="1">
      <c r="A9" s="181"/>
      <c r="B9" s="271">
        <f>'F(Bridge)'!B11</f>
        <v>10</v>
      </c>
      <c r="C9" s="181"/>
      <c r="D9" s="286">
        <f t="shared" si="1"/>
        <v>0.5</v>
      </c>
      <c r="E9" s="271">
        <v>9</v>
      </c>
      <c r="F9" s="181"/>
      <c r="G9" s="407">
        <f>(D9*1000000)*($H$5/100)*(E9/12)</f>
        <v>9375</v>
      </c>
      <c r="H9" s="443"/>
      <c r="I9" s="335"/>
      <c r="J9" s="287">
        <f t="shared" si="2"/>
        <v>9.375E-2</v>
      </c>
      <c r="L9" s="180">
        <v>1.2</v>
      </c>
      <c r="M9" s="181" t="s">
        <v>413</v>
      </c>
      <c r="N9" s="138"/>
      <c r="O9" s="138"/>
      <c r="P9" s="182"/>
      <c r="Q9" s="180" t="s">
        <v>414</v>
      </c>
      <c r="R9" s="180">
        <v>1</v>
      </c>
      <c r="S9" s="181"/>
      <c r="T9" s="183">
        <v>3000</v>
      </c>
      <c r="U9" s="181"/>
      <c r="V9" s="183">
        <f t="shared" ref="V9:V16" si="3">(R9*T9)</f>
        <v>3000</v>
      </c>
      <c r="W9" s="180">
        <v>1.3</v>
      </c>
      <c r="X9" s="181" t="s">
        <v>415</v>
      </c>
      <c r="Y9" s="138"/>
      <c r="Z9" s="138"/>
      <c r="AA9" s="182"/>
      <c r="AB9" s="180" t="s">
        <v>407</v>
      </c>
      <c r="AC9" s="180">
        <v>1</v>
      </c>
      <c r="AD9" s="181"/>
      <c r="AE9" s="183">
        <v>8000</v>
      </c>
      <c r="AF9" s="181"/>
      <c r="AG9" s="183">
        <f t="shared" si="0"/>
        <v>8000</v>
      </c>
    </row>
    <row r="10" spans="1:53" ht="18" customHeight="1">
      <c r="A10" s="181"/>
      <c r="B10" s="271">
        <f>'F(Bridge)'!B12</f>
        <v>15</v>
      </c>
      <c r="C10" s="181"/>
      <c r="D10" s="286">
        <f t="shared" si="1"/>
        <v>0.75</v>
      </c>
      <c r="E10" s="271">
        <v>12</v>
      </c>
      <c r="F10" s="181"/>
      <c r="G10" s="407">
        <f t="shared" ref="G10:G43" si="4">(D10*1000000)*($H$5/100)*(E10/12)</f>
        <v>18750</v>
      </c>
      <c r="H10" s="443"/>
      <c r="I10" s="335"/>
      <c r="J10" s="287">
        <f t="shared" si="2"/>
        <v>0.125</v>
      </c>
      <c r="L10" s="180">
        <v>1.3</v>
      </c>
      <c r="M10" s="181" t="s">
        <v>419</v>
      </c>
      <c r="N10" s="138"/>
      <c r="O10" s="138"/>
      <c r="P10" s="182"/>
      <c r="Q10" s="180" t="s">
        <v>890</v>
      </c>
      <c r="R10" s="186">
        <v>400</v>
      </c>
      <c r="S10" s="181"/>
      <c r="T10" s="183">
        <v>2</v>
      </c>
      <c r="U10" s="181"/>
      <c r="V10" s="183">
        <f t="shared" si="3"/>
        <v>800</v>
      </c>
      <c r="W10" s="180">
        <v>1.4</v>
      </c>
      <c r="X10" s="181" t="s">
        <v>420</v>
      </c>
      <c r="Y10" s="138"/>
      <c r="Z10" s="138"/>
      <c r="AA10" s="182"/>
      <c r="AB10" s="180" t="s">
        <v>407</v>
      </c>
      <c r="AC10" s="180">
        <v>0</v>
      </c>
      <c r="AD10" s="181"/>
      <c r="AE10" s="183">
        <v>7000</v>
      </c>
      <c r="AF10" s="181"/>
      <c r="AG10" s="183">
        <f t="shared" si="0"/>
        <v>0</v>
      </c>
    </row>
    <row r="11" spans="1:53" ht="18" customHeight="1">
      <c r="A11" s="181"/>
      <c r="B11" s="271">
        <f>'F(Bridge)'!B13</f>
        <v>20</v>
      </c>
      <c r="C11" s="181"/>
      <c r="D11" s="286">
        <f t="shared" si="1"/>
        <v>1</v>
      </c>
      <c r="E11" s="499">
        <v>15</v>
      </c>
      <c r="F11" s="181"/>
      <c r="G11" s="407">
        <f t="shared" si="4"/>
        <v>31250</v>
      </c>
      <c r="H11" s="443"/>
      <c r="I11" s="335"/>
      <c r="J11" s="287">
        <f t="shared" si="2"/>
        <v>0.15625</v>
      </c>
      <c r="L11" s="180">
        <v>1.4</v>
      </c>
      <c r="M11" s="181" t="s">
        <v>421</v>
      </c>
      <c r="N11" s="138"/>
      <c r="O11" s="138"/>
      <c r="P11" s="182"/>
      <c r="Q11" s="180" t="s">
        <v>422</v>
      </c>
      <c r="R11" s="180">
        <v>1</v>
      </c>
      <c r="S11" s="181"/>
      <c r="T11" s="183">
        <v>2000</v>
      </c>
      <c r="U11" s="181"/>
      <c r="V11" s="183">
        <f t="shared" si="3"/>
        <v>2000</v>
      </c>
      <c r="W11" s="180">
        <v>1.5</v>
      </c>
      <c r="X11" s="181" t="s">
        <v>423</v>
      </c>
      <c r="Y11" s="138"/>
      <c r="Z11" s="138"/>
      <c r="AA11" s="182"/>
      <c r="AB11" s="180" t="s">
        <v>407</v>
      </c>
      <c r="AC11" s="180">
        <v>0</v>
      </c>
      <c r="AD11" s="181"/>
      <c r="AE11" s="183">
        <v>6000</v>
      </c>
      <c r="AF11" s="181"/>
      <c r="AG11" s="183">
        <f t="shared" si="0"/>
        <v>0</v>
      </c>
    </row>
    <row r="12" spans="1:53" ht="18" customHeight="1">
      <c r="A12" s="181"/>
      <c r="B12" s="271">
        <f>'F(Bridge)'!B14</f>
        <v>25</v>
      </c>
      <c r="C12" s="181"/>
      <c r="D12" s="286">
        <f t="shared" si="1"/>
        <v>1.25</v>
      </c>
      <c r="E12" s="271">
        <v>15</v>
      </c>
      <c r="F12" s="181"/>
      <c r="G12" s="407">
        <f t="shared" si="4"/>
        <v>39062.5</v>
      </c>
      <c r="H12" s="443"/>
      <c r="I12" s="335"/>
      <c r="J12" s="287">
        <f t="shared" si="2"/>
        <v>0.15625</v>
      </c>
      <c r="L12" s="187">
        <v>2</v>
      </c>
      <c r="M12" s="188" t="s">
        <v>424</v>
      </c>
      <c r="N12" s="138"/>
      <c r="O12" s="138"/>
      <c r="P12" s="182"/>
      <c r="Q12" s="180"/>
      <c r="R12" s="180"/>
      <c r="S12" s="181"/>
      <c r="T12" s="183"/>
      <c r="U12" s="181"/>
      <c r="V12" s="183">
        <v>0</v>
      </c>
      <c r="W12" s="180">
        <v>1.6</v>
      </c>
      <c r="X12" s="181" t="s">
        <v>425</v>
      </c>
      <c r="Y12" s="138"/>
      <c r="Z12" s="138"/>
      <c r="AA12" s="182"/>
      <c r="AB12" s="180" t="s">
        <v>407</v>
      </c>
      <c r="AC12" s="180">
        <v>1</v>
      </c>
      <c r="AD12" s="181"/>
      <c r="AE12" s="491">
        <v>4000</v>
      </c>
      <c r="AF12" s="181"/>
      <c r="AG12" s="491">
        <f t="shared" si="0"/>
        <v>4000</v>
      </c>
    </row>
    <row r="13" spans="1:53" ht="18" customHeight="1">
      <c r="A13" s="181"/>
      <c r="B13" s="271">
        <f>'F(Bridge)'!B15</f>
        <v>30</v>
      </c>
      <c r="C13" s="181"/>
      <c r="D13" s="286">
        <f t="shared" si="1"/>
        <v>1.5</v>
      </c>
      <c r="E13" s="271">
        <v>18</v>
      </c>
      <c r="F13" s="181"/>
      <c r="G13" s="407">
        <f t="shared" si="4"/>
        <v>56250</v>
      </c>
      <c r="H13" s="443"/>
      <c r="I13" s="335"/>
      <c r="J13" s="287">
        <f t="shared" si="2"/>
        <v>0.1875</v>
      </c>
      <c r="L13" s="180">
        <v>2.1</v>
      </c>
      <c r="M13" s="181" t="s">
        <v>426</v>
      </c>
      <c r="N13" s="138"/>
      <c r="O13" s="138"/>
      <c r="P13" s="182"/>
      <c r="Q13" s="180" t="s">
        <v>427</v>
      </c>
      <c r="R13" s="180">
        <v>1</v>
      </c>
      <c r="S13" s="181"/>
      <c r="T13" s="183">
        <v>21500</v>
      </c>
      <c r="U13" s="181"/>
      <c r="V13" s="183">
        <f t="shared" si="3"/>
        <v>21500</v>
      </c>
      <c r="W13" s="2340" t="s">
        <v>186</v>
      </c>
      <c r="X13" s="2341"/>
      <c r="Y13" s="2341"/>
      <c r="Z13" s="2341"/>
      <c r="AA13" s="2341"/>
      <c r="AB13" s="2341"/>
      <c r="AC13" s="2341"/>
      <c r="AD13" s="2341"/>
      <c r="AE13" s="2342"/>
      <c r="AF13" s="217"/>
      <c r="AG13" s="194">
        <f>SUM(AG7:AG12)</f>
        <v>27000</v>
      </c>
    </row>
    <row r="14" spans="1:53" ht="18" customHeight="1">
      <c r="A14" s="181"/>
      <c r="B14" s="271">
        <f>'F(Bridge)'!B16</f>
        <v>35</v>
      </c>
      <c r="C14" s="181"/>
      <c r="D14" s="286">
        <f t="shared" si="1"/>
        <v>1.75</v>
      </c>
      <c r="E14" s="499">
        <v>19</v>
      </c>
      <c r="F14" s="181"/>
      <c r="G14" s="407">
        <f t="shared" si="4"/>
        <v>69270.833333333328</v>
      </c>
      <c r="H14" s="443"/>
      <c r="I14" s="335"/>
      <c r="J14" s="287">
        <f t="shared" si="2"/>
        <v>0.19791666666666666</v>
      </c>
      <c r="L14" s="180">
        <v>2.2000000000000002</v>
      </c>
      <c r="M14" s="181" t="s">
        <v>947</v>
      </c>
      <c r="N14" s="138"/>
      <c r="O14" s="138"/>
      <c r="P14" s="182"/>
      <c r="Q14" s="180" t="s">
        <v>427</v>
      </c>
      <c r="R14" s="180">
        <v>1</v>
      </c>
      <c r="S14" s="181"/>
      <c r="T14" s="183">
        <v>3600</v>
      </c>
      <c r="U14" s="181"/>
      <c r="V14" s="183">
        <f t="shared" si="3"/>
        <v>3600</v>
      </c>
      <c r="W14" s="187">
        <v>2</v>
      </c>
      <c r="X14" s="188" t="s">
        <v>948</v>
      </c>
      <c r="Y14" s="195"/>
      <c r="Z14" s="195"/>
      <c r="AA14" s="279"/>
      <c r="AB14" s="180"/>
      <c r="AC14" s="180"/>
      <c r="AD14" s="181"/>
      <c r="AE14" s="183"/>
      <c r="AF14" s="181"/>
      <c r="AG14" s="183" t="s">
        <v>403</v>
      </c>
    </row>
    <row r="15" spans="1:53" ht="18" customHeight="1">
      <c r="A15" s="181"/>
      <c r="B15" s="271">
        <f>'F(Bridge)'!B17</f>
        <v>40</v>
      </c>
      <c r="C15" s="181"/>
      <c r="D15" s="286">
        <f t="shared" si="1"/>
        <v>2</v>
      </c>
      <c r="E15" s="499">
        <v>19</v>
      </c>
      <c r="F15" s="181"/>
      <c r="G15" s="407">
        <f t="shared" si="4"/>
        <v>79166.666666666657</v>
      </c>
      <c r="H15" s="443"/>
      <c r="I15" s="335"/>
      <c r="J15" s="287">
        <f t="shared" si="2"/>
        <v>0.19791666666666666</v>
      </c>
      <c r="L15" s="180">
        <v>2.2999999999999998</v>
      </c>
      <c r="M15" s="181" t="s">
        <v>949</v>
      </c>
      <c r="N15" s="138"/>
      <c r="O15" s="138"/>
      <c r="P15" s="182"/>
      <c r="Q15" s="180" t="s">
        <v>427</v>
      </c>
      <c r="R15" s="180">
        <v>1</v>
      </c>
      <c r="S15" s="181"/>
      <c r="T15" s="183">
        <v>1000</v>
      </c>
      <c r="U15" s="181"/>
      <c r="V15" s="183">
        <f t="shared" si="3"/>
        <v>1000</v>
      </c>
      <c r="W15" s="180">
        <v>2.1</v>
      </c>
      <c r="X15" s="181" t="s">
        <v>946</v>
      </c>
      <c r="Y15" s="138"/>
      <c r="Z15" s="138"/>
      <c r="AA15" s="182"/>
      <c r="AB15" s="180"/>
      <c r="AC15" s="180">
        <v>1</v>
      </c>
      <c r="AD15" s="181"/>
      <c r="AE15" s="183">
        <v>3000</v>
      </c>
      <c r="AF15" s="181"/>
      <c r="AG15" s="491">
        <f t="shared" ref="AG15:AG21" si="5">(AC15*AE15)/4</f>
        <v>750</v>
      </c>
    </row>
    <row r="16" spans="1:53" ht="18" customHeight="1">
      <c r="A16" s="181"/>
      <c r="B16" s="271">
        <f>'F(Bridge)'!B18</f>
        <v>45</v>
      </c>
      <c r="C16" s="181"/>
      <c r="D16" s="286">
        <f t="shared" si="1"/>
        <v>2.25</v>
      </c>
      <c r="E16" s="499">
        <v>19</v>
      </c>
      <c r="F16" s="181"/>
      <c r="G16" s="407">
        <f t="shared" si="4"/>
        <v>89062.5</v>
      </c>
      <c r="H16" s="443"/>
      <c r="I16" s="335"/>
      <c r="J16" s="287">
        <f t="shared" si="2"/>
        <v>0.19791666666666666</v>
      </c>
      <c r="L16" s="180">
        <v>2.4</v>
      </c>
      <c r="M16" s="181" t="s">
        <v>226</v>
      </c>
      <c r="N16" s="138"/>
      <c r="O16" s="138"/>
      <c r="P16" s="182"/>
      <c r="Q16" s="180" t="s">
        <v>427</v>
      </c>
      <c r="R16" s="180">
        <v>1</v>
      </c>
      <c r="S16" s="181"/>
      <c r="T16" s="183">
        <v>840</v>
      </c>
      <c r="U16" s="181"/>
      <c r="V16" s="183">
        <f t="shared" si="3"/>
        <v>840</v>
      </c>
      <c r="W16" s="180">
        <v>2.2000000000000002</v>
      </c>
      <c r="X16" s="181" t="s">
        <v>252</v>
      </c>
      <c r="Y16" s="138"/>
      <c r="Z16" s="138"/>
      <c r="AA16" s="182"/>
      <c r="AB16" s="180"/>
      <c r="AC16" s="180">
        <v>1</v>
      </c>
      <c r="AD16" s="181"/>
      <c r="AE16" s="183">
        <v>3000</v>
      </c>
      <c r="AF16" s="181"/>
      <c r="AG16" s="491">
        <f t="shared" si="5"/>
        <v>750</v>
      </c>
    </row>
    <row r="17" spans="1:33" ht="18" customHeight="1">
      <c r="A17" s="181"/>
      <c r="B17" s="271">
        <f>'F(Bridge)'!B19</f>
        <v>50</v>
      </c>
      <c r="C17" s="181"/>
      <c r="D17" s="286">
        <f t="shared" si="1"/>
        <v>2.5</v>
      </c>
      <c r="E17" s="499">
        <v>19</v>
      </c>
      <c r="F17" s="181"/>
      <c r="G17" s="407">
        <f t="shared" si="4"/>
        <v>98958.333333333328</v>
      </c>
      <c r="H17" s="443"/>
      <c r="I17" s="335"/>
      <c r="J17" s="287">
        <f t="shared" si="2"/>
        <v>0.19791666666666663</v>
      </c>
      <c r="L17" s="2340" t="s">
        <v>186</v>
      </c>
      <c r="M17" s="2341"/>
      <c r="N17" s="2341"/>
      <c r="O17" s="2341"/>
      <c r="P17" s="2341"/>
      <c r="Q17" s="2341"/>
      <c r="R17" s="2341"/>
      <c r="S17" s="2341"/>
      <c r="T17" s="2342"/>
      <c r="U17" s="193"/>
      <c r="V17" s="194">
        <f>SUM(V8:V16)</f>
        <v>36240</v>
      </c>
      <c r="W17" s="180">
        <v>2.2999999999999998</v>
      </c>
      <c r="X17" s="181" t="s">
        <v>253</v>
      </c>
      <c r="Y17" s="138"/>
      <c r="Z17" s="138"/>
      <c r="AA17" s="182"/>
      <c r="AB17" s="180" t="s">
        <v>407</v>
      </c>
      <c r="AC17" s="180">
        <v>1</v>
      </c>
      <c r="AD17" s="181"/>
      <c r="AE17" s="183">
        <v>30000</v>
      </c>
      <c r="AF17" s="181"/>
      <c r="AG17" s="183">
        <f t="shared" si="5"/>
        <v>7500</v>
      </c>
    </row>
    <row r="18" spans="1:33" ht="18" customHeight="1">
      <c r="A18" s="181"/>
      <c r="B18" s="271">
        <f>'F(Bridge)'!B20</f>
        <v>55</v>
      </c>
      <c r="C18" s="181"/>
      <c r="D18" s="286">
        <f t="shared" si="1"/>
        <v>2.75</v>
      </c>
      <c r="E18" s="499">
        <v>19</v>
      </c>
      <c r="F18" s="181"/>
      <c r="G18" s="407">
        <f t="shared" si="4"/>
        <v>108854.16666666666</v>
      </c>
      <c r="H18" s="443"/>
      <c r="I18" s="335"/>
      <c r="J18" s="287">
        <f t="shared" si="2"/>
        <v>0.19791666666666666</v>
      </c>
      <c r="L18" s="195" t="s">
        <v>254</v>
      </c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80">
        <v>2.4</v>
      </c>
      <c r="X18" s="181" t="s">
        <v>255</v>
      </c>
      <c r="Y18" s="138"/>
      <c r="Z18" s="138"/>
      <c r="AA18" s="182"/>
      <c r="AB18" s="180" t="s">
        <v>407</v>
      </c>
      <c r="AC18" s="180">
        <v>1</v>
      </c>
      <c r="AD18" s="181"/>
      <c r="AE18" s="183">
        <v>8000</v>
      </c>
      <c r="AF18" s="181"/>
      <c r="AG18" s="183">
        <f t="shared" si="5"/>
        <v>2000</v>
      </c>
    </row>
    <row r="19" spans="1:33" ht="18" customHeight="1">
      <c r="A19" s="181"/>
      <c r="B19" s="271">
        <f>'F(Bridge)'!B21</f>
        <v>60</v>
      </c>
      <c r="C19" s="181"/>
      <c r="D19" s="286">
        <f t="shared" si="1"/>
        <v>3</v>
      </c>
      <c r="E19" s="499">
        <v>19</v>
      </c>
      <c r="F19" s="181"/>
      <c r="G19" s="407">
        <f t="shared" si="4"/>
        <v>118750</v>
      </c>
      <c r="H19" s="443"/>
      <c r="I19" s="335"/>
      <c r="J19" s="287">
        <f t="shared" si="2"/>
        <v>0.19791666666666666</v>
      </c>
      <c r="L19" s="138" t="s">
        <v>256</v>
      </c>
      <c r="M19" s="138"/>
      <c r="N19" s="138"/>
      <c r="O19" s="138"/>
      <c r="P19" s="196">
        <v>550</v>
      </c>
      <c r="Q19" s="138" t="s">
        <v>257</v>
      </c>
      <c r="R19" s="138" t="s">
        <v>881</v>
      </c>
      <c r="S19" s="138"/>
      <c r="T19" s="138"/>
      <c r="U19" s="196">
        <v>6</v>
      </c>
      <c r="V19" s="138" t="s">
        <v>259</v>
      </c>
      <c r="W19" s="180">
        <v>2.5</v>
      </c>
      <c r="X19" s="181" t="s">
        <v>260</v>
      </c>
      <c r="Y19" s="138"/>
      <c r="Z19" s="138"/>
      <c r="AA19" s="182"/>
      <c r="AB19" s="180" t="s">
        <v>407</v>
      </c>
      <c r="AC19" s="180">
        <v>1</v>
      </c>
      <c r="AD19" s="181"/>
      <c r="AE19" s="183">
        <v>8000</v>
      </c>
      <c r="AF19" s="181"/>
      <c r="AG19" s="183">
        <f t="shared" si="5"/>
        <v>2000</v>
      </c>
    </row>
    <row r="20" spans="1:33" ht="18" customHeight="1">
      <c r="A20" s="181"/>
      <c r="B20" s="271">
        <f>'F(Bridge)'!B22</f>
        <v>65</v>
      </c>
      <c r="C20" s="181"/>
      <c r="D20" s="286">
        <f t="shared" si="1"/>
        <v>3.25</v>
      </c>
      <c r="E20" s="271">
        <v>21</v>
      </c>
      <c r="F20" s="181"/>
      <c r="G20" s="407">
        <f t="shared" si="4"/>
        <v>142187.5</v>
      </c>
      <c r="H20" s="443"/>
      <c r="I20" s="335"/>
      <c r="J20" s="287">
        <f t="shared" si="2"/>
        <v>0.21875</v>
      </c>
      <c r="L20" s="138" t="s">
        <v>261</v>
      </c>
      <c r="M20" s="138"/>
      <c r="N20" s="138"/>
      <c r="O20" s="138"/>
      <c r="P20" s="196">
        <v>8</v>
      </c>
      <c r="Q20" s="138" t="s">
        <v>262</v>
      </c>
      <c r="R20" s="138" t="s">
        <v>263</v>
      </c>
      <c r="S20" s="138"/>
      <c r="T20" s="138"/>
      <c r="U20" s="196">
        <v>4</v>
      </c>
      <c r="V20" s="138" t="s">
        <v>264</v>
      </c>
      <c r="W20" s="180">
        <v>2.6</v>
      </c>
      <c r="X20" s="181" t="s">
        <v>265</v>
      </c>
      <c r="Y20" s="138"/>
      <c r="Z20" s="138"/>
      <c r="AA20" s="182"/>
      <c r="AB20" s="180" t="s">
        <v>407</v>
      </c>
      <c r="AC20" s="180">
        <v>0</v>
      </c>
      <c r="AD20" s="181"/>
      <c r="AE20" s="183">
        <v>6000</v>
      </c>
      <c r="AF20" s="181"/>
      <c r="AG20" s="183">
        <f t="shared" si="5"/>
        <v>0</v>
      </c>
    </row>
    <row r="21" spans="1:33" ht="18" customHeight="1">
      <c r="A21" s="181"/>
      <c r="B21" s="271">
        <f>'F(Bridge)'!B23</f>
        <v>70</v>
      </c>
      <c r="C21" s="181"/>
      <c r="D21" s="286">
        <f t="shared" si="1"/>
        <v>3.5</v>
      </c>
      <c r="E21" s="271">
        <v>21</v>
      </c>
      <c r="F21" s="181"/>
      <c r="G21" s="407">
        <f t="shared" si="4"/>
        <v>153125</v>
      </c>
      <c r="H21" s="443"/>
      <c r="I21" s="335"/>
      <c r="J21" s="287">
        <f t="shared" si="2"/>
        <v>0.21875</v>
      </c>
      <c r="L21" s="138" t="s">
        <v>266</v>
      </c>
      <c r="M21" s="138"/>
      <c r="N21" s="138"/>
      <c r="O21" s="138"/>
      <c r="P21" s="196">
        <v>20</v>
      </c>
      <c r="Q21" s="138" t="s">
        <v>267</v>
      </c>
      <c r="R21" s="138" t="s">
        <v>268</v>
      </c>
      <c r="S21" s="138"/>
      <c r="T21" s="138"/>
      <c r="U21" s="196">
        <v>30</v>
      </c>
      <c r="V21" s="138" t="s">
        <v>269</v>
      </c>
      <c r="W21" s="288">
        <v>2.7</v>
      </c>
      <c r="X21" s="289" t="s">
        <v>270</v>
      </c>
      <c r="Y21" s="290"/>
      <c r="Z21" s="290"/>
      <c r="AA21" s="291"/>
      <c r="AB21" s="288" t="s">
        <v>407</v>
      </c>
      <c r="AC21" s="288">
        <v>1</v>
      </c>
      <c r="AD21" s="289"/>
      <c r="AE21" s="292">
        <v>4000</v>
      </c>
      <c r="AF21" s="289"/>
      <c r="AG21" s="183">
        <f t="shared" si="5"/>
        <v>1000</v>
      </c>
    </row>
    <row r="22" spans="1:33" ht="18" customHeight="1">
      <c r="A22" s="181"/>
      <c r="B22" s="271">
        <f>'F(Bridge)'!B24</f>
        <v>75</v>
      </c>
      <c r="C22" s="181"/>
      <c r="D22" s="286">
        <f t="shared" si="1"/>
        <v>3.75</v>
      </c>
      <c r="E22" s="271">
        <v>21</v>
      </c>
      <c r="F22" s="181"/>
      <c r="G22" s="407">
        <f t="shared" si="4"/>
        <v>164062.5</v>
      </c>
      <c r="H22" s="443"/>
      <c r="I22" s="335"/>
      <c r="J22" s="287">
        <f t="shared" si="2"/>
        <v>0.21875</v>
      </c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340" t="s">
        <v>186</v>
      </c>
      <c r="X22" s="2341"/>
      <c r="Y22" s="2341"/>
      <c r="Z22" s="2341"/>
      <c r="AA22" s="2341"/>
      <c r="AB22" s="2341"/>
      <c r="AC22" s="2341"/>
      <c r="AD22" s="2341"/>
      <c r="AE22" s="2342"/>
      <c r="AF22" s="217"/>
      <c r="AG22" s="194">
        <f>SUM(AG15:AG21)</f>
        <v>14000</v>
      </c>
    </row>
    <row r="23" spans="1:33" ht="18" customHeight="1">
      <c r="A23" s="181"/>
      <c r="B23" s="271">
        <f>'F(Bridge)'!B25</f>
        <v>80</v>
      </c>
      <c r="C23" s="181"/>
      <c r="D23" s="286">
        <f t="shared" si="1"/>
        <v>4</v>
      </c>
      <c r="E23" s="271">
        <v>21</v>
      </c>
      <c r="F23" s="181"/>
      <c r="G23" s="407">
        <f t="shared" si="4"/>
        <v>175000</v>
      </c>
      <c r="H23" s="443"/>
      <c r="I23" s="335"/>
      <c r="J23" s="287">
        <f t="shared" si="2"/>
        <v>0.21875</v>
      </c>
      <c r="L23" s="277"/>
      <c r="M23" s="117" t="s">
        <v>271</v>
      </c>
      <c r="N23" s="135"/>
      <c r="O23" s="135"/>
      <c r="P23" s="135">
        <v>50</v>
      </c>
      <c r="Q23" s="135" t="s">
        <v>505</v>
      </c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</row>
    <row r="24" spans="1:33" ht="18" customHeight="1">
      <c r="A24" s="181"/>
      <c r="B24" s="271">
        <f>'F(Bridge)'!B26</f>
        <v>85</v>
      </c>
      <c r="C24" s="181"/>
      <c r="D24" s="286">
        <f t="shared" si="1"/>
        <v>4.25</v>
      </c>
      <c r="E24" s="271">
        <v>21</v>
      </c>
      <c r="F24" s="181"/>
      <c r="G24" s="407">
        <f t="shared" si="4"/>
        <v>185937.5</v>
      </c>
      <c r="H24" s="443"/>
      <c r="I24" s="335"/>
      <c r="J24" s="287">
        <f t="shared" si="2"/>
        <v>0.21875</v>
      </c>
      <c r="L24" s="2343" t="s">
        <v>195</v>
      </c>
      <c r="M24" s="2349" t="s">
        <v>693</v>
      </c>
      <c r="N24" s="2350"/>
      <c r="O24" s="2350"/>
      <c r="P24" s="2351"/>
      <c r="Q24" s="2343" t="s">
        <v>184</v>
      </c>
      <c r="R24" s="2343" t="s">
        <v>183</v>
      </c>
      <c r="S24" s="2337" t="s">
        <v>694</v>
      </c>
      <c r="T24" s="2338"/>
      <c r="U24" s="2337" t="s">
        <v>695</v>
      </c>
      <c r="V24" s="2338"/>
      <c r="W24" s="314"/>
      <c r="X24" s="117" t="s">
        <v>272</v>
      </c>
      <c r="Y24" s="135"/>
      <c r="Z24" s="135"/>
      <c r="AA24" s="135">
        <v>50</v>
      </c>
      <c r="AB24" s="135" t="s">
        <v>505</v>
      </c>
      <c r="AC24" s="277"/>
      <c r="AD24" s="277"/>
      <c r="AE24" s="277"/>
      <c r="AF24" s="277"/>
      <c r="AG24" s="277"/>
    </row>
    <row r="25" spans="1:33" ht="18" customHeight="1">
      <c r="A25" s="181"/>
      <c r="B25" s="271">
        <f>'F(Bridge)'!B27</f>
        <v>90</v>
      </c>
      <c r="C25" s="181"/>
      <c r="D25" s="286">
        <f t="shared" si="1"/>
        <v>4.5</v>
      </c>
      <c r="E25" s="271">
        <v>21</v>
      </c>
      <c r="F25" s="181"/>
      <c r="G25" s="407">
        <f t="shared" si="4"/>
        <v>196875</v>
      </c>
      <c r="H25" s="443"/>
      <c r="I25" s="335"/>
      <c r="J25" s="287">
        <f t="shared" si="2"/>
        <v>0.21875</v>
      </c>
      <c r="L25" s="2344"/>
      <c r="M25" s="2352"/>
      <c r="N25" s="2353"/>
      <c r="O25" s="2353"/>
      <c r="P25" s="2354"/>
      <c r="Q25" s="2344"/>
      <c r="R25" s="2344"/>
      <c r="S25" s="2334" t="s">
        <v>927</v>
      </c>
      <c r="T25" s="2335"/>
      <c r="U25" s="2334" t="s">
        <v>927</v>
      </c>
      <c r="V25" s="2335"/>
      <c r="W25" s="2343" t="s">
        <v>195</v>
      </c>
      <c r="X25" s="2349" t="s">
        <v>693</v>
      </c>
      <c r="Y25" s="2350"/>
      <c r="Z25" s="2350"/>
      <c r="AA25" s="2351"/>
      <c r="AB25" s="2343" t="s">
        <v>184</v>
      </c>
      <c r="AC25" s="2343" t="s">
        <v>183</v>
      </c>
      <c r="AD25" s="2337" t="s">
        <v>694</v>
      </c>
      <c r="AE25" s="2338"/>
      <c r="AF25" s="2337" t="s">
        <v>695</v>
      </c>
      <c r="AG25" s="2338"/>
    </row>
    <row r="26" spans="1:33" ht="18" customHeight="1">
      <c r="A26" s="181"/>
      <c r="B26" s="271">
        <f>'F(Bridge)'!B28</f>
        <v>95</v>
      </c>
      <c r="C26" s="181"/>
      <c r="D26" s="286">
        <f t="shared" si="1"/>
        <v>4.75</v>
      </c>
      <c r="E26" s="271">
        <v>21</v>
      </c>
      <c r="F26" s="181"/>
      <c r="G26" s="407">
        <f t="shared" si="4"/>
        <v>207812.5</v>
      </c>
      <c r="H26" s="443"/>
      <c r="I26" s="335"/>
      <c r="J26" s="287">
        <f t="shared" si="2"/>
        <v>0.21875</v>
      </c>
      <c r="L26" s="167">
        <v>1</v>
      </c>
      <c r="M26" s="168" t="s">
        <v>405</v>
      </c>
      <c r="N26" s="169"/>
      <c r="O26" s="169"/>
      <c r="P26" s="170"/>
      <c r="Q26" s="171"/>
      <c r="R26" s="171"/>
      <c r="S26" s="172"/>
      <c r="T26" s="170"/>
      <c r="U26" s="172"/>
      <c r="V26" s="170"/>
      <c r="W26" s="2344"/>
      <c r="X26" s="2352"/>
      <c r="Y26" s="2353"/>
      <c r="Z26" s="2353"/>
      <c r="AA26" s="2354"/>
      <c r="AB26" s="2344"/>
      <c r="AC26" s="2344"/>
      <c r="AD26" s="2334" t="s">
        <v>927</v>
      </c>
      <c r="AE26" s="2335"/>
      <c r="AF26" s="2334" t="s">
        <v>927</v>
      </c>
      <c r="AG26" s="2335"/>
    </row>
    <row r="27" spans="1:33" ht="18" customHeight="1">
      <c r="A27" s="181"/>
      <c r="B27" s="271">
        <f>'F(Bridge)'!B29</f>
        <v>100</v>
      </c>
      <c r="C27" s="181"/>
      <c r="D27" s="286">
        <f t="shared" si="1"/>
        <v>5</v>
      </c>
      <c r="E27" s="271">
        <v>21</v>
      </c>
      <c r="F27" s="181"/>
      <c r="G27" s="407">
        <f t="shared" si="4"/>
        <v>218750</v>
      </c>
      <c r="H27" s="443"/>
      <c r="I27" s="335"/>
      <c r="J27" s="287">
        <f t="shared" si="2"/>
        <v>0.21875</v>
      </c>
      <c r="L27" s="180">
        <v>1.1000000000000001</v>
      </c>
      <c r="M27" s="181" t="s">
        <v>409</v>
      </c>
      <c r="N27" s="138"/>
      <c r="O27" s="138"/>
      <c r="P27" s="182"/>
      <c r="Q27" s="180" t="s">
        <v>410</v>
      </c>
      <c r="R27" s="180">
        <v>1</v>
      </c>
      <c r="S27" s="181"/>
      <c r="T27" s="183">
        <v>3500</v>
      </c>
      <c r="U27" s="181"/>
      <c r="V27" s="183">
        <f>R27*T27</f>
        <v>3500</v>
      </c>
      <c r="W27" s="187">
        <v>1</v>
      </c>
      <c r="X27" s="188" t="s">
        <v>402</v>
      </c>
      <c r="Y27" s="195"/>
      <c r="Z27" s="195"/>
      <c r="AA27" s="279"/>
      <c r="AB27" s="180"/>
      <c r="AC27" s="180"/>
      <c r="AD27" s="181"/>
      <c r="AE27" s="183"/>
      <c r="AF27" s="181"/>
      <c r="AG27" s="183" t="s">
        <v>403</v>
      </c>
    </row>
    <row r="28" spans="1:33" ht="18" customHeight="1">
      <c r="A28" s="181"/>
      <c r="B28" s="271">
        <f>'F(Bridge)'!B30</f>
        <v>105</v>
      </c>
      <c r="C28" s="181"/>
      <c r="D28" s="286">
        <f t="shared" si="1"/>
        <v>5.25</v>
      </c>
      <c r="E28" s="271">
        <v>21</v>
      </c>
      <c r="F28" s="181"/>
      <c r="G28" s="407">
        <f t="shared" si="4"/>
        <v>229687.5</v>
      </c>
      <c r="H28" s="443"/>
      <c r="I28" s="335"/>
      <c r="J28" s="287">
        <f t="shared" si="2"/>
        <v>0.21875</v>
      </c>
      <c r="L28" s="180">
        <v>1.2</v>
      </c>
      <c r="M28" s="181" t="s">
        <v>413</v>
      </c>
      <c r="N28" s="138"/>
      <c r="O28" s="138"/>
      <c r="P28" s="182"/>
      <c r="Q28" s="180" t="s">
        <v>414</v>
      </c>
      <c r="R28" s="180">
        <v>1</v>
      </c>
      <c r="S28" s="181"/>
      <c r="T28" s="183">
        <v>3000</v>
      </c>
      <c r="U28" s="181"/>
      <c r="V28" s="183">
        <f t="shared" ref="V28:V35" si="6">R28*T28</f>
        <v>3000</v>
      </c>
      <c r="W28" s="180">
        <v>1.1000000000000001</v>
      </c>
      <c r="X28" s="181" t="s">
        <v>406</v>
      </c>
      <c r="Y28" s="138"/>
      <c r="Z28" s="138"/>
      <c r="AA28" s="182"/>
      <c r="AB28" s="180" t="s">
        <v>407</v>
      </c>
      <c r="AC28" s="180">
        <v>0</v>
      </c>
      <c r="AD28" s="181"/>
      <c r="AE28" s="183">
        <v>30000</v>
      </c>
      <c r="AF28" s="181"/>
      <c r="AG28" s="183">
        <f>(AC28*AE28)/2</f>
        <v>0</v>
      </c>
    </row>
    <row r="29" spans="1:33" ht="18" customHeight="1">
      <c r="A29" s="181"/>
      <c r="B29" s="271">
        <f>'F(Bridge)'!B31</f>
        <v>110</v>
      </c>
      <c r="C29" s="181"/>
      <c r="D29" s="286">
        <f t="shared" si="1"/>
        <v>5.5</v>
      </c>
      <c r="E29" s="271">
        <v>21</v>
      </c>
      <c r="F29" s="181"/>
      <c r="G29" s="407">
        <f t="shared" si="4"/>
        <v>240625</v>
      </c>
      <c r="H29" s="443"/>
      <c r="I29" s="335"/>
      <c r="J29" s="287">
        <f t="shared" si="2"/>
        <v>0.21875</v>
      </c>
      <c r="L29" s="180">
        <v>1.3</v>
      </c>
      <c r="M29" s="181" t="s">
        <v>419</v>
      </c>
      <c r="N29" s="138"/>
      <c r="O29" s="138"/>
      <c r="P29" s="182"/>
      <c r="Q29" s="180" t="s">
        <v>890</v>
      </c>
      <c r="R29" s="186">
        <v>600</v>
      </c>
      <c r="S29" s="181"/>
      <c r="T29" s="183">
        <v>2</v>
      </c>
      <c r="U29" s="181"/>
      <c r="V29" s="183">
        <f t="shared" si="6"/>
        <v>1200</v>
      </c>
      <c r="W29" s="180">
        <v>1.2</v>
      </c>
      <c r="X29" s="181" t="s">
        <v>411</v>
      </c>
      <c r="Y29" s="138"/>
      <c r="Z29" s="138"/>
      <c r="AA29" s="182"/>
      <c r="AB29" s="180" t="s">
        <v>407</v>
      </c>
      <c r="AC29" s="180">
        <v>1</v>
      </c>
      <c r="AD29" s="181"/>
      <c r="AE29" s="183">
        <v>15000</v>
      </c>
      <c r="AF29" s="181"/>
      <c r="AG29" s="183">
        <f>AC29*AE29</f>
        <v>15000</v>
      </c>
    </row>
    <row r="30" spans="1:33" ht="18" customHeight="1">
      <c r="A30" s="181"/>
      <c r="B30" s="271">
        <f>'F(Bridge)'!B32</f>
        <v>115</v>
      </c>
      <c r="C30" s="181"/>
      <c r="D30" s="286">
        <f t="shared" si="1"/>
        <v>5.75</v>
      </c>
      <c r="E30" s="271">
        <v>21</v>
      </c>
      <c r="F30" s="181"/>
      <c r="G30" s="407">
        <f t="shared" si="4"/>
        <v>251562.5</v>
      </c>
      <c r="H30" s="443"/>
      <c r="I30" s="335"/>
      <c r="J30" s="287">
        <f t="shared" si="2"/>
        <v>0.21875</v>
      </c>
      <c r="L30" s="180">
        <v>1.4</v>
      </c>
      <c r="M30" s="181" t="s">
        <v>421</v>
      </c>
      <c r="N30" s="138"/>
      <c r="O30" s="138"/>
      <c r="P30" s="182"/>
      <c r="Q30" s="180"/>
      <c r="R30" s="180">
        <v>1</v>
      </c>
      <c r="S30" s="181"/>
      <c r="T30" s="183">
        <v>3000</v>
      </c>
      <c r="U30" s="181"/>
      <c r="V30" s="183">
        <f t="shared" si="6"/>
        <v>3000</v>
      </c>
      <c r="W30" s="180">
        <v>1.3</v>
      </c>
      <c r="X30" s="181" t="s">
        <v>415</v>
      </c>
      <c r="Y30" s="138"/>
      <c r="Z30" s="138"/>
      <c r="AA30" s="182"/>
      <c r="AB30" s="180" t="s">
        <v>407</v>
      </c>
      <c r="AC30" s="180">
        <v>1</v>
      </c>
      <c r="AD30" s="181"/>
      <c r="AE30" s="183">
        <v>8000</v>
      </c>
      <c r="AF30" s="181"/>
      <c r="AG30" s="183">
        <f>AC30*AE30</f>
        <v>8000</v>
      </c>
    </row>
    <row r="31" spans="1:33" ht="18" customHeight="1">
      <c r="A31" s="181"/>
      <c r="B31" s="271">
        <f>'F(Bridge)'!B33</f>
        <v>120</v>
      </c>
      <c r="C31" s="181"/>
      <c r="D31" s="286">
        <f t="shared" si="1"/>
        <v>6</v>
      </c>
      <c r="E31" s="271">
        <v>21</v>
      </c>
      <c r="F31" s="181"/>
      <c r="G31" s="407">
        <f t="shared" si="4"/>
        <v>262500</v>
      </c>
      <c r="H31" s="443"/>
      <c r="I31" s="335"/>
      <c r="J31" s="287">
        <f t="shared" si="2"/>
        <v>0.21875</v>
      </c>
      <c r="L31" s="187">
        <v>2</v>
      </c>
      <c r="M31" s="188" t="s">
        <v>424</v>
      </c>
      <c r="N31" s="138"/>
      <c r="O31" s="138"/>
      <c r="P31" s="182"/>
      <c r="Q31" s="180"/>
      <c r="R31" s="180"/>
      <c r="S31" s="181"/>
      <c r="T31" s="183"/>
      <c r="U31" s="181"/>
      <c r="V31" s="183">
        <v>0</v>
      </c>
      <c r="W31" s="180">
        <v>1.4</v>
      </c>
      <c r="X31" s="181" t="s">
        <v>420</v>
      </c>
      <c r="Y31" s="138"/>
      <c r="Z31" s="138"/>
      <c r="AA31" s="182"/>
      <c r="AB31" s="180" t="s">
        <v>407</v>
      </c>
      <c r="AC31" s="180">
        <v>0</v>
      </c>
      <c r="AD31" s="181"/>
      <c r="AE31" s="183">
        <v>7000</v>
      </c>
      <c r="AF31" s="181"/>
      <c r="AG31" s="183">
        <f>AC31*AE31</f>
        <v>0</v>
      </c>
    </row>
    <row r="32" spans="1:33" ht="18" customHeight="1">
      <c r="A32" s="181"/>
      <c r="B32" s="271">
        <f>'F(Bridge)'!B34</f>
        <v>125</v>
      </c>
      <c r="C32" s="181"/>
      <c r="D32" s="286">
        <f t="shared" si="1"/>
        <v>6.25</v>
      </c>
      <c r="E32" s="271">
        <v>21</v>
      </c>
      <c r="F32" s="181"/>
      <c r="G32" s="407">
        <f t="shared" si="4"/>
        <v>273437.5</v>
      </c>
      <c r="H32" s="443"/>
      <c r="I32" s="335"/>
      <c r="J32" s="287">
        <f t="shared" si="2"/>
        <v>0.21875</v>
      </c>
      <c r="L32" s="180">
        <v>2.1</v>
      </c>
      <c r="M32" s="181" t="s">
        <v>426</v>
      </c>
      <c r="N32" s="138"/>
      <c r="O32" s="138"/>
      <c r="P32" s="182"/>
      <c r="Q32" s="180" t="s">
        <v>427</v>
      </c>
      <c r="R32" s="180">
        <v>1</v>
      </c>
      <c r="S32" s="181"/>
      <c r="T32" s="183">
        <v>21500</v>
      </c>
      <c r="U32" s="181"/>
      <c r="V32" s="183">
        <f t="shared" si="6"/>
        <v>21500</v>
      </c>
      <c r="W32" s="180">
        <v>1.5</v>
      </c>
      <c r="X32" s="181" t="s">
        <v>423</v>
      </c>
      <c r="Y32" s="138"/>
      <c r="Z32" s="138"/>
      <c r="AA32" s="182"/>
      <c r="AB32" s="180" t="s">
        <v>407</v>
      </c>
      <c r="AC32" s="180">
        <v>1</v>
      </c>
      <c r="AD32" s="181"/>
      <c r="AE32" s="183">
        <v>6000</v>
      </c>
      <c r="AF32" s="181"/>
      <c r="AG32" s="183">
        <f>AC32*AE32</f>
        <v>6000</v>
      </c>
    </row>
    <row r="33" spans="1:43" ht="18" customHeight="1">
      <c r="A33" s="181"/>
      <c r="B33" s="271">
        <f>'F(Bridge)'!B35</f>
        <v>130</v>
      </c>
      <c r="C33" s="181"/>
      <c r="D33" s="286">
        <f t="shared" si="1"/>
        <v>6.5</v>
      </c>
      <c r="E33" s="271">
        <v>21</v>
      </c>
      <c r="F33" s="181"/>
      <c r="G33" s="407">
        <f t="shared" si="4"/>
        <v>284375</v>
      </c>
      <c r="H33" s="443"/>
      <c r="I33" s="335"/>
      <c r="J33" s="287">
        <f t="shared" si="2"/>
        <v>0.21875</v>
      </c>
      <c r="L33" s="180">
        <v>2.2000000000000002</v>
      </c>
      <c r="M33" s="181" t="s">
        <v>947</v>
      </c>
      <c r="N33" s="138"/>
      <c r="O33" s="138"/>
      <c r="P33" s="182"/>
      <c r="Q33" s="180" t="s">
        <v>427</v>
      </c>
      <c r="R33" s="180">
        <v>1</v>
      </c>
      <c r="S33" s="181"/>
      <c r="T33" s="183">
        <v>3600</v>
      </c>
      <c r="U33" s="181"/>
      <c r="V33" s="183">
        <f t="shared" si="6"/>
        <v>3600</v>
      </c>
      <c r="W33" s="180">
        <v>1.6</v>
      </c>
      <c r="X33" s="181" t="s">
        <v>425</v>
      </c>
      <c r="Y33" s="138"/>
      <c r="Z33" s="138"/>
      <c r="AA33" s="182"/>
      <c r="AB33" s="180" t="s">
        <v>407</v>
      </c>
      <c r="AC33" s="180">
        <v>0</v>
      </c>
      <c r="AD33" s="181"/>
      <c r="AE33" s="491">
        <v>4000</v>
      </c>
      <c r="AF33" s="181"/>
      <c r="AG33" s="183">
        <f>AC33*AE33</f>
        <v>0</v>
      </c>
    </row>
    <row r="34" spans="1:43" ht="18" customHeight="1">
      <c r="A34" s="181"/>
      <c r="B34" s="271">
        <f>'F(Bridge)'!B36</f>
        <v>135</v>
      </c>
      <c r="C34" s="181"/>
      <c r="D34" s="286">
        <f t="shared" si="1"/>
        <v>6.75</v>
      </c>
      <c r="E34" s="271">
        <v>21</v>
      </c>
      <c r="F34" s="181"/>
      <c r="G34" s="407">
        <f t="shared" si="4"/>
        <v>295312.5</v>
      </c>
      <c r="H34" s="443"/>
      <c r="I34" s="335"/>
      <c r="J34" s="287">
        <f t="shared" si="2"/>
        <v>0.21875</v>
      </c>
      <c r="L34" s="180">
        <v>2.2999999999999998</v>
      </c>
      <c r="M34" s="181" t="s">
        <v>949</v>
      </c>
      <c r="N34" s="138"/>
      <c r="O34" s="138"/>
      <c r="P34" s="182"/>
      <c r="Q34" s="180" t="s">
        <v>427</v>
      </c>
      <c r="R34" s="180">
        <v>1</v>
      </c>
      <c r="S34" s="181"/>
      <c r="T34" s="183">
        <v>1000</v>
      </c>
      <c r="U34" s="181"/>
      <c r="V34" s="183">
        <f t="shared" si="6"/>
        <v>1000</v>
      </c>
      <c r="W34" s="2340" t="s">
        <v>186</v>
      </c>
      <c r="X34" s="2341"/>
      <c r="Y34" s="2341"/>
      <c r="Z34" s="2341"/>
      <c r="AA34" s="2341"/>
      <c r="AB34" s="2341"/>
      <c r="AC34" s="2341"/>
      <c r="AD34" s="2341"/>
      <c r="AE34" s="2342"/>
      <c r="AF34" s="193"/>
      <c r="AG34" s="194">
        <f>SUM(AG28:AG33)</f>
        <v>29000</v>
      </c>
    </row>
    <row r="35" spans="1:43" ht="18" customHeight="1">
      <c r="A35" s="181"/>
      <c r="B35" s="271">
        <f>'F(Bridge)'!B37</f>
        <v>140</v>
      </c>
      <c r="C35" s="181"/>
      <c r="D35" s="286">
        <f t="shared" si="1"/>
        <v>7</v>
      </c>
      <c r="E35" s="271">
        <v>21</v>
      </c>
      <c r="F35" s="181"/>
      <c r="G35" s="407">
        <f t="shared" si="4"/>
        <v>306250</v>
      </c>
      <c r="H35" s="443"/>
      <c r="I35" s="335"/>
      <c r="J35" s="287">
        <f t="shared" si="2"/>
        <v>0.21875</v>
      </c>
      <c r="L35" s="180">
        <v>2.4</v>
      </c>
      <c r="M35" s="181" t="s">
        <v>226</v>
      </c>
      <c r="N35" s="138"/>
      <c r="O35" s="138"/>
      <c r="P35" s="182"/>
      <c r="Q35" s="180" t="s">
        <v>427</v>
      </c>
      <c r="R35" s="180">
        <v>1</v>
      </c>
      <c r="S35" s="181"/>
      <c r="T35" s="183">
        <v>840</v>
      </c>
      <c r="U35" s="181"/>
      <c r="V35" s="183">
        <f t="shared" si="6"/>
        <v>840</v>
      </c>
      <c r="W35" s="187">
        <v>2</v>
      </c>
      <c r="X35" s="188" t="s">
        <v>273</v>
      </c>
      <c r="Y35" s="195"/>
      <c r="Z35" s="279"/>
      <c r="AA35" s="279"/>
      <c r="AB35" s="180"/>
      <c r="AC35" s="293"/>
      <c r="AD35" s="181"/>
      <c r="AE35" s="182"/>
      <c r="AF35" s="181"/>
      <c r="AG35" s="182"/>
    </row>
    <row r="36" spans="1:43" ht="18" customHeight="1">
      <c r="A36" s="181"/>
      <c r="B36" s="271">
        <f>'F(Bridge)'!B38</f>
        <v>145</v>
      </c>
      <c r="C36" s="181"/>
      <c r="D36" s="286">
        <f t="shared" si="1"/>
        <v>7.25</v>
      </c>
      <c r="E36" s="271">
        <v>21</v>
      </c>
      <c r="F36" s="181"/>
      <c r="G36" s="407">
        <f t="shared" si="4"/>
        <v>317187.5</v>
      </c>
      <c r="H36" s="443"/>
      <c r="I36" s="335"/>
      <c r="J36" s="287">
        <f t="shared" si="2"/>
        <v>0.21875</v>
      </c>
      <c r="L36" s="2340" t="s">
        <v>186</v>
      </c>
      <c r="M36" s="2341"/>
      <c r="N36" s="2341"/>
      <c r="O36" s="2341"/>
      <c r="P36" s="2341"/>
      <c r="Q36" s="2341"/>
      <c r="R36" s="2341"/>
      <c r="S36" s="2341"/>
      <c r="T36" s="2342"/>
      <c r="U36" s="193"/>
      <c r="V36" s="194">
        <f>SUM(V27:V35)</f>
        <v>37640</v>
      </c>
      <c r="W36" s="180">
        <v>2.1</v>
      </c>
      <c r="X36" s="181" t="s">
        <v>946</v>
      </c>
      <c r="Y36" s="138"/>
      <c r="Z36" s="138"/>
      <c r="AA36" s="182"/>
      <c r="AB36" s="180"/>
      <c r="AC36" s="180">
        <v>1</v>
      </c>
      <c r="AD36" s="181"/>
      <c r="AE36" s="183">
        <v>3000</v>
      </c>
      <c r="AF36" s="181"/>
      <c r="AG36" s="493">
        <f>AC36*AE36/4</f>
        <v>750</v>
      </c>
    </row>
    <row r="37" spans="1:43" ht="18" customHeight="1">
      <c r="A37" s="181"/>
      <c r="B37" s="271">
        <f>'F(Bridge)'!B39</f>
        <v>150</v>
      </c>
      <c r="C37" s="181"/>
      <c r="D37" s="286">
        <f t="shared" si="1"/>
        <v>7.5</v>
      </c>
      <c r="E37" s="271">
        <v>21</v>
      </c>
      <c r="F37" s="181"/>
      <c r="G37" s="407">
        <f t="shared" si="4"/>
        <v>328125</v>
      </c>
      <c r="H37" s="443"/>
      <c r="I37" s="335"/>
      <c r="J37" s="287">
        <f t="shared" si="2"/>
        <v>0.21875</v>
      </c>
      <c r="L37" s="195" t="s">
        <v>254</v>
      </c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80">
        <v>2.2000000000000002</v>
      </c>
      <c r="X37" s="181" t="s">
        <v>252</v>
      </c>
      <c r="Y37" s="138"/>
      <c r="Z37" s="138"/>
      <c r="AA37" s="182"/>
      <c r="AB37" s="180"/>
      <c r="AC37" s="180">
        <v>1</v>
      </c>
      <c r="AD37" s="181"/>
      <c r="AE37" s="183">
        <v>3000</v>
      </c>
      <c r="AF37" s="181"/>
      <c r="AG37" s="493">
        <f>AC37*AE37/4</f>
        <v>750</v>
      </c>
    </row>
    <row r="38" spans="1:43" ht="18" customHeight="1">
      <c r="A38" s="181"/>
      <c r="B38" s="271">
        <f>'F(Bridge)'!B40</f>
        <v>155</v>
      </c>
      <c r="C38" s="181"/>
      <c r="D38" s="286">
        <f t="shared" si="1"/>
        <v>7.75</v>
      </c>
      <c r="E38" s="271">
        <v>21</v>
      </c>
      <c r="F38" s="181"/>
      <c r="G38" s="407">
        <f t="shared" si="4"/>
        <v>339062.5</v>
      </c>
      <c r="H38" s="443"/>
      <c r="I38" s="335"/>
      <c r="J38" s="287">
        <f t="shared" si="2"/>
        <v>0.21875</v>
      </c>
      <c r="L38" s="138" t="s">
        <v>256</v>
      </c>
      <c r="M38" s="138"/>
      <c r="N38" s="138"/>
      <c r="O38" s="138"/>
      <c r="P38" s="196">
        <v>550</v>
      </c>
      <c r="Q38" s="138" t="s">
        <v>257</v>
      </c>
      <c r="R38" s="138" t="s">
        <v>881</v>
      </c>
      <c r="S38" s="138"/>
      <c r="T38" s="138"/>
      <c r="U38" s="196">
        <v>6</v>
      </c>
      <c r="V38" s="138" t="s">
        <v>259</v>
      </c>
      <c r="W38" s="180">
        <v>2.2999999999999998</v>
      </c>
      <c r="X38" s="181" t="s">
        <v>253</v>
      </c>
      <c r="Y38" s="138"/>
      <c r="Z38" s="138"/>
      <c r="AA38" s="182"/>
      <c r="AB38" s="180" t="s">
        <v>407</v>
      </c>
      <c r="AC38" s="180">
        <v>1</v>
      </c>
      <c r="AD38" s="181"/>
      <c r="AE38" s="183">
        <v>40000</v>
      </c>
      <c r="AF38" s="181"/>
      <c r="AG38" s="213">
        <f>(AC38*AE38)/4</f>
        <v>10000</v>
      </c>
    </row>
    <row r="39" spans="1:43" ht="18" customHeight="1">
      <c r="A39" s="181"/>
      <c r="B39" s="271">
        <f>'F(Bridge)'!B41</f>
        <v>160</v>
      </c>
      <c r="C39" s="181"/>
      <c r="D39" s="286">
        <f t="shared" si="1"/>
        <v>8</v>
      </c>
      <c r="E39" s="271">
        <v>21</v>
      </c>
      <c r="F39" s="181"/>
      <c r="G39" s="407">
        <f t="shared" si="4"/>
        <v>350000</v>
      </c>
      <c r="H39" s="443"/>
      <c r="I39" s="335"/>
      <c r="J39" s="287">
        <f t="shared" si="2"/>
        <v>0.21875</v>
      </c>
      <c r="L39" s="138" t="s">
        <v>261</v>
      </c>
      <c r="M39" s="138"/>
      <c r="N39" s="138"/>
      <c r="O39" s="138"/>
      <c r="P39" s="196">
        <v>8</v>
      </c>
      <c r="Q39" s="138" t="s">
        <v>262</v>
      </c>
      <c r="R39" s="138" t="s">
        <v>263</v>
      </c>
      <c r="S39" s="138"/>
      <c r="T39" s="138"/>
      <c r="U39" s="196">
        <v>4</v>
      </c>
      <c r="V39" s="138" t="s">
        <v>264</v>
      </c>
      <c r="W39" s="180">
        <v>2.4</v>
      </c>
      <c r="X39" s="181" t="s">
        <v>255</v>
      </c>
      <c r="Y39" s="138"/>
      <c r="Z39" s="138"/>
      <c r="AA39" s="182"/>
      <c r="AB39" s="180" t="s">
        <v>407</v>
      </c>
      <c r="AC39" s="180">
        <v>1</v>
      </c>
      <c r="AD39" s="181"/>
      <c r="AE39" s="491">
        <v>8000</v>
      </c>
      <c r="AF39" s="181"/>
      <c r="AG39" s="493">
        <f>AC39*AE39/4</f>
        <v>2000</v>
      </c>
    </row>
    <row r="40" spans="1:43" ht="18" customHeight="1">
      <c r="A40" s="181"/>
      <c r="B40" s="271">
        <f>'F(Bridge)'!B42</f>
        <v>165</v>
      </c>
      <c r="C40" s="181"/>
      <c r="D40" s="286">
        <f t="shared" si="1"/>
        <v>8.25</v>
      </c>
      <c r="E40" s="271">
        <v>21</v>
      </c>
      <c r="F40" s="181"/>
      <c r="G40" s="407">
        <f t="shared" si="4"/>
        <v>360937.5</v>
      </c>
      <c r="H40" s="443"/>
      <c r="I40" s="335"/>
      <c r="J40" s="287">
        <f t="shared" si="2"/>
        <v>0.21875</v>
      </c>
      <c r="L40" s="138" t="s">
        <v>266</v>
      </c>
      <c r="M40" s="138"/>
      <c r="N40" s="138"/>
      <c r="O40" s="138"/>
      <c r="P40" s="196">
        <v>20</v>
      </c>
      <c r="Q40" s="138" t="s">
        <v>267</v>
      </c>
      <c r="R40" s="138" t="s">
        <v>268</v>
      </c>
      <c r="S40" s="138"/>
      <c r="T40" s="138"/>
      <c r="U40" s="196">
        <v>30</v>
      </c>
      <c r="V40" s="138" t="s">
        <v>269</v>
      </c>
      <c r="W40" s="180">
        <v>2.5</v>
      </c>
      <c r="X40" s="181" t="s">
        <v>260</v>
      </c>
      <c r="Y40" s="138"/>
      <c r="Z40" s="138"/>
      <c r="AA40" s="182"/>
      <c r="AB40" s="180" t="s">
        <v>407</v>
      </c>
      <c r="AC40" s="180">
        <v>1</v>
      </c>
      <c r="AD40" s="181"/>
      <c r="AE40" s="491">
        <v>8000</v>
      </c>
      <c r="AF40" s="181"/>
      <c r="AG40" s="493">
        <f>AC40*AE40/4</f>
        <v>2000</v>
      </c>
    </row>
    <row r="41" spans="1:43" ht="18" customHeight="1">
      <c r="A41" s="181"/>
      <c r="B41" s="271">
        <f>'F(Bridge)'!B43</f>
        <v>170</v>
      </c>
      <c r="C41" s="181"/>
      <c r="D41" s="286">
        <f t="shared" si="1"/>
        <v>8.5</v>
      </c>
      <c r="E41" s="271">
        <v>21</v>
      </c>
      <c r="F41" s="181"/>
      <c r="G41" s="407">
        <f t="shared" si="4"/>
        <v>371875</v>
      </c>
      <c r="H41" s="443"/>
      <c r="I41" s="335"/>
      <c r="J41" s="287">
        <f t="shared" si="2"/>
        <v>0.21875</v>
      </c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80">
        <v>2.6</v>
      </c>
      <c r="X41" s="181" t="s">
        <v>265</v>
      </c>
      <c r="Y41" s="138"/>
      <c r="Z41" s="138"/>
      <c r="AA41" s="182"/>
      <c r="AB41" s="180" t="s">
        <v>407</v>
      </c>
      <c r="AC41" s="180">
        <v>1</v>
      </c>
      <c r="AD41" s="181"/>
      <c r="AE41" s="183">
        <v>6000</v>
      </c>
      <c r="AF41" s="181"/>
      <c r="AG41" s="493">
        <f>AC41*AE41/4</f>
        <v>1500</v>
      </c>
    </row>
    <row r="42" spans="1:43" ht="18" customHeight="1">
      <c r="A42" s="181"/>
      <c r="B42" s="271">
        <f>'F(Bridge)'!B44</f>
        <v>175</v>
      </c>
      <c r="C42" s="181"/>
      <c r="D42" s="286">
        <f t="shared" si="1"/>
        <v>8.75</v>
      </c>
      <c r="E42" s="271">
        <v>21</v>
      </c>
      <c r="F42" s="181"/>
      <c r="G42" s="407">
        <f t="shared" si="4"/>
        <v>382812.5</v>
      </c>
      <c r="H42" s="443"/>
      <c r="I42" s="335"/>
      <c r="J42" s="287">
        <f t="shared" si="2"/>
        <v>0.21875</v>
      </c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288">
        <v>2.7</v>
      </c>
      <c r="X42" s="289" t="s">
        <v>270</v>
      </c>
      <c r="Y42" s="290"/>
      <c r="Z42" s="290"/>
      <c r="AA42" s="291"/>
      <c r="AB42" s="288" t="s">
        <v>407</v>
      </c>
      <c r="AC42" s="288">
        <v>1</v>
      </c>
      <c r="AD42" s="289"/>
      <c r="AE42" s="292">
        <v>4000</v>
      </c>
      <c r="AF42" s="289"/>
      <c r="AG42" s="500">
        <f>AC42*AE42/4</f>
        <v>1000</v>
      </c>
    </row>
    <row r="43" spans="1:43" ht="18" customHeight="1">
      <c r="A43" s="181"/>
      <c r="B43" s="271">
        <f>'F(Bridge)'!B45</f>
        <v>180</v>
      </c>
      <c r="C43" s="181"/>
      <c r="D43" s="286">
        <f t="shared" si="1"/>
        <v>9</v>
      </c>
      <c r="E43" s="271">
        <v>21</v>
      </c>
      <c r="F43" s="181"/>
      <c r="G43" s="407">
        <f t="shared" si="4"/>
        <v>393750</v>
      </c>
      <c r="H43" s="443"/>
      <c r="I43" s="335"/>
      <c r="J43" s="287">
        <f t="shared" si="2"/>
        <v>0.21875</v>
      </c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2340" t="s">
        <v>186</v>
      </c>
      <c r="X43" s="2341"/>
      <c r="Y43" s="2341"/>
      <c r="Z43" s="2341"/>
      <c r="AA43" s="2341"/>
      <c r="AB43" s="2341"/>
      <c r="AC43" s="2341"/>
      <c r="AD43" s="2341"/>
      <c r="AE43" s="2342"/>
      <c r="AF43" s="217"/>
      <c r="AG43" s="194">
        <f>SUM(AG36:AG42)</f>
        <v>18000</v>
      </c>
    </row>
    <row r="44" spans="1:43" ht="18" customHeight="1">
      <c r="A44" s="181"/>
      <c r="B44" s="271">
        <f>'F(Bridge)'!B46</f>
        <v>185</v>
      </c>
      <c r="C44" s="181"/>
      <c r="D44" s="286">
        <f>(B44*$C$5)/100</f>
        <v>9.25</v>
      </c>
      <c r="E44" s="271">
        <v>21</v>
      </c>
      <c r="F44" s="181"/>
      <c r="G44" s="407">
        <f>(D44*1000000)*($H$5/100)*(E44/12)</f>
        <v>404687.5</v>
      </c>
      <c r="H44" s="443"/>
      <c r="I44" s="335"/>
      <c r="J44" s="287">
        <f>(G44*100)/(B44*1000000)</f>
        <v>0.21875</v>
      </c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O44" s="91"/>
      <c r="AQ44" s="351"/>
    </row>
    <row r="45" spans="1:43" ht="18" customHeight="1">
      <c r="A45" s="181"/>
      <c r="B45" s="271">
        <f>'F(Bridge)'!B47</f>
        <v>190</v>
      </c>
      <c r="C45" s="181"/>
      <c r="D45" s="286">
        <f>(B45*$C$5)/100</f>
        <v>9.5</v>
      </c>
      <c r="E45" s="271">
        <v>21</v>
      </c>
      <c r="F45" s="181"/>
      <c r="G45" s="407">
        <f>(D45*1000000)*($H$5/100)*(E45/12)</f>
        <v>415625</v>
      </c>
      <c r="H45" s="443"/>
      <c r="I45" s="335"/>
      <c r="J45" s="287">
        <f>(G45*100)/(B45*1000000)</f>
        <v>0.21875</v>
      </c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Q45" s="351"/>
    </row>
    <row r="46" spans="1:43" ht="18" customHeight="1">
      <c r="A46" s="181"/>
      <c r="B46" s="271">
        <f>'F(Bridge)'!B48</f>
        <v>195</v>
      </c>
      <c r="C46" s="181"/>
      <c r="D46" s="286">
        <f>(B46*$C$5)/100</f>
        <v>9.75</v>
      </c>
      <c r="E46" s="271">
        <v>21</v>
      </c>
      <c r="F46" s="181"/>
      <c r="G46" s="407">
        <f>(D46*1000000)*($H$5/100)*(E46/12)</f>
        <v>426562.5</v>
      </c>
      <c r="H46" s="443"/>
      <c r="I46" s="335"/>
      <c r="J46" s="287">
        <f>(G46*100)/(B46*1000000)</f>
        <v>0.21875</v>
      </c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O46" s="344"/>
    </row>
    <row r="47" spans="1:43" ht="18" customHeight="1">
      <c r="A47" s="418" t="s">
        <v>511</v>
      </c>
      <c r="B47" s="294">
        <f>'F(Bridge)'!B49</f>
        <v>200</v>
      </c>
      <c r="C47" s="289"/>
      <c r="D47" s="295">
        <f>(B47*$C$5)/100</f>
        <v>10</v>
      </c>
      <c r="E47" s="296">
        <v>21</v>
      </c>
      <c r="F47" s="289"/>
      <c r="G47" s="423">
        <f>(D47*1000000)*($H$5/100)*(E47/12)</f>
        <v>437500</v>
      </c>
      <c r="H47" s="444"/>
      <c r="I47" s="341"/>
      <c r="J47" s="297">
        <f>(G47*100)/(B47*1000000)</f>
        <v>0.21875</v>
      </c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</row>
    <row r="48" spans="1:43" ht="18" customHeight="1">
      <c r="A48" s="2339" t="s">
        <v>274</v>
      </c>
      <c r="B48" s="2339"/>
      <c r="C48" s="2339"/>
      <c r="D48" s="2339"/>
      <c r="E48" s="2339"/>
      <c r="F48" s="2339"/>
      <c r="G48" s="2339"/>
      <c r="H48" s="2339"/>
      <c r="I48" s="2339"/>
      <c r="J48" s="2339"/>
      <c r="L48" s="2339" t="s">
        <v>275</v>
      </c>
      <c r="M48" s="2339"/>
      <c r="N48" s="2339"/>
      <c r="O48" s="2339"/>
      <c r="P48" s="2339"/>
      <c r="Q48" s="2339"/>
      <c r="R48" s="2339"/>
      <c r="S48" s="2339"/>
      <c r="T48" s="2339"/>
      <c r="U48" s="2339"/>
      <c r="V48" s="2339"/>
      <c r="W48" s="2339" t="s">
        <v>276</v>
      </c>
      <c r="X48" s="2339"/>
      <c r="Y48" s="2339"/>
      <c r="Z48" s="2339"/>
      <c r="AA48" s="2339"/>
      <c r="AB48" s="2339"/>
      <c r="AC48" s="2339"/>
      <c r="AD48" s="2339"/>
      <c r="AE48" s="2339"/>
      <c r="AF48" s="2339"/>
      <c r="AG48" s="2339"/>
      <c r="AH48" s="2336" t="s">
        <v>277</v>
      </c>
      <c r="AI48" s="2336"/>
      <c r="AJ48" s="2336"/>
      <c r="AK48" s="2336"/>
      <c r="AL48" s="2336"/>
      <c r="AM48" s="2336"/>
      <c r="AN48" s="2336"/>
    </row>
    <row r="49" spans="1:40" ht="18" customHeight="1">
      <c r="A49" s="138"/>
      <c r="B49" s="138"/>
      <c r="C49" s="138"/>
      <c r="D49" s="138"/>
      <c r="E49" s="138"/>
      <c r="F49" s="138"/>
      <c r="G49" s="138"/>
      <c r="H49" s="138"/>
      <c r="I49" s="138"/>
      <c r="J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</row>
    <row r="50" spans="1:40" ht="18" customHeight="1">
      <c r="A50" s="154" t="s">
        <v>278</v>
      </c>
      <c r="B50" s="212"/>
      <c r="C50" s="212"/>
      <c r="D50" s="212"/>
      <c r="E50" s="212"/>
      <c r="F50" s="212"/>
      <c r="G50" s="212"/>
      <c r="H50" s="212"/>
      <c r="I50" s="138"/>
      <c r="J50" s="277"/>
      <c r="L50" s="277"/>
      <c r="M50" s="117" t="s">
        <v>279</v>
      </c>
      <c r="N50" s="135"/>
      <c r="O50" s="135"/>
      <c r="P50" s="135">
        <v>100</v>
      </c>
      <c r="Q50" s="135" t="s">
        <v>505</v>
      </c>
      <c r="R50" s="277"/>
      <c r="S50" s="277"/>
      <c r="T50" s="277"/>
      <c r="U50" s="277"/>
      <c r="V50" s="277"/>
      <c r="W50" s="277"/>
      <c r="X50" s="117" t="s">
        <v>279</v>
      </c>
      <c r="Y50" s="277"/>
      <c r="Z50" s="277"/>
      <c r="AA50" s="135">
        <v>100</v>
      </c>
      <c r="AB50" s="135" t="s">
        <v>505</v>
      </c>
      <c r="AC50" s="277"/>
      <c r="AD50" s="277"/>
      <c r="AE50" s="277"/>
      <c r="AF50" s="277"/>
      <c r="AG50" s="277"/>
      <c r="AH50" s="2358" t="s">
        <v>169</v>
      </c>
      <c r="AI50" s="2358"/>
      <c r="AJ50" s="2358"/>
      <c r="AK50" s="2358"/>
      <c r="AL50" s="2358"/>
      <c r="AM50" s="2358"/>
      <c r="AN50" s="2358"/>
    </row>
    <row r="51" spans="1:40" ht="18" customHeight="1">
      <c r="A51" s="277" t="s">
        <v>399</v>
      </c>
      <c r="B51" s="277"/>
      <c r="C51" s="277">
        <v>5</v>
      </c>
      <c r="D51" s="277" t="s">
        <v>281</v>
      </c>
      <c r="E51" s="277"/>
      <c r="F51" s="138"/>
      <c r="G51" s="277" t="s">
        <v>646</v>
      </c>
      <c r="H51" s="277">
        <v>2</v>
      </c>
      <c r="I51" s="352" t="s">
        <v>282</v>
      </c>
      <c r="J51" s="277"/>
      <c r="L51" s="2343" t="s">
        <v>195</v>
      </c>
      <c r="M51" s="2349" t="s">
        <v>693</v>
      </c>
      <c r="N51" s="2350"/>
      <c r="O51" s="2350"/>
      <c r="P51" s="2351"/>
      <c r="Q51" s="2343" t="s">
        <v>184</v>
      </c>
      <c r="R51" s="2343" t="s">
        <v>183</v>
      </c>
      <c r="S51" s="2337" t="s">
        <v>694</v>
      </c>
      <c r="T51" s="2338"/>
      <c r="U51" s="2337" t="s">
        <v>695</v>
      </c>
      <c r="V51" s="2338"/>
      <c r="W51" s="2343" t="s">
        <v>195</v>
      </c>
      <c r="X51" s="2349" t="s">
        <v>693</v>
      </c>
      <c r="Y51" s="2350"/>
      <c r="Z51" s="2350"/>
      <c r="AA51" s="2351"/>
      <c r="AB51" s="2343" t="s">
        <v>184</v>
      </c>
      <c r="AC51" s="2343" t="s">
        <v>183</v>
      </c>
      <c r="AD51" s="2337" t="s">
        <v>694</v>
      </c>
      <c r="AE51" s="2338"/>
      <c r="AF51" s="2337" t="s">
        <v>695</v>
      </c>
      <c r="AG51" s="2338"/>
      <c r="AH51" s="353"/>
      <c r="AI51" s="353"/>
      <c r="AJ51" s="353"/>
      <c r="AK51" s="353"/>
      <c r="AL51" s="353"/>
      <c r="AM51" s="353"/>
      <c r="AN51" s="353"/>
    </row>
    <row r="52" spans="1:40" ht="18" customHeight="1">
      <c r="A52" s="277" t="s">
        <v>283</v>
      </c>
      <c r="B52" s="277"/>
      <c r="C52" s="277">
        <v>2.5</v>
      </c>
      <c r="D52" s="277" t="s">
        <v>496</v>
      </c>
      <c r="E52" s="277"/>
      <c r="F52" s="138"/>
      <c r="G52" s="299" t="s">
        <v>400</v>
      </c>
      <c r="H52" s="299">
        <f>($C$51/100)*($C$52/100)*(2*100)</f>
        <v>0.25000000000000006</v>
      </c>
      <c r="I52" s="299" t="s">
        <v>284</v>
      </c>
      <c r="J52" s="299"/>
      <c r="L52" s="2344"/>
      <c r="M52" s="2352"/>
      <c r="N52" s="2353"/>
      <c r="O52" s="2353"/>
      <c r="P52" s="2354"/>
      <c r="Q52" s="2344"/>
      <c r="R52" s="2344"/>
      <c r="S52" s="2334" t="s">
        <v>927</v>
      </c>
      <c r="T52" s="2335"/>
      <c r="U52" s="2334" t="s">
        <v>927</v>
      </c>
      <c r="V52" s="2335"/>
      <c r="W52" s="2344"/>
      <c r="X52" s="2352"/>
      <c r="Y52" s="2353"/>
      <c r="Z52" s="2353"/>
      <c r="AA52" s="2354"/>
      <c r="AB52" s="2344"/>
      <c r="AC52" s="2344"/>
      <c r="AD52" s="2334" t="s">
        <v>927</v>
      </c>
      <c r="AE52" s="2335"/>
      <c r="AF52" s="2334" t="s">
        <v>927</v>
      </c>
      <c r="AG52" s="2335"/>
      <c r="AH52" s="354" t="s">
        <v>653</v>
      </c>
      <c r="AI52" s="355"/>
      <c r="AJ52" s="356" t="s">
        <v>285</v>
      </c>
      <c r="AK52" s="356" t="s">
        <v>286</v>
      </c>
      <c r="AL52" s="356" t="s">
        <v>287</v>
      </c>
      <c r="AM52" s="356" t="s">
        <v>288</v>
      </c>
      <c r="AN52" s="356" t="s">
        <v>558</v>
      </c>
    </row>
    <row r="53" spans="1:40" ht="18" customHeight="1">
      <c r="A53" s="212" t="s">
        <v>403</v>
      </c>
      <c r="B53" s="212"/>
      <c r="C53" s="212"/>
      <c r="D53" s="212"/>
      <c r="E53" s="212"/>
      <c r="F53" s="212"/>
      <c r="G53" s="212"/>
      <c r="H53" s="212"/>
      <c r="I53" s="212"/>
      <c r="J53" s="277"/>
      <c r="L53" s="167">
        <v>1</v>
      </c>
      <c r="M53" s="168" t="s">
        <v>405</v>
      </c>
      <c r="N53" s="169"/>
      <c r="O53" s="169"/>
      <c r="P53" s="170"/>
      <c r="Q53" s="171"/>
      <c r="R53" s="171"/>
      <c r="S53" s="172"/>
      <c r="T53" s="170"/>
      <c r="U53" s="172"/>
      <c r="V53" s="170"/>
      <c r="W53" s="171">
        <v>1.1000000000000001</v>
      </c>
      <c r="X53" s="181" t="s">
        <v>406</v>
      </c>
      <c r="Y53" s="138"/>
      <c r="Z53" s="138"/>
      <c r="AA53" s="182"/>
      <c r="AB53" s="180" t="s">
        <v>407</v>
      </c>
      <c r="AC53" s="180">
        <v>0</v>
      </c>
      <c r="AD53" s="181"/>
      <c r="AE53" s="183">
        <v>50000</v>
      </c>
      <c r="AF53" s="181"/>
      <c r="AG53" s="213">
        <f>(AC53*AE53)/2</f>
        <v>0</v>
      </c>
      <c r="AH53" s="357" t="s">
        <v>505</v>
      </c>
      <c r="AI53" s="358"/>
      <c r="AJ53" s="359" t="s">
        <v>494</v>
      </c>
      <c r="AK53" s="359" t="s">
        <v>494</v>
      </c>
      <c r="AL53" s="360" t="s">
        <v>494</v>
      </c>
      <c r="AM53" s="359" t="s">
        <v>494</v>
      </c>
      <c r="AN53" s="360" t="s">
        <v>494</v>
      </c>
    </row>
    <row r="54" spans="1:40" ht="18" customHeight="1">
      <c r="A54" s="314"/>
      <c r="B54" s="155" t="s">
        <v>289</v>
      </c>
      <c r="C54" s="277"/>
      <c r="D54" s="277"/>
      <c r="E54" s="277"/>
      <c r="F54" s="277"/>
      <c r="G54" s="212"/>
      <c r="H54" s="212"/>
      <c r="I54" s="277"/>
      <c r="J54" s="277"/>
      <c r="L54" s="180">
        <v>1.1000000000000001</v>
      </c>
      <c r="M54" s="181" t="s">
        <v>409</v>
      </c>
      <c r="N54" s="138"/>
      <c r="O54" s="138"/>
      <c r="P54" s="182"/>
      <c r="Q54" s="180" t="s">
        <v>410</v>
      </c>
      <c r="R54" s="180">
        <v>1</v>
      </c>
      <c r="S54" s="181"/>
      <c r="T54" s="183">
        <v>3500</v>
      </c>
      <c r="U54" s="181"/>
      <c r="V54" s="213">
        <f>R54*T54</f>
        <v>3500</v>
      </c>
      <c r="W54" s="180">
        <v>1.2</v>
      </c>
      <c r="X54" s="181" t="s">
        <v>411</v>
      </c>
      <c r="Y54" s="138"/>
      <c r="Z54" s="138"/>
      <c r="AA54" s="182"/>
      <c r="AB54" s="180" t="s">
        <v>407</v>
      </c>
      <c r="AC54" s="180">
        <v>1</v>
      </c>
      <c r="AD54" s="181"/>
      <c r="AE54" s="183">
        <v>20000</v>
      </c>
      <c r="AF54" s="181"/>
      <c r="AG54" s="213">
        <f>AC54*AE54</f>
        <v>20000</v>
      </c>
      <c r="AH54" s="332" t="s">
        <v>510</v>
      </c>
      <c r="AI54" s="361">
        <f>'F(Bridge)'!B10</f>
        <v>5</v>
      </c>
      <c r="AJ54" s="362">
        <f>J100</f>
        <v>0.6705000000000001</v>
      </c>
      <c r="AK54" s="363">
        <f>U101</f>
        <v>4.3487999999999998</v>
      </c>
      <c r="AL54" s="364">
        <f>AG101</f>
        <v>4.92</v>
      </c>
      <c r="AM54" s="363">
        <f>$AM$8</f>
        <v>0.3</v>
      </c>
      <c r="AN54" s="446">
        <f>(AJ54+AK54+AL54+AM54)</f>
        <v>10.2393</v>
      </c>
    </row>
    <row r="55" spans="1:40" ht="18" customHeight="1">
      <c r="A55" s="277"/>
      <c r="B55" s="277"/>
      <c r="C55" s="277"/>
      <c r="D55" s="277"/>
      <c r="E55" s="212"/>
      <c r="F55" s="299" t="s">
        <v>290</v>
      </c>
      <c r="G55" s="299"/>
      <c r="H55" s="299">
        <v>0.1</v>
      </c>
      <c r="I55" s="366" t="s">
        <v>928</v>
      </c>
      <c r="J55" s="299"/>
      <c r="L55" s="180">
        <v>1.2</v>
      </c>
      <c r="M55" s="181" t="s">
        <v>413</v>
      </c>
      <c r="N55" s="138"/>
      <c r="O55" s="138"/>
      <c r="P55" s="182"/>
      <c r="Q55" s="180" t="s">
        <v>414</v>
      </c>
      <c r="R55" s="180">
        <v>1</v>
      </c>
      <c r="S55" s="181"/>
      <c r="T55" s="183">
        <v>3000</v>
      </c>
      <c r="U55" s="181"/>
      <c r="V55" s="183">
        <f>R55*T55</f>
        <v>3000</v>
      </c>
      <c r="W55" s="180">
        <v>1.3</v>
      </c>
      <c r="X55" s="181" t="s">
        <v>415</v>
      </c>
      <c r="Y55" s="138"/>
      <c r="Z55" s="138"/>
      <c r="AA55" s="182"/>
      <c r="AB55" s="180" t="s">
        <v>407</v>
      </c>
      <c r="AC55" s="501">
        <v>1</v>
      </c>
      <c r="AD55" s="181"/>
      <c r="AE55" s="183">
        <v>10000</v>
      </c>
      <c r="AF55" s="181"/>
      <c r="AG55" s="493">
        <f>AC55*AE55</f>
        <v>10000</v>
      </c>
      <c r="AH55" s="163"/>
      <c r="AI55" s="367">
        <f>'F(Bridge)'!B11</f>
        <v>10</v>
      </c>
      <c r="AJ55" s="368">
        <f>J101</f>
        <v>0.7017500000000001</v>
      </c>
      <c r="AK55" s="369">
        <f>U102</f>
        <v>3.2616000000000001</v>
      </c>
      <c r="AL55" s="364">
        <f>AG102</f>
        <v>3.6900000000000004</v>
      </c>
      <c r="AM55" s="369">
        <f>$AM$8</f>
        <v>0.3</v>
      </c>
      <c r="AN55" s="447">
        <f t="shared" ref="AN55:AN93" si="7">(AJ55+AK55+AL55+AM55)</f>
        <v>7.9533500000000004</v>
      </c>
    </row>
    <row r="56" spans="1:40" ht="18" customHeight="1">
      <c r="A56" s="212" t="s">
        <v>403</v>
      </c>
      <c r="B56" s="212"/>
      <c r="C56" s="212"/>
      <c r="D56" s="212"/>
      <c r="E56" s="212"/>
      <c r="F56" s="212"/>
      <c r="G56" s="212"/>
      <c r="H56" s="212"/>
      <c r="I56" s="212"/>
      <c r="J56" s="277"/>
      <c r="L56" s="180">
        <v>1.3</v>
      </c>
      <c r="M56" s="181" t="s">
        <v>419</v>
      </c>
      <c r="N56" s="138"/>
      <c r="O56" s="138"/>
      <c r="P56" s="182"/>
      <c r="Q56" s="180" t="s">
        <v>890</v>
      </c>
      <c r="R56" s="186">
        <v>800</v>
      </c>
      <c r="S56" s="181"/>
      <c r="T56" s="183">
        <v>2</v>
      </c>
      <c r="U56" s="181"/>
      <c r="V56" s="213">
        <f>R56*T56</f>
        <v>1600</v>
      </c>
      <c r="W56" s="180">
        <v>1.4</v>
      </c>
      <c r="X56" s="181" t="s">
        <v>420</v>
      </c>
      <c r="Y56" s="138"/>
      <c r="Z56" s="138"/>
      <c r="AA56" s="182"/>
      <c r="AB56" s="180" t="s">
        <v>407</v>
      </c>
      <c r="AC56" s="501">
        <v>1</v>
      </c>
      <c r="AD56" s="181"/>
      <c r="AE56" s="183">
        <v>7000</v>
      </c>
      <c r="AF56" s="181"/>
      <c r="AG56" s="493">
        <f>AC56*AE56</f>
        <v>7000</v>
      </c>
      <c r="AH56" s="163"/>
      <c r="AI56" s="367">
        <f>'F(Bridge)'!B12</f>
        <v>15</v>
      </c>
      <c r="AJ56" s="368">
        <f t="shared" ref="AJ56:AJ93" si="8">J102</f>
        <v>0.7330000000000001</v>
      </c>
      <c r="AK56" s="369">
        <f t="shared" ref="AK56:AK93" si="9">U103</f>
        <v>3.0112000000000001</v>
      </c>
      <c r="AL56" s="364">
        <f t="shared" ref="AL56:AL93" si="10">AG103</f>
        <v>3.76</v>
      </c>
      <c r="AM56" s="369">
        <f t="shared" ref="AM56:AM93" si="11">$AM$8</f>
        <v>0.3</v>
      </c>
      <c r="AN56" s="447">
        <f t="shared" si="7"/>
        <v>7.8041999999999998</v>
      </c>
    </row>
    <row r="57" spans="1:40" ht="18" customHeight="1">
      <c r="A57" s="154" t="s">
        <v>291</v>
      </c>
      <c r="B57" s="277"/>
      <c r="C57" s="277"/>
      <c r="D57" s="277"/>
      <c r="E57" s="277"/>
      <c r="F57" s="277"/>
      <c r="G57" s="277"/>
      <c r="H57" s="277"/>
      <c r="I57" s="277"/>
      <c r="J57" s="277"/>
      <c r="L57" s="180">
        <v>1.4</v>
      </c>
      <c r="M57" s="181" t="s">
        <v>421</v>
      </c>
      <c r="N57" s="138"/>
      <c r="O57" s="138"/>
      <c r="P57" s="182"/>
      <c r="Q57" s="180" t="s">
        <v>422</v>
      </c>
      <c r="R57" s="180">
        <v>1</v>
      </c>
      <c r="S57" s="181"/>
      <c r="T57" s="183">
        <v>3000</v>
      </c>
      <c r="U57" s="181"/>
      <c r="V57" s="213">
        <f>R57*T57</f>
        <v>3000</v>
      </c>
      <c r="W57" s="180">
        <v>1.5</v>
      </c>
      <c r="X57" s="181" t="s">
        <v>423</v>
      </c>
      <c r="Y57" s="138"/>
      <c r="Z57" s="138"/>
      <c r="AA57" s="182"/>
      <c r="AB57" s="180" t="s">
        <v>407</v>
      </c>
      <c r="AC57" s="180">
        <v>1</v>
      </c>
      <c r="AD57" s="181"/>
      <c r="AE57" s="183">
        <v>6000</v>
      </c>
      <c r="AF57" s="181"/>
      <c r="AG57" s="213">
        <f>AC57*AE57</f>
        <v>6000</v>
      </c>
      <c r="AH57" s="163"/>
      <c r="AI57" s="367">
        <f>'F(Bridge)'!B13</f>
        <v>20</v>
      </c>
      <c r="AJ57" s="368">
        <f t="shared" si="8"/>
        <v>0.7642500000000001</v>
      </c>
      <c r="AK57" s="369">
        <f t="shared" si="9"/>
        <v>2.823</v>
      </c>
      <c r="AL57" s="364">
        <f t="shared" si="10"/>
        <v>3.65625</v>
      </c>
      <c r="AM57" s="369">
        <f t="shared" si="11"/>
        <v>0.3</v>
      </c>
      <c r="AN57" s="447">
        <f t="shared" si="7"/>
        <v>7.5434999999999999</v>
      </c>
    </row>
    <row r="58" spans="1:40" ht="18" customHeight="1">
      <c r="A58" s="277"/>
      <c r="B58" s="277" t="s">
        <v>292</v>
      </c>
      <c r="C58" s="277"/>
      <c r="D58" s="277"/>
      <c r="E58" s="448">
        <v>0.51</v>
      </c>
      <c r="F58" s="277" t="s">
        <v>293</v>
      </c>
      <c r="G58" s="277"/>
      <c r="H58" s="277"/>
      <c r="I58" s="277"/>
      <c r="J58" s="277"/>
      <c r="L58" s="187">
        <v>2</v>
      </c>
      <c r="M58" s="188" t="s">
        <v>424</v>
      </c>
      <c r="N58" s="138"/>
      <c r="O58" s="138"/>
      <c r="P58" s="182"/>
      <c r="Q58" s="180"/>
      <c r="R58" s="180"/>
      <c r="S58" s="181"/>
      <c r="T58" s="183"/>
      <c r="U58" s="181"/>
      <c r="V58" s="213">
        <v>0</v>
      </c>
      <c r="W58" s="288">
        <v>1.6</v>
      </c>
      <c r="X58" s="181" t="s">
        <v>425</v>
      </c>
      <c r="Y58" s="138"/>
      <c r="Z58" s="138"/>
      <c r="AA58" s="182"/>
      <c r="AB58" s="180" t="s">
        <v>407</v>
      </c>
      <c r="AC58" s="180">
        <v>0</v>
      </c>
      <c r="AD58" s="181"/>
      <c r="AE58" s="183">
        <v>3000</v>
      </c>
      <c r="AF58" s="181"/>
      <c r="AG58" s="213">
        <f>AC58*AE58</f>
        <v>0</v>
      </c>
      <c r="AH58" s="163"/>
      <c r="AI58" s="367">
        <f>'F(Bridge)'!B14</f>
        <v>25</v>
      </c>
      <c r="AJ58" s="368">
        <f t="shared" si="8"/>
        <v>0.7642500000000001</v>
      </c>
      <c r="AK58" s="369">
        <f t="shared" si="9"/>
        <v>2.2584</v>
      </c>
      <c r="AL58" s="364">
        <f t="shared" si="10"/>
        <v>3.0300000000000002</v>
      </c>
      <c r="AM58" s="369">
        <f t="shared" si="11"/>
        <v>0.3</v>
      </c>
      <c r="AN58" s="447">
        <f t="shared" si="7"/>
        <v>6.3526499999999997</v>
      </c>
    </row>
    <row r="59" spans="1:40" ht="18" customHeight="1">
      <c r="A59" s="277"/>
      <c r="B59" s="277"/>
      <c r="C59" s="277" t="s">
        <v>351</v>
      </c>
      <c r="D59" s="277"/>
      <c r="E59" s="448">
        <v>0.3</v>
      </c>
      <c r="F59" s="277" t="s">
        <v>397</v>
      </c>
      <c r="G59" s="277"/>
      <c r="H59" s="277"/>
      <c r="I59" s="277"/>
      <c r="J59" s="277"/>
      <c r="L59" s="180">
        <v>2.1</v>
      </c>
      <c r="M59" s="181" t="s">
        <v>426</v>
      </c>
      <c r="N59" s="138"/>
      <c r="O59" s="138"/>
      <c r="P59" s="182"/>
      <c r="Q59" s="180" t="s">
        <v>427</v>
      </c>
      <c r="R59" s="180">
        <v>1</v>
      </c>
      <c r="S59" s="181"/>
      <c r="T59" s="183">
        <v>21500</v>
      </c>
      <c r="U59" s="181"/>
      <c r="V59" s="213">
        <f>R59*T59</f>
        <v>21500</v>
      </c>
      <c r="W59" s="2340" t="s">
        <v>186</v>
      </c>
      <c r="X59" s="2341"/>
      <c r="Y59" s="2341"/>
      <c r="Z59" s="2341"/>
      <c r="AA59" s="2341"/>
      <c r="AB59" s="2341"/>
      <c r="AC59" s="2341"/>
      <c r="AD59" s="2341"/>
      <c r="AE59" s="2342"/>
      <c r="AF59" s="217"/>
      <c r="AG59" s="194">
        <f>SUM(AG53:AG58)</f>
        <v>43000</v>
      </c>
      <c r="AH59" s="163"/>
      <c r="AI59" s="367">
        <f>'F(Bridge)'!B15</f>
        <v>30</v>
      </c>
      <c r="AJ59" s="368">
        <f t="shared" si="8"/>
        <v>0.7955000000000001</v>
      </c>
      <c r="AK59" s="369">
        <f t="shared" si="9"/>
        <v>2.2584</v>
      </c>
      <c r="AL59" s="364">
        <f t="shared" si="10"/>
        <v>3.1350000000000002</v>
      </c>
      <c r="AM59" s="369">
        <f t="shared" si="11"/>
        <v>0.3</v>
      </c>
      <c r="AN59" s="447">
        <f t="shared" si="7"/>
        <v>6.4889000000000001</v>
      </c>
    </row>
    <row r="60" spans="1:40" ht="18" customHeight="1">
      <c r="A60" s="277"/>
      <c r="B60" s="277"/>
      <c r="C60" s="277" t="s">
        <v>294</v>
      </c>
      <c r="D60" s="277" t="s">
        <v>295</v>
      </c>
      <c r="E60" s="277"/>
      <c r="F60" s="449">
        <f>$E$58*$E$59</f>
        <v>0.153</v>
      </c>
      <c r="G60" s="277" t="s">
        <v>397</v>
      </c>
      <c r="H60" s="277"/>
      <c r="I60" s="277"/>
      <c r="J60" s="277"/>
      <c r="L60" s="180">
        <v>2.2000000000000002</v>
      </c>
      <c r="M60" s="181" t="s">
        <v>947</v>
      </c>
      <c r="N60" s="138"/>
      <c r="O60" s="138"/>
      <c r="P60" s="182"/>
      <c r="Q60" s="180" t="s">
        <v>427</v>
      </c>
      <c r="R60" s="180">
        <v>1</v>
      </c>
      <c r="S60" s="181"/>
      <c r="T60" s="183">
        <v>3600</v>
      </c>
      <c r="U60" s="181"/>
      <c r="V60" s="213">
        <f>R60*T60</f>
        <v>3600</v>
      </c>
      <c r="W60" s="167">
        <v>2</v>
      </c>
      <c r="X60" s="188" t="s">
        <v>948</v>
      </c>
      <c r="Y60" s="195"/>
      <c r="Z60" s="195"/>
      <c r="AA60" s="279"/>
      <c r="AB60" s="180"/>
      <c r="AC60" s="180"/>
      <c r="AD60" s="181"/>
      <c r="AE60" s="182"/>
      <c r="AF60" s="181"/>
      <c r="AG60" s="182"/>
      <c r="AH60" s="163"/>
      <c r="AI60" s="367">
        <f>'F(Bridge)'!B16</f>
        <v>35</v>
      </c>
      <c r="AJ60" s="368">
        <f t="shared" si="8"/>
        <v>0.80591666666666673</v>
      </c>
      <c r="AK60" s="369">
        <f t="shared" si="9"/>
        <v>2.0433142857142856</v>
      </c>
      <c r="AL60" s="364">
        <f t="shared" si="10"/>
        <v>2.9313697994535235</v>
      </c>
      <c r="AM60" s="369">
        <f t="shared" si="11"/>
        <v>0.3</v>
      </c>
      <c r="AN60" s="447">
        <f t="shared" si="7"/>
        <v>6.0806007518344751</v>
      </c>
    </row>
    <row r="61" spans="1:40" ht="18" customHeight="1">
      <c r="A61" s="277"/>
      <c r="B61" s="277"/>
      <c r="C61" s="277"/>
      <c r="D61" s="277"/>
      <c r="E61" s="277"/>
      <c r="F61" s="277"/>
      <c r="G61" s="277"/>
      <c r="H61" s="277"/>
      <c r="I61" s="277"/>
      <c r="J61" s="277"/>
      <c r="L61" s="180">
        <v>2.2999999999999998</v>
      </c>
      <c r="M61" s="181" t="s">
        <v>949</v>
      </c>
      <c r="N61" s="138"/>
      <c r="O61" s="138"/>
      <c r="P61" s="182"/>
      <c r="Q61" s="180" t="s">
        <v>427</v>
      </c>
      <c r="R61" s="180">
        <v>1</v>
      </c>
      <c r="S61" s="181"/>
      <c r="T61" s="183">
        <v>1000</v>
      </c>
      <c r="U61" s="181"/>
      <c r="V61" s="213">
        <f>R61*T61</f>
        <v>1000</v>
      </c>
      <c r="W61" s="180">
        <v>2.1</v>
      </c>
      <c r="X61" s="181" t="s">
        <v>297</v>
      </c>
      <c r="Y61" s="138"/>
      <c r="Z61" s="138"/>
      <c r="AA61" s="182"/>
      <c r="AB61" s="180"/>
      <c r="AC61" s="180">
        <v>1</v>
      </c>
      <c r="AD61" s="181"/>
      <c r="AE61" s="183">
        <v>3000</v>
      </c>
      <c r="AF61" s="181"/>
      <c r="AG61" s="493">
        <f>AC61*AE61/4</f>
        <v>750</v>
      </c>
      <c r="AH61" s="163"/>
      <c r="AI61" s="367">
        <f>'F(Bridge)'!B17</f>
        <v>40</v>
      </c>
      <c r="AJ61" s="368">
        <f t="shared" si="8"/>
        <v>0.80591666666666673</v>
      </c>
      <c r="AK61" s="369">
        <f t="shared" si="9"/>
        <v>1.7879</v>
      </c>
      <c r="AL61" s="364">
        <f t="shared" si="10"/>
        <v>2.6481700023685457</v>
      </c>
      <c r="AM61" s="369">
        <f t="shared" si="11"/>
        <v>0.3</v>
      </c>
      <c r="AN61" s="447">
        <f t="shared" si="7"/>
        <v>5.5419866690352118</v>
      </c>
    </row>
    <row r="62" spans="1:40" ht="18" customHeight="1">
      <c r="A62" s="277"/>
      <c r="B62" s="277" t="s">
        <v>296</v>
      </c>
      <c r="C62" s="277"/>
      <c r="D62" s="277"/>
      <c r="E62" s="448">
        <v>0.35</v>
      </c>
      <c r="F62" s="277" t="s">
        <v>293</v>
      </c>
      <c r="G62" s="277"/>
      <c r="H62" s="277"/>
      <c r="I62" s="277"/>
      <c r="J62" s="277"/>
      <c r="L62" s="180">
        <v>2.4</v>
      </c>
      <c r="M62" s="181" t="s">
        <v>226</v>
      </c>
      <c r="N62" s="138"/>
      <c r="O62" s="138"/>
      <c r="P62" s="182"/>
      <c r="Q62" s="180" t="s">
        <v>427</v>
      </c>
      <c r="R62" s="180">
        <v>1</v>
      </c>
      <c r="S62" s="181"/>
      <c r="T62" s="183">
        <v>840</v>
      </c>
      <c r="U62" s="181"/>
      <c r="V62" s="214">
        <f>R62*T62</f>
        <v>840</v>
      </c>
      <c r="W62" s="180">
        <v>2.2000000000000002</v>
      </c>
      <c r="X62" s="181" t="s">
        <v>252</v>
      </c>
      <c r="Y62" s="138"/>
      <c r="Z62" s="138"/>
      <c r="AA62" s="182"/>
      <c r="AB62" s="180"/>
      <c r="AC62" s="180">
        <v>1</v>
      </c>
      <c r="AD62" s="181"/>
      <c r="AE62" s="183">
        <v>3000</v>
      </c>
      <c r="AF62" s="181"/>
      <c r="AG62" s="493">
        <f>AC62*AE62/4</f>
        <v>750</v>
      </c>
      <c r="AH62" s="163"/>
      <c r="AI62" s="367">
        <f>'F(Bridge)'!B18</f>
        <v>45</v>
      </c>
      <c r="AJ62" s="368">
        <f t="shared" si="8"/>
        <v>0.80591666666666673</v>
      </c>
      <c r="AK62" s="369">
        <f t="shared" si="9"/>
        <v>1.5892444444444445</v>
      </c>
      <c r="AL62" s="364">
        <f t="shared" si="10"/>
        <v>2.4277777777777776</v>
      </c>
      <c r="AM62" s="369">
        <f t="shared" si="11"/>
        <v>0.3</v>
      </c>
      <c r="AN62" s="447">
        <f t="shared" si="7"/>
        <v>5.1229388888888883</v>
      </c>
    </row>
    <row r="63" spans="1:40" ht="18" customHeight="1">
      <c r="A63" s="277"/>
      <c r="B63" s="277"/>
      <c r="C63" s="277" t="s">
        <v>351</v>
      </c>
      <c r="D63" s="277"/>
      <c r="E63" s="448">
        <v>0.3</v>
      </c>
      <c r="F63" s="277" t="s">
        <v>293</v>
      </c>
      <c r="G63" s="277"/>
      <c r="H63" s="277"/>
      <c r="I63" s="277"/>
      <c r="J63" s="277"/>
      <c r="L63" s="2340" t="s">
        <v>186</v>
      </c>
      <c r="M63" s="2341"/>
      <c r="N63" s="2341"/>
      <c r="O63" s="2341"/>
      <c r="P63" s="2341"/>
      <c r="Q63" s="2341"/>
      <c r="R63" s="2341"/>
      <c r="S63" s="2341"/>
      <c r="T63" s="2342"/>
      <c r="U63" s="193"/>
      <c r="V63" s="298">
        <f>SUM(V54:V62)</f>
        <v>38040</v>
      </c>
      <c r="W63" s="180">
        <v>2.2999999999999998</v>
      </c>
      <c r="X63" s="181" t="s">
        <v>253</v>
      </c>
      <c r="Y63" s="138"/>
      <c r="Z63" s="138"/>
      <c r="AA63" s="182"/>
      <c r="AB63" s="180" t="s">
        <v>407</v>
      </c>
      <c r="AC63" s="180">
        <v>1</v>
      </c>
      <c r="AD63" s="181"/>
      <c r="AE63" s="183">
        <v>50000</v>
      </c>
      <c r="AF63" s="181"/>
      <c r="AG63" s="493">
        <f>(AC63*AE63)/4</f>
        <v>12500</v>
      </c>
      <c r="AH63" s="163"/>
      <c r="AI63" s="367">
        <f>'F(Bridge)'!B19</f>
        <v>50</v>
      </c>
      <c r="AJ63" s="368">
        <f t="shared" si="8"/>
        <v>0.80591666666666673</v>
      </c>
      <c r="AK63" s="369">
        <f t="shared" si="9"/>
        <v>1.43032</v>
      </c>
      <c r="AL63" s="364">
        <f t="shared" si="10"/>
        <v>2.2514712012125804</v>
      </c>
      <c r="AM63" s="369">
        <f t="shared" si="11"/>
        <v>0.3</v>
      </c>
      <c r="AN63" s="447">
        <f t="shared" si="7"/>
        <v>4.7877078678792468</v>
      </c>
    </row>
    <row r="64" spans="1:40" ht="18" customHeight="1">
      <c r="A64" s="277"/>
      <c r="B64" s="277"/>
      <c r="C64" s="277" t="s">
        <v>294</v>
      </c>
      <c r="D64" s="277" t="s">
        <v>298</v>
      </c>
      <c r="E64" s="277"/>
      <c r="F64" s="449">
        <f>$E$62*$E$63</f>
        <v>0.105</v>
      </c>
      <c r="G64" s="277" t="s">
        <v>397</v>
      </c>
      <c r="H64" s="277"/>
      <c r="I64" s="277"/>
      <c r="J64" s="277"/>
      <c r="L64" s="195" t="s">
        <v>254</v>
      </c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80">
        <v>2.4</v>
      </c>
      <c r="X64" s="181" t="s">
        <v>255</v>
      </c>
      <c r="Y64" s="138"/>
      <c r="Z64" s="138"/>
      <c r="AA64" s="182"/>
      <c r="AB64" s="180" t="s">
        <v>407</v>
      </c>
      <c r="AC64" s="180">
        <v>1</v>
      </c>
      <c r="AD64" s="181"/>
      <c r="AE64" s="183">
        <v>8000</v>
      </c>
      <c r="AF64" s="181"/>
      <c r="AG64" s="493">
        <f>AC64*AE64/4</f>
        <v>2000</v>
      </c>
      <c r="AH64" s="163"/>
      <c r="AI64" s="367">
        <f>'F(Bridge)'!B20</f>
        <v>55</v>
      </c>
      <c r="AJ64" s="368">
        <f t="shared" si="8"/>
        <v>0.80591666666666673</v>
      </c>
      <c r="AK64" s="369">
        <f t="shared" si="9"/>
        <v>1.3141090909090909</v>
      </c>
      <c r="AL64" s="364">
        <f t="shared" si="10"/>
        <v>1.6396316287878787</v>
      </c>
      <c r="AM64" s="369">
        <f t="shared" si="11"/>
        <v>0.3</v>
      </c>
      <c r="AN64" s="447">
        <f t="shared" si="7"/>
        <v>4.0596573863636367</v>
      </c>
    </row>
    <row r="65" spans="1:40" ht="18" customHeight="1">
      <c r="A65" s="277"/>
      <c r="B65" s="277"/>
      <c r="C65" s="277"/>
      <c r="D65" s="277"/>
      <c r="E65" s="277"/>
      <c r="F65" s="277"/>
      <c r="G65" s="277"/>
      <c r="H65" s="277"/>
      <c r="I65" s="277"/>
      <c r="J65" s="277"/>
      <c r="L65" s="138" t="s">
        <v>256</v>
      </c>
      <c r="M65" s="138"/>
      <c r="N65" s="138"/>
      <c r="O65" s="138"/>
      <c r="P65" s="196">
        <v>550</v>
      </c>
      <c r="Q65" s="138" t="s">
        <v>257</v>
      </c>
      <c r="R65" s="138" t="s">
        <v>881</v>
      </c>
      <c r="S65" s="138"/>
      <c r="T65" s="138"/>
      <c r="U65" s="196">
        <v>6</v>
      </c>
      <c r="V65" s="138" t="s">
        <v>259</v>
      </c>
      <c r="W65" s="180">
        <v>2.5</v>
      </c>
      <c r="X65" s="181" t="s">
        <v>260</v>
      </c>
      <c r="Y65" s="138"/>
      <c r="Z65" s="138"/>
      <c r="AA65" s="182"/>
      <c r="AB65" s="180" t="s">
        <v>407</v>
      </c>
      <c r="AC65" s="180">
        <v>1</v>
      </c>
      <c r="AD65" s="181"/>
      <c r="AE65" s="183">
        <v>8000</v>
      </c>
      <c r="AF65" s="181"/>
      <c r="AG65" s="493">
        <f>AC65*AE65/4</f>
        <v>2000</v>
      </c>
      <c r="AH65" s="163"/>
      <c r="AI65" s="367">
        <f>'F(Bridge)'!B21</f>
        <v>60</v>
      </c>
      <c r="AJ65" s="368">
        <f t="shared" si="8"/>
        <v>0.80591666666666673</v>
      </c>
      <c r="AK65" s="369">
        <f t="shared" si="9"/>
        <v>1.2045999999999999</v>
      </c>
      <c r="AL65" s="364">
        <f t="shared" si="10"/>
        <v>1.6488437499999999</v>
      </c>
      <c r="AM65" s="369">
        <f t="shared" si="11"/>
        <v>0.3</v>
      </c>
      <c r="AN65" s="447">
        <f t="shared" si="7"/>
        <v>3.9593604166666667</v>
      </c>
    </row>
    <row r="66" spans="1:40" ht="18" customHeight="1">
      <c r="A66" s="277"/>
      <c r="B66" s="299" t="s">
        <v>299</v>
      </c>
      <c r="C66" s="299"/>
      <c r="D66" s="299"/>
      <c r="E66" s="299"/>
      <c r="F66" s="299"/>
      <c r="G66" s="299"/>
      <c r="H66" s="300">
        <f>($F$60+$F$64)</f>
        <v>0.25800000000000001</v>
      </c>
      <c r="I66" s="299" t="s">
        <v>284</v>
      </c>
      <c r="J66" s="299"/>
      <c r="L66" s="138" t="s">
        <v>261</v>
      </c>
      <c r="M66" s="138"/>
      <c r="N66" s="138"/>
      <c r="O66" s="138"/>
      <c r="P66" s="196">
        <v>8</v>
      </c>
      <c r="Q66" s="138" t="s">
        <v>262</v>
      </c>
      <c r="R66" s="138" t="s">
        <v>263</v>
      </c>
      <c r="S66" s="138"/>
      <c r="T66" s="138"/>
      <c r="U66" s="196">
        <v>4</v>
      </c>
      <c r="V66" s="138" t="s">
        <v>264</v>
      </c>
      <c r="W66" s="180">
        <v>2.6</v>
      </c>
      <c r="X66" s="181" t="s">
        <v>265</v>
      </c>
      <c r="Y66" s="138"/>
      <c r="Z66" s="138"/>
      <c r="AA66" s="182"/>
      <c r="AB66" s="180" t="s">
        <v>407</v>
      </c>
      <c r="AC66" s="180">
        <v>1</v>
      </c>
      <c r="AD66" s="181"/>
      <c r="AE66" s="183">
        <v>6000</v>
      </c>
      <c r="AF66" s="181"/>
      <c r="AG66" s="493">
        <f>AC66*AE66/4</f>
        <v>1500</v>
      </c>
      <c r="AH66" s="163"/>
      <c r="AI66" s="367">
        <f>'F(Bridge)'!B22</f>
        <v>65</v>
      </c>
      <c r="AJ66" s="368">
        <f t="shared" si="8"/>
        <v>0.8267500000000001</v>
      </c>
      <c r="AK66" s="369">
        <f t="shared" si="9"/>
        <v>1.2289846153846153</v>
      </c>
      <c r="AL66" s="364">
        <f t="shared" si="10"/>
        <v>1.8424975961538461</v>
      </c>
      <c r="AM66" s="369">
        <f t="shared" si="11"/>
        <v>0.3</v>
      </c>
      <c r="AN66" s="447">
        <f t="shared" si="7"/>
        <v>4.1982322115384614</v>
      </c>
    </row>
    <row r="67" spans="1:40" ht="18" customHeight="1">
      <c r="A67" s="277"/>
      <c r="B67" s="277"/>
      <c r="C67" s="277"/>
      <c r="D67" s="277"/>
      <c r="E67" s="277"/>
      <c r="F67" s="277"/>
      <c r="G67" s="277"/>
      <c r="H67" s="277"/>
      <c r="I67" s="277"/>
      <c r="J67" s="277"/>
      <c r="L67" s="138" t="s">
        <v>266</v>
      </c>
      <c r="M67" s="138"/>
      <c r="N67" s="138"/>
      <c r="O67" s="138"/>
      <c r="P67" s="196">
        <v>20</v>
      </c>
      <c r="Q67" s="138" t="s">
        <v>267</v>
      </c>
      <c r="R67" s="138" t="s">
        <v>268</v>
      </c>
      <c r="S67" s="138"/>
      <c r="T67" s="138"/>
      <c r="U67" s="196">
        <v>30</v>
      </c>
      <c r="V67" s="138" t="s">
        <v>269</v>
      </c>
      <c r="W67" s="288">
        <v>2.7</v>
      </c>
      <c r="X67" s="289" t="s">
        <v>270</v>
      </c>
      <c r="Y67" s="290"/>
      <c r="Z67" s="290"/>
      <c r="AA67" s="291"/>
      <c r="AB67" s="288" t="s">
        <v>407</v>
      </c>
      <c r="AC67" s="288">
        <v>1</v>
      </c>
      <c r="AD67" s="289"/>
      <c r="AE67" s="292">
        <v>4000</v>
      </c>
      <c r="AF67" s="289"/>
      <c r="AG67" s="493">
        <f>AC67*AE67/4</f>
        <v>1000</v>
      </c>
      <c r="AH67" s="163"/>
      <c r="AI67" s="367">
        <f>'F(Bridge)'!B23</f>
        <v>70</v>
      </c>
      <c r="AJ67" s="368">
        <f t="shared" si="8"/>
        <v>0.8267500000000001</v>
      </c>
      <c r="AK67" s="369">
        <f t="shared" si="9"/>
        <v>1.1412</v>
      </c>
      <c r="AL67" s="364">
        <f t="shared" si="10"/>
        <v>1.8443437499999999</v>
      </c>
      <c r="AM67" s="369">
        <f t="shared" si="11"/>
        <v>0.3</v>
      </c>
      <c r="AN67" s="447">
        <f t="shared" si="7"/>
        <v>4.1122937500000001</v>
      </c>
    </row>
    <row r="68" spans="1:40" ht="18" customHeight="1">
      <c r="A68" s="212" t="s">
        <v>403</v>
      </c>
      <c r="B68" s="212"/>
      <c r="C68" s="212"/>
      <c r="D68" s="212"/>
      <c r="E68" s="212"/>
      <c r="F68" s="212"/>
      <c r="G68" s="212"/>
      <c r="H68" s="212"/>
      <c r="I68" s="212"/>
      <c r="J68" s="212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2340" t="s">
        <v>186</v>
      </c>
      <c r="X68" s="2341"/>
      <c r="Y68" s="2341"/>
      <c r="Z68" s="2341"/>
      <c r="AA68" s="2341"/>
      <c r="AB68" s="2341"/>
      <c r="AC68" s="2341"/>
      <c r="AD68" s="2341"/>
      <c r="AE68" s="2342"/>
      <c r="AF68" s="217"/>
      <c r="AG68" s="194">
        <f>SUM(AG61:AG67)</f>
        <v>20500</v>
      </c>
      <c r="AH68" s="163"/>
      <c r="AI68" s="367">
        <f>'F(Bridge)'!B24</f>
        <v>75</v>
      </c>
      <c r="AJ68" s="368">
        <f t="shared" si="8"/>
        <v>0.8267500000000001</v>
      </c>
      <c r="AK68" s="369">
        <f t="shared" si="9"/>
        <v>1.0651200000000001</v>
      </c>
      <c r="AL68" s="364">
        <f t="shared" si="10"/>
        <v>1.84594375</v>
      </c>
      <c r="AM68" s="369">
        <f t="shared" si="11"/>
        <v>0.3</v>
      </c>
      <c r="AN68" s="447">
        <f t="shared" si="7"/>
        <v>4.0378137499999998</v>
      </c>
    </row>
    <row r="69" spans="1:40" ht="18" customHeight="1">
      <c r="A69" s="212" t="s">
        <v>403</v>
      </c>
      <c r="B69" s="212"/>
      <c r="C69" s="212"/>
      <c r="D69" s="212"/>
      <c r="E69" s="212"/>
      <c r="F69" s="212"/>
      <c r="G69" s="212"/>
      <c r="H69" s="212"/>
      <c r="I69" s="212"/>
      <c r="J69" s="212"/>
      <c r="L69" s="277"/>
      <c r="M69" s="117" t="s">
        <v>300</v>
      </c>
      <c r="N69" s="135"/>
      <c r="O69" s="135"/>
      <c r="P69" s="135">
        <v>100</v>
      </c>
      <c r="Q69" s="135" t="s">
        <v>505</v>
      </c>
      <c r="R69" s="277"/>
      <c r="S69" s="277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163"/>
      <c r="AI69" s="367">
        <f>'F(Bridge)'!B25</f>
        <v>80</v>
      </c>
      <c r="AJ69" s="368">
        <f t="shared" si="8"/>
        <v>0.8267500000000001</v>
      </c>
      <c r="AK69" s="369">
        <f t="shared" si="9"/>
        <v>0.99855000000000005</v>
      </c>
      <c r="AL69" s="364">
        <f t="shared" si="10"/>
        <v>1.8473437500000001</v>
      </c>
      <c r="AM69" s="369">
        <f t="shared" si="11"/>
        <v>0.3</v>
      </c>
      <c r="AN69" s="447">
        <f t="shared" si="7"/>
        <v>3.97264375</v>
      </c>
    </row>
    <row r="70" spans="1:40" ht="18" customHeight="1">
      <c r="A70" s="212" t="s">
        <v>403</v>
      </c>
      <c r="B70" s="212"/>
      <c r="C70" s="212"/>
      <c r="D70" s="212"/>
      <c r="E70" s="212"/>
      <c r="F70" s="212"/>
      <c r="G70" s="212"/>
      <c r="H70" s="212"/>
      <c r="I70" s="212"/>
      <c r="J70" s="212"/>
      <c r="L70" s="2343" t="s">
        <v>195</v>
      </c>
      <c r="M70" s="2349" t="s">
        <v>693</v>
      </c>
      <c r="N70" s="2350"/>
      <c r="O70" s="2350"/>
      <c r="P70" s="2351"/>
      <c r="Q70" s="2343" t="s">
        <v>184</v>
      </c>
      <c r="R70" s="2343" t="s">
        <v>183</v>
      </c>
      <c r="S70" s="2337" t="s">
        <v>694</v>
      </c>
      <c r="T70" s="2338"/>
      <c r="U70" s="2337" t="s">
        <v>695</v>
      </c>
      <c r="V70" s="2338"/>
      <c r="W70" s="277"/>
      <c r="X70" s="135" t="s">
        <v>300</v>
      </c>
      <c r="Y70" s="135"/>
      <c r="Z70" s="135"/>
      <c r="AA70" s="135">
        <v>100</v>
      </c>
      <c r="AB70" s="135" t="s">
        <v>505</v>
      </c>
      <c r="AC70" s="352"/>
      <c r="AD70" s="352"/>
      <c r="AE70" s="352"/>
      <c r="AF70" s="352"/>
      <c r="AG70" s="352"/>
      <c r="AH70" s="163"/>
      <c r="AI70" s="367">
        <f>'F(Bridge)'!B26</f>
        <v>85</v>
      </c>
      <c r="AJ70" s="368">
        <f t="shared" si="8"/>
        <v>0.8267500000000001</v>
      </c>
      <c r="AK70" s="369">
        <f t="shared" si="9"/>
        <v>0.93981176470588235</v>
      </c>
      <c r="AL70" s="364">
        <f t="shared" si="10"/>
        <v>1.8485790441176471</v>
      </c>
      <c r="AM70" s="369">
        <f t="shared" si="11"/>
        <v>0.3</v>
      </c>
      <c r="AN70" s="447">
        <f t="shared" si="7"/>
        <v>3.9151408088235291</v>
      </c>
    </row>
    <row r="71" spans="1:40" ht="18" customHeight="1">
      <c r="A71" s="212" t="s">
        <v>403</v>
      </c>
      <c r="B71" s="212"/>
      <c r="C71" s="212"/>
      <c r="D71" s="212"/>
      <c r="E71" s="212"/>
      <c r="F71" s="212"/>
      <c r="G71" s="212"/>
      <c r="H71" s="212"/>
      <c r="I71" s="212"/>
      <c r="J71" s="212"/>
      <c r="L71" s="2344"/>
      <c r="M71" s="2352"/>
      <c r="N71" s="2353"/>
      <c r="O71" s="2353"/>
      <c r="P71" s="2354"/>
      <c r="Q71" s="2344"/>
      <c r="R71" s="2344"/>
      <c r="S71" s="2334" t="s">
        <v>927</v>
      </c>
      <c r="T71" s="2335"/>
      <c r="U71" s="2334" t="s">
        <v>927</v>
      </c>
      <c r="V71" s="2335"/>
      <c r="W71" s="2343" t="s">
        <v>195</v>
      </c>
      <c r="X71" s="2349" t="s">
        <v>693</v>
      </c>
      <c r="Y71" s="2350"/>
      <c r="Z71" s="2350"/>
      <c r="AA71" s="2351"/>
      <c r="AB71" s="2343" t="s">
        <v>184</v>
      </c>
      <c r="AC71" s="2343" t="s">
        <v>183</v>
      </c>
      <c r="AD71" s="2337" t="s">
        <v>694</v>
      </c>
      <c r="AE71" s="2338"/>
      <c r="AF71" s="2337" t="s">
        <v>695</v>
      </c>
      <c r="AG71" s="2338"/>
      <c r="AH71" s="163"/>
      <c r="AI71" s="367">
        <f>'F(Bridge)'!B27</f>
        <v>90</v>
      </c>
      <c r="AJ71" s="368">
        <f t="shared" si="8"/>
        <v>0.8267500000000001</v>
      </c>
      <c r="AK71" s="369">
        <f t="shared" si="9"/>
        <v>0.88759999999999994</v>
      </c>
      <c r="AL71" s="364">
        <f t="shared" si="10"/>
        <v>1.8496770833333334</v>
      </c>
      <c r="AM71" s="369">
        <f t="shared" si="11"/>
        <v>0.3</v>
      </c>
      <c r="AN71" s="447">
        <f t="shared" si="7"/>
        <v>3.8640270833333332</v>
      </c>
    </row>
    <row r="72" spans="1:40" ht="18" customHeight="1">
      <c r="A72" s="212" t="s">
        <v>403</v>
      </c>
      <c r="B72" s="212"/>
      <c r="C72" s="212"/>
      <c r="D72" s="212"/>
      <c r="E72" s="212"/>
      <c r="F72" s="212"/>
      <c r="G72" s="212"/>
      <c r="H72" s="212"/>
      <c r="I72" s="212"/>
      <c r="J72" s="212"/>
      <c r="L72" s="167">
        <v>1</v>
      </c>
      <c r="M72" s="168" t="s">
        <v>405</v>
      </c>
      <c r="N72" s="169"/>
      <c r="O72" s="169"/>
      <c r="P72" s="170"/>
      <c r="Q72" s="171"/>
      <c r="R72" s="171"/>
      <c r="S72" s="172"/>
      <c r="T72" s="170"/>
      <c r="U72" s="172"/>
      <c r="V72" s="170"/>
      <c r="W72" s="2344"/>
      <c r="X72" s="2352"/>
      <c r="Y72" s="2353"/>
      <c r="Z72" s="2353"/>
      <c r="AA72" s="2354"/>
      <c r="AB72" s="2344"/>
      <c r="AC72" s="2344"/>
      <c r="AD72" s="2334" t="s">
        <v>927</v>
      </c>
      <c r="AE72" s="2335"/>
      <c r="AF72" s="2334" t="s">
        <v>927</v>
      </c>
      <c r="AG72" s="2335"/>
      <c r="AH72" s="163"/>
      <c r="AI72" s="367">
        <f>'F(Bridge)'!B28</f>
        <v>95</v>
      </c>
      <c r="AJ72" s="368">
        <f t="shared" si="8"/>
        <v>0.8267500000000001</v>
      </c>
      <c r="AK72" s="369">
        <f t="shared" si="9"/>
        <v>0.84088421052631579</v>
      </c>
      <c r="AL72" s="364">
        <f t="shared" si="10"/>
        <v>1.8506595394736842</v>
      </c>
      <c r="AM72" s="369">
        <f t="shared" si="11"/>
        <v>0.3</v>
      </c>
      <c r="AN72" s="447">
        <f t="shared" si="7"/>
        <v>3.81829375</v>
      </c>
    </row>
    <row r="73" spans="1:40" ht="18" customHeight="1">
      <c r="A73" s="212" t="s">
        <v>403</v>
      </c>
      <c r="B73" s="212"/>
      <c r="C73" s="212"/>
      <c r="D73" s="212"/>
      <c r="E73" s="212"/>
      <c r="F73" s="212"/>
      <c r="G73" s="212"/>
      <c r="H73" s="212"/>
      <c r="I73" s="212"/>
      <c r="J73" s="212"/>
      <c r="L73" s="180">
        <v>1.1000000000000001</v>
      </c>
      <c r="M73" s="181" t="s">
        <v>409</v>
      </c>
      <c r="N73" s="138"/>
      <c r="O73" s="138"/>
      <c r="P73" s="182"/>
      <c r="Q73" s="180" t="s">
        <v>410</v>
      </c>
      <c r="R73" s="180">
        <v>1</v>
      </c>
      <c r="S73" s="181"/>
      <c r="T73" s="183">
        <v>3500</v>
      </c>
      <c r="U73" s="181"/>
      <c r="V73" s="213">
        <f>R73*T73</f>
        <v>3500</v>
      </c>
      <c r="W73" s="187">
        <v>1</v>
      </c>
      <c r="X73" s="188" t="s">
        <v>402</v>
      </c>
      <c r="Y73" s="195"/>
      <c r="Z73" s="195"/>
      <c r="AA73" s="279"/>
      <c r="AB73" s="180"/>
      <c r="AC73" s="180"/>
      <c r="AD73" s="181"/>
      <c r="AE73" s="183"/>
      <c r="AF73" s="181"/>
      <c r="AG73" s="213" t="s">
        <v>403</v>
      </c>
      <c r="AH73" s="163"/>
      <c r="AI73" s="367">
        <f>'F(Bridge)'!B29</f>
        <v>100</v>
      </c>
      <c r="AJ73" s="368">
        <f t="shared" si="8"/>
        <v>0.8267500000000001</v>
      </c>
      <c r="AK73" s="369">
        <f t="shared" si="9"/>
        <v>0.79883999999999999</v>
      </c>
      <c r="AL73" s="364">
        <f t="shared" si="10"/>
        <v>1.85154375</v>
      </c>
      <c r="AM73" s="369">
        <f t="shared" si="11"/>
        <v>0.3</v>
      </c>
      <c r="AN73" s="447">
        <f t="shared" si="7"/>
        <v>3.77713375</v>
      </c>
    </row>
    <row r="74" spans="1:40" ht="18" customHeight="1">
      <c r="A74" s="212" t="s">
        <v>403</v>
      </c>
      <c r="B74" s="212"/>
      <c r="C74" s="212"/>
      <c r="D74" s="212"/>
      <c r="E74" s="212"/>
      <c r="F74" s="212"/>
      <c r="G74" s="212"/>
      <c r="H74" s="212"/>
      <c r="I74" s="212"/>
      <c r="J74" s="212"/>
      <c r="L74" s="180">
        <v>1.2</v>
      </c>
      <c r="M74" s="181" t="s">
        <v>413</v>
      </c>
      <c r="N74" s="138"/>
      <c r="O74" s="138"/>
      <c r="P74" s="182"/>
      <c r="Q74" s="180" t="s">
        <v>414</v>
      </c>
      <c r="R74" s="180">
        <v>1</v>
      </c>
      <c r="S74" s="181"/>
      <c r="T74" s="183">
        <v>3000</v>
      </c>
      <c r="U74" s="181"/>
      <c r="V74" s="213">
        <f>R74*T74</f>
        <v>3000</v>
      </c>
      <c r="W74" s="180">
        <v>1.1000000000000001</v>
      </c>
      <c r="X74" s="181" t="s">
        <v>406</v>
      </c>
      <c r="Y74" s="138"/>
      <c r="Z74" s="138"/>
      <c r="AA74" s="182"/>
      <c r="AB74" s="180" t="s">
        <v>407</v>
      </c>
      <c r="AC74" s="180">
        <v>1</v>
      </c>
      <c r="AD74" s="181"/>
      <c r="AE74" s="183">
        <v>50000</v>
      </c>
      <c r="AF74" s="181"/>
      <c r="AG74" s="213">
        <f>(AC74*AE74)/2</f>
        <v>25000</v>
      </c>
      <c r="AH74" s="163"/>
      <c r="AI74" s="367">
        <f>'F(Bridge)'!B30</f>
        <v>105</v>
      </c>
      <c r="AJ74" s="368">
        <f t="shared" si="8"/>
        <v>0.8267500000000001</v>
      </c>
      <c r="AK74" s="369">
        <f t="shared" si="9"/>
        <v>0.76880000000000004</v>
      </c>
      <c r="AL74" s="364">
        <f t="shared" si="10"/>
        <v>1.8332187499999999</v>
      </c>
      <c r="AM74" s="369">
        <f t="shared" si="11"/>
        <v>0.3</v>
      </c>
      <c r="AN74" s="447">
        <f t="shared" si="7"/>
        <v>3.72876875</v>
      </c>
    </row>
    <row r="75" spans="1:40" ht="18" customHeight="1">
      <c r="A75" s="212" t="s">
        <v>403</v>
      </c>
      <c r="B75" s="212"/>
      <c r="C75" s="212"/>
      <c r="D75" s="212"/>
      <c r="E75" s="212"/>
      <c r="F75" s="212"/>
      <c r="G75" s="212"/>
      <c r="H75" s="212"/>
      <c r="I75" s="212"/>
      <c r="J75" s="212"/>
      <c r="L75" s="180">
        <v>1.3</v>
      </c>
      <c r="M75" s="181" t="s">
        <v>419</v>
      </c>
      <c r="N75" s="138"/>
      <c r="O75" s="138"/>
      <c r="P75" s="182"/>
      <c r="Q75" s="180" t="s">
        <v>890</v>
      </c>
      <c r="R75" s="186">
        <v>1000</v>
      </c>
      <c r="S75" s="181"/>
      <c r="T75" s="183">
        <v>2</v>
      </c>
      <c r="U75" s="181"/>
      <c r="V75" s="213">
        <f>R75*T75</f>
        <v>2000</v>
      </c>
      <c r="W75" s="180">
        <v>1.2</v>
      </c>
      <c r="X75" s="181" t="s">
        <v>411</v>
      </c>
      <c r="Y75" s="138"/>
      <c r="Z75" s="138"/>
      <c r="AA75" s="182"/>
      <c r="AB75" s="180" t="s">
        <v>407</v>
      </c>
      <c r="AC75" s="180">
        <v>1</v>
      </c>
      <c r="AD75" s="181"/>
      <c r="AE75" s="183">
        <v>20000</v>
      </c>
      <c r="AF75" s="181"/>
      <c r="AG75" s="213">
        <f>AC75*AE75</f>
        <v>20000</v>
      </c>
      <c r="AH75" s="163"/>
      <c r="AI75" s="367">
        <f>'F(Bridge)'!B31</f>
        <v>110</v>
      </c>
      <c r="AJ75" s="368">
        <f t="shared" si="8"/>
        <v>0.8267500000000001</v>
      </c>
      <c r="AK75" s="369">
        <f t="shared" si="9"/>
        <v>0.73385454545454543</v>
      </c>
      <c r="AL75" s="364">
        <f t="shared" si="10"/>
        <v>1.7559460227272727</v>
      </c>
      <c r="AM75" s="369">
        <f t="shared" si="11"/>
        <v>0.3</v>
      </c>
      <c r="AN75" s="447">
        <f t="shared" si="7"/>
        <v>3.6165505681818182</v>
      </c>
    </row>
    <row r="76" spans="1:40" ht="18" customHeight="1">
      <c r="A76" s="212" t="s">
        <v>403</v>
      </c>
      <c r="B76" s="212"/>
      <c r="C76" s="212"/>
      <c r="D76" s="212"/>
      <c r="E76" s="212"/>
      <c r="F76" s="212"/>
      <c r="G76" s="212"/>
      <c r="H76" s="212"/>
      <c r="I76" s="212"/>
      <c r="J76" s="212"/>
      <c r="L76" s="180">
        <v>1.4</v>
      </c>
      <c r="M76" s="181" t="s">
        <v>421</v>
      </c>
      <c r="N76" s="138"/>
      <c r="O76" s="138"/>
      <c r="P76" s="182"/>
      <c r="Q76" s="180" t="s">
        <v>422</v>
      </c>
      <c r="R76" s="186">
        <v>1</v>
      </c>
      <c r="S76" s="181"/>
      <c r="T76" s="183">
        <v>3000</v>
      </c>
      <c r="U76" s="181"/>
      <c r="V76" s="213">
        <f>R76*T76</f>
        <v>3000</v>
      </c>
      <c r="W76" s="180">
        <v>1.3</v>
      </c>
      <c r="X76" s="181" t="s">
        <v>415</v>
      </c>
      <c r="Y76" s="138"/>
      <c r="Z76" s="138"/>
      <c r="AA76" s="182"/>
      <c r="AB76" s="180" t="s">
        <v>407</v>
      </c>
      <c r="AC76" s="501">
        <v>2</v>
      </c>
      <c r="AD76" s="181"/>
      <c r="AE76" s="491">
        <v>10000</v>
      </c>
      <c r="AF76" s="181"/>
      <c r="AG76" s="493">
        <f>AC76*AE76</f>
        <v>20000</v>
      </c>
      <c r="AH76" s="163"/>
      <c r="AI76" s="367">
        <f>'F(Bridge)'!B32</f>
        <v>115</v>
      </c>
      <c r="AJ76" s="368">
        <f t="shared" si="8"/>
        <v>0.8267500000000001</v>
      </c>
      <c r="AK76" s="369">
        <f t="shared" si="9"/>
        <v>0.70194782608695649</v>
      </c>
      <c r="AL76" s="364">
        <f t="shared" si="10"/>
        <v>1.6853926630434781</v>
      </c>
      <c r="AM76" s="369">
        <f t="shared" si="11"/>
        <v>0.3</v>
      </c>
      <c r="AN76" s="447">
        <f t="shared" si="7"/>
        <v>3.5140904891304343</v>
      </c>
    </row>
    <row r="77" spans="1:40" ht="18" customHeight="1">
      <c r="A77" s="212" t="s">
        <v>403</v>
      </c>
      <c r="B77" s="212"/>
      <c r="C77" s="212"/>
      <c r="D77" s="212"/>
      <c r="E77" s="212"/>
      <c r="F77" s="212"/>
      <c r="G77" s="212"/>
      <c r="H77" s="212"/>
      <c r="I77" s="212"/>
      <c r="J77" s="212"/>
      <c r="L77" s="187">
        <v>2</v>
      </c>
      <c r="M77" s="188" t="s">
        <v>424</v>
      </c>
      <c r="N77" s="138"/>
      <c r="O77" s="138"/>
      <c r="P77" s="182"/>
      <c r="Q77" s="180"/>
      <c r="R77" s="180"/>
      <c r="S77" s="181"/>
      <c r="T77" s="183"/>
      <c r="U77" s="181"/>
      <c r="V77" s="213">
        <v>0</v>
      </c>
      <c r="W77" s="180">
        <v>1.4</v>
      </c>
      <c r="X77" s="181" t="s">
        <v>420</v>
      </c>
      <c r="Y77" s="138"/>
      <c r="Z77" s="138"/>
      <c r="AA77" s="182"/>
      <c r="AB77" s="180" t="s">
        <v>407</v>
      </c>
      <c r="AC77" s="501">
        <v>2</v>
      </c>
      <c r="AD77" s="181"/>
      <c r="AE77" s="491">
        <v>7000</v>
      </c>
      <c r="AF77" s="181"/>
      <c r="AG77" s="493">
        <f>AC77*AE77</f>
        <v>14000</v>
      </c>
      <c r="AH77" s="163"/>
      <c r="AI77" s="367">
        <f>'F(Bridge)'!B33</f>
        <v>120</v>
      </c>
      <c r="AJ77" s="368">
        <f t="shared" si="8"/>
        <v>0.8267500000000001</v>
      </c>
      <c r="AK77" s="369">
        <f t="shared" si="9"/>
        <v>0.67269999999999996</v>
      </c>
      <c r="AL77" s="364">
        <f t="shared" si="10"/>
        <v>1.62071875</v>
      </c>
      <c r="AM77" s="369">
        <f t="shared" si="11"/>
        <v>0.3</v>
      </c>
      <c r="AN77" s="447">
        <f t="shared" si="7"/>
        <v>3.4201687499999998</v>
      </c>
    </row>
    <row r="78" spans="1:40" ht="18" customHeight="1">
      <c r="A78" s="212" t="s">
        <v>403</v>
      </c>
      <c r="B78" s="212"/>
      <c r="C78" s="212"/>
      <c r="D78" s="212"/>
      <c r="E78" s="212"/>
      <c r="F78" s="212"/>
      <c r="G78" s="212"/>
      <c r="H78" s="212"/>
      <c r="I78" s="212"/>
      <c r="J78" s="212"/>
      <c r="L78" s="180">
        <v>2.1</v>
      </c>
      <c r="M78" s="181" t="s">
        <v>426</v>
      </c>
      <c r="N78" s="138"/>
      <c r="O78" s="138"/>
      <c r="P78" s="182"/>
      <c r="Q78" s="180" t="s">
        <v>427</v>
      </c>
      <c r="R78" s="180">
        <v>1</v>
      </c>
      <c r="S78" s="181"/>
      <c r="T78" s="183">
        <v>21500</v>
      </c>
      <c r="U78" s="181"/>
      <c r="V78" s="213">
        <f>R78*T78</f>
        <v>21500</v>
      </c>
      <c r="W78" s="180">
        <v>1.5</v>
      </c>
      <c r="X78" s="181" t="s">
        <v>423</v>
      </c>
      <c r="Y78" s="138"/>
      <c r="Z78" s="138"/>
      <c r="AA78" s="182"/>
      <c r="AB78" s="180" t="s">
        <v>407</v>
      </c>
      <c r="AC78" s="180">
        <v>1</v>
      </c>
      <c r="AD78" s="181"/>
      <c r="AE78" s="183">
        <v>6000</v>
      </c>
      <c r="AF78" s="181"/>
      <c r="AG78" s="213">
        <f>AC78*AE78</f>
        <v>6000</v>
      </c>
      <c r="AH78" s="163"/>
      <c r="AI78" s="367">
        <f>'F(Bridge)'!B34</f>
        <v>125</v>
      </c>
      <c r="AJ78" s="368">
        <f t="shared" si="8"/>
        <v>0.8267500000000001</v>
      </c>
      <c r="AK78" s="369">
        <f t="shared" si="9"/>
        <v>0.64579200000000003</v>
      </c>
      <c r="AL78" s="364">
        <f t="shared" si="10"/>
        <v>1.5612187499999999</v>
      </c>
      <c r="AM78" s="369">
        <f t="shared" si="11"/>
        <v>0.3</v>
      </c>
      <c r="AN78" s="447">
        <f t="shared" si="7"/>
        <v>3.3337607499999997</v>
      </c>
    </row>
    <row r="79" spans="1:40" ht="18" customHeight="1">
      <c r="A79" s="212" t="s">
        <v>403</v>
      </c>
      <c r="B79" s="212"/>
      <c r="C79" s="212"/>
      <c r="D79" s="212"/>
      <c r="E79" s="212"/>
      <c r="F79" s="212"/>
      <c r="G79" s="212"/>
      <c r="H79" s="212"/>
      <c r="I79" s="212"/>
      <c r="J79" s="212"/>
      <c r="L79" s="180">
        <v>2.2000000000000002</v>
      </c>
      <c r="M79" s="181" t="s">
        <v>947</v>
      </c>
      <c r="N79" s="138"/>
      <c r="O79" s="138"/>
      <c r="P79" s="182"/>
      <c r="Q79" s="180" t="s">
        <v>427</v>
      </c>
      <c r="R79" s="180">
        <v>1</v>
      </c>
      <c r="S79" s="181"/>
      <c r="T79" s="183">
        <v>3600</v>
      </c>
      <c r="U79" s="181"/>
      <c r="V79" s="213">
        <f>R79*T79</f>
        <v>3600</v>
      </c>
      <c r="W79" s="180">
        <v>1.6</v>
      </c>
      <c r="X79" s="181" t="s">
        <v>425</v>
      </c>
      <c r="Y79" s="138"/>
      <c r="Z79" s="138"/>
      <c r="AA79" s="182"/>
      <c r="AB79" s="180" t="s">
        <v>407</v>
      </c>
      <c r="AC79" s="180">
        <v>0</v>
      </c>
      <c r="AD79" s="181"/>
      <c r="AE79" s="183">
        <v>3000</v>
      </c>
      <c r="AF79" s="181"/>
      <c r="AG79" s="213">
        <f>AC79*AE79</f>
        <v>0</v>
      </c>
      <c r="AH79" s="163"/>
      <c r="AI79" s="367">
        <f>'F(Bridge)'!B35</f>
        <v>130</v>
      </c>
      <c r="AJ79" s="368">
        <f t="shared" si="8"/>
        <v>0.8267500000000001</v>
      </c>
      <c r="AK79" s="369">
        <f t="shared" si="9"/>
        <v>0.62095384615384619</v>
      </c>
      <c r="AL79" s="364">
        <f t="shared" si="10"/>
        <v>1.506295673076923</v>
      </c>
      <c r="AM79" s="369">
        <f t="shared" si="11"/>
        <v>0.3</v>
      </c>
      <c r="AN79" s="447">
        <f t="shared" si="7"/>
        <v>3.2539995192307689</v>
      </c>
    </row>
    <row r="80" spans="1:40" ht="18" customHeight="1">
      <c r="A80" s="212" t="s">
        <v>403</v>
      </c>
      <c r="B80" s="212"/>
      <c r="C80" s="212"/>
      <c r="D80" s="212"/>
      <c r="E80" s="212"/>
      <c r="F80" s="212"/>
      <c r="G80" s="212"/>
      <c r="H80" s="212"/>
      <c r="I80" s="212"/>
      <c r="J80" s="212"/>
      <c r="L80" s="180">
        <v>2.2999999999999998</v>
      </c>
      <c r="M80" s="181" t="s">
        <v>949</v>
      </c>
      <c r="N80" s="138"/>
      <c r="O80" s="138"/>
      <c r="P80" s="182"/>
      <c r="Q80" s="180" t="s">
        <v>427</v>
      </c>
      <c r="R80" s="180">
        <v>1</v>
      </c>
      <c r="S80" s="181"/>
      <c r="T80" s="183">
        <v>1000</v>
      </c>
      <c r="U80" s="181"/>
      <c r="V80" s="213">
        <f>R80*T80</f>
        <v>1000</v>
      </c>
      <c r="W80" s="2340" t="s">
        <v>186</v>
      </c>
      <c r="X80" s="2341"/>
      <c r="Y80" s="2341"/>
      <c r="Z80" s="2341"/>
      <c r="AA80" s="2341"/>
      <c r="AB80" s="2341"/>
      <c r="AC80" s="2341"/>
      <c r="AD80" s="2341"/>
      <c r="AE80" s="2342"/>
      <c r="AF80" s="217"/>
      <c r="AG80" s="194">
        <f>SUM(AG74:AG79)</f>
        <v>85000</v>
      </c>
      <c r="AH80" s="163"/>
      <c r="AI80" s="367">
        <f>'F(Bridge)'!B36</f>
        <v>135</v>
      </c>
      <c r="AJ80" s="368">
        <f t="shared" si="8"/>
        <v>0.8267500000000001</v>
      </c>
      <c r="AK80" s="369">
        <f t="shared" si="9"/>
        <v>0.59795555555555557</v>
      </c>
      <c r="AL80" s="364">
        <f t="shared" si="10"/>
        <v>1.4554409722222221</v>
      </c>
      <c r="AM80" s="369">
        <f t="shared" si="11"/>
        <v>0.3</v>
      </c>
      <c r="AN80" s="447">
        <f t="shared" si="7"/>
        <v>3.1801465277777776</v>
      </c>
    </row>
    <row r="81" spans="1:40" ht="18" customHeight="1">
      <c r="A81" s="212" t="s">
        <v>403</v>
      </c>
      <c r="B81" s="212"/>
      <c r="C81" s="212"/>
      <c r="D81" s="212"/>
      <c r="E81" s="212"/>
      <c r="F81" s="212"/>
      <c r="G81" s="212"/>
      <c r="H81" s="212"/>
      <c r="I81" s="212"/>
      <c r="J81" s="212"/>
      <c r="L81" s="180">
        <v>2.4</v>
      </c>
      <c r="M81" s="181" t="s">
        <v>226</v>
      </c>
      <c r="N81" s="138"/>
      <c r="O81" s="138"/>
      <c r="P81" s="182"/>
      <c r="Q81" s="180" t="s">
        <v>427</v>
      </c>
      <c r="R81" s="180">
        <v>1</v>
      </c>
      <c r="S81" s="181"/>
      <c r="T81" s="183">
        <v>840</v>
      </c>
      <c r="U81" s="181"/>
      <c r="V81" s="213">
        <f>R81*T81</f>
        <v>840</v>
      </c>
      <c r="W81" s="187">
        <v>2</v>
      </c>
      <c r="X81" s="188" t="s">
        <v>948</v>
      </c>
      <c r="Y81" s="195"/>
      <c r="Z81" s="195"/>
      <c r="AA81" s="279"/>
      <c r="AB81" s="180"/>
      <c r="AC81" s="180"/>
      <c r="AD81" s="181"/>
      <c r="AE81" s="183"/>
      <c r="AF81" s="181"/>
      <c r="AG81" s="182"/>
      <c r="AH81" s="163"/>
      <c r="AI81" s="367">
        <f>'F(Bridge)'!B37</f>
        <v>140</v>
      </c>
      <c r="AJ81" s="368">
        <f t="shared" si="8"/>
        <v>0.8267500000000001</v>
      </c>
      <c r="AK81" s="369">
        <f t="shared" si="9"/>
        <v>0.5766</v>
      </c>
      <c r="AL81" s="364">
        <f t="shared" si="10"/>
        <v>1.4082187499999999</v>
      </c>
      <c r="AM81" s="369">
        <f t="shared" si="11"/>
        <v>0.3</v>
      </c>
      <c r="AN81" s="447">
        <f t="shared" si="7"/>
        <v>3.11156875</v>
      </c>
    </row>
    <row r="82" spans="1:40" ht="18" customHeight="1">
      <c r="A82" s="212" t="s">
        <v>403</v>
      </c>
      <c r="B82" s="212"/>
      <c r="C82" s="212"/>
      <c r="D82" s="212"/>
      <c r="E82" s="212"/>
      <c r="F82" s="212"/>
      <c r="G82" s="212"/>
      <c r="H82" s="212"/>
      <c r="I82" s="212"/>
      <c r="J82" s="212"/>
      <c r="L82" s="2340" t="s">
        <v>186</v>
      </c>
      <c r="M82" s="2341"/>
      <c r="N82" s="2341"/>
      <c r="O82" s="2341"/>
      <c r="P82" s="2341"/>
      <c r="Q82" s="2341"/>
      <c r="R82" s="2341"/>
      <c r="S82" s="2341"/>
      <c r="T82" s="2342"/>
      <c r="U82" s="217"/>
      <c r="V82" s="194">
        <f>SUM(V73:V81)</f>
        <v>38440</v>
      </c>
      <c r="W82" s="180">
        <v>2.1</v>
      </c>
      <c r="X82" s="181" t="s">
        <v>946</v>
      </c>
      <c r="Y82" s="138"/>
      <c r="Z82" s="138"/>
      <c r="AA82" s="182"/>
      <c r="AB82" s="180"/>
      <c r="AC82" s="180">
        <v>1</v>
      </c>
      <c r="AD82" s="181"/>
      <c r="AE82" s="183">
        <v>3000</v>
      </c>
      <c r="AF82" s="181"/>
      <c r="AG82" s="493">
        <f>AC82*AE82/4</f>
        <v>750</v>
      </c>
      <c r="AH82" s="163"/>
      <c r="AI82" s="367">
        <f>'F(Bridge)'!B38</f>
        <v>145</v>
      </c>
      <c r="AJ82" s="368">
        <f t="shared" si="8"/>
        <v>0.8267500000000001</v>
      </c>
      <c r="AK82" s="369">
        <f t="shared" si="9"/>
        <v>0.55671724137931033</v>
      </c>
      <c r="AL82" s="364">
        <f t="shared" si="10"/>
        <v>1.3642532327586205</v>
      </c>
      <c r="AM82" s="369">
        <f t="shared" si="11"/>
        <v>0.3</v>
      </c>
      <c r="AN82" s="447">
        <f t="shared" si="7"/>
        <v>3.0477204741379307</v>
      </c>
    </row>
    <row r="83" spans="1:40" ht="18" customHeight="1">
      <c r="A83" s="212" t="s">
        <v>403</v>
      </c>
      <c r="B83" s="212"/>
      <c r="C83" s="212"/>
      <c r="D83" s="212"/>
      <c r="E83" s="212"/>
      <c r="F83" s="212"/>
      <c r="G83" s="212"/>
      <c r="H83" s="212"/>
      <c r="I83" s="212"/>
      <c r="J83" s="212"/>
      <c r="L83" s="195" t="s">
        <v>254</v>
      </c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80">
        <v>2.2000000000000002</v>
      </c>
      <c r="X83" s="181" t="s">
        <v>252</v>
      </c>
      <c r="Y83" s="138"/>
      <c r="Z83" s="138"/>
      <c r="AA83" s="182"/>
      <c r="AB83" s="180"/>
      <c r="AC83" s="180">
        <v>1</v>
      </c>
      <c r="AD83" s="181"/>
      <c r="AE83" s="183">
        <v>3000</v>
      </c>
      <c r="AF83" s="181"/>
      <c r="AG83" s="493">
        <f>AC83*AE83/4</f>
        <v>750</v>
      </c>
      <c r="AH83" s="163"/>
      <c r="AI83" s="367">
        <f>'F(Bridge)'!B39</f>
        <v>150</v>
      </c>
      <c r="AJ83" s="368">
        <f t="shared" si="8"/>
        <v>0.8267500000000001</v>
      </c>
      <c r="AK83" s="369">
        <f t="shared" si="9"/>
        <v>0.53815999999999997</v>
      </c>
      <c r="AL83" s="364">
        <f t="shared" si="10"/>
        <v>1.3232187499999999</v>
      </c>
      <c r="AM83" s="369">
        <f t="shared" si="11"/>
        <v>0.3</v>
      </c>
      <c r="AN83" s="447">
        <f t="shared" si="7"/>
        <v>2.9881287499999996</v>
      </c>
    </row>
    <row r="84" spans="1:40" ht="18" customHeight="1">
      <c r="A84" s="212" t="s">
        <v>403</v>
      </c>
      <c r="B84" s="212"/>
      <c r="C84" s="212"/>
      <c r="D84" s="212"/>
      <c r="E84" s="212"/>
      <c r="F84" s="212"/>
      <c r="G84" s="212"/>
      <c r="H84" s="212"/>
      <c r="I84" s="212"/>
      <c r="J84" s="212"/>
      <c r="L84" s="138" t="s">
        <v>256</v>
      </c>
      <c r="M84" s="138"/>
      <c r="N84" s="138"/>
      <c r="O84" s="138"/>
      <c r="P84" s="196">
        <v>550</v>
      </c>
      <c r="Q84" s="138" t="s">
        <v>257</v>
      </c>
      <c r="R84" s="138" t="s">
        <v>881</v>
      </c>
      <c r="S84" s="138"/>
      <c r="T84" s="138"/>
      <c r="U84" s="196">
        <v>6</v>
      </c>
      <c r="V84" s="138" t="s">
        <v>259</v>
      </c>
      <c r="W84" s="180">
        <v>2.2999999999999998</v>
      </c>
      <c r="X84" s="181" t="s">
        <v>253</v>
      </c>
      <c r="Y84" s="138"/>
      <c r="Z84" s="138"/>
      <c r="AA84" s="182"/>
      <c r="AB84" s="180" t="s">
        <v>407</v>
      </c>
      <c r="AC84" s="180">
        <v>1</v>
      </c>
      <c r="AD84" s="181"/>
      <c r="AE84" s="183">
        <v>84000</v>
      </c>
      <c r="AF84" s="181"/>
      <c r="AG84" s="213">
        <f>(AC84*AE84)/4</f>
        <v>21000</v>
      </c>
      <c r="AH84" s="163"/>
      <c r="AI84" s="367">
        <f>'F(Bridge)'!B40</f>
        <v>155</v>
      </c>
      <c r="AJ84" s="368">
        <f t="shared" si="8"/>
        <v>0.8267500000000001</v>
      </c>
      <c r="AK84" s="369">
        <f t="shared" si="9"/>
        <v>0.52080000000000004</v>
      </c>
      <c r="AL84" s="364">
        <f t="shared" si="10"/>
        <v>1.2848316532258064</v>
      </c>
      <c r="AM84" s="369">
        <f t="shared" si="11"/>
        <v>0.3</v>
      </c>
      <c r="AN84" s="447">
        <f t="shared" si="7"/>
        <v>2.9323816532258062</v>
      </c>
    </row>
    <row r="85" spans="1:40" ht="18" customHeight="1">
      <c r="A85" s="212" t="s">
        <v>403</v>
      </c>
      <c r="B85" s="212"/>
      <c r="C85" s="212"/>
      <c r="D85" s="212"/>
      <c r="E85" s="212"/>
      <c r="F85" s="212"/>
      <c r="G85" s="212"/>
      <c r="H85" s="212"/>
      <c r="I85" s="212"/>
      <c r="J85" s="212"/>
      <c r="L85" s="138" t="s">
        <v>261</v>
      </c>
      <c r="M85" s="138"/>
      <c r="N85" s="138"/>
      <c r="O85" s="138"/>
      <c r="P85" s="196">
        <v>8</v>
      </c>
      <c r="Q85" s="138" t="s">
        <v>262</v>
      </c>
      <c r="R85" s="138" t="s">
        <v>263</v>
      </c>
      <c r="S85" s="138"/>
      <c r="T85" s="138"/>
      <c r="U85" s="196">
        <v>4</v>
      </c>
      <c r="V85" s="138" t="s">
        <v>264</v>
      </c>
      <c r="W85" s="180">
        <v>2.4</v>
      </c>
      <c r="X85" s="181" t="s">
        <v>255</v>
      </c>
      <c r="Y85" s="138"/>
      <c r="Z85" s="138"/>
      <c r="AA85" s="182"/>
      <c r="AB85" s="180" t="s">
        <v>407</v>
      </c>
      <c r="AC85" s="180">
        <v>1</v>
      </c>
      <c r="AD85" s="181"/>
      <c r="AE85" s="183">
        <v>8000</v>
      </c>
      <c r="AF85" s="181"/>
      <c r="AG85" s="493">
        <f>AC85*AE85/4</f>
        <v>2000</v>
      </c>
      <c r="AH85" s="163"/>
      <c r="AI85" s="367">
        <f>'F(Bridge)'!B41</f>
        <v>160</v>
      </c>
      <c r="AJ85" s="368">
        <f t="shared" si="8"/>
        <v>0.8267500000000001</v>
      </c>
      <c r="AK85" s="369">
        <f t="shared" si="9"/>
        <v>0.504525</v>
      </c>
      <c r="AL85" s="364">
        <f t="shared" si="10"/>
        <v>1.24884375</v>
      </c>
      <c r="AM85" s="369">
        <f t="shared" si="11"/>
        <v>0.3</v>
      </c>
      <c r="AN85" s="447">
        <f t="shared" si="7"/>
        <v>2.8801187500000003</v>
      </c>
    </row>
    <row r="86" spans="1:40" ht="18" customHeight="1">
      <c r="A86" s="212" t="s">
        <v>403</v>
      </c>
      <c r="B86" s="212"/>
      <c r="C86" s="212"/>
      <c r="D86" s="212"/>
      <c r="E86" s="212"/>
      <c r="F86" s="212"/>
      <c r="G86" s="212"/>
      <c r="H86" s="212"/>
      <c r="I86" s="212"/>
      <c r="J86" s="212"/>
      <c r="L86" s="138" t="s">
        <v>266</v>
      </c>
      <c r="M86" s="138"/>
      <c r="N86" s="138"/>
      <c r="O86" s="138"/>
      <c r="P86" s="196">
        <v>20</v>
      </c>
      <c r="Q86" s="138" t="s">
        <v>267</v>
      </c>
      <c r="R86" s="138" t="s">
        <v>268</v>
      </c>
      <c r="S86" s="138"/>
      <c r="T86" s="138"/>
      <c r="U86" s="196">
        <v>30</v>
      </c>
      <c r="V86" s="138" t="s">
        <v>269</v>
      </c>
      <c r="W86" s="180">
        <v>2.5</v>
      </c>
      <c r="X86" s="181" t="s">
        <v>260</v>
      </c>
      <c r="Y86" s="138"/>
      <c r="Z86" s="138"/>
      <c r="AA86" s="182"/>
      <c r="AB86" s="180" t="s">
        <v>407</v>
      </c>
      <c r="AC86" s="180">
        <v>1</v>
      </c>
      <c r="AD86" s="181"/>
      <c r="AE86" s="183">
        <v>8000</v>
      </c>
      <c r="AF86" s="181"/>
      <c r="AG86" s="493">
        <f>AC86*AE86/4</f>
        <v>2000</v>
      </c>
      <c r="AH86" s="163"/>
      <c r="AI86" s="367">
        <f>'F(Bridge)'!B42</f>
        <v>165</v>
      </c>
      <c r="AJ86" s="368">
        <f t="shared" si="8"/>
        <v>0.8267500000000001</v>
      </c>
      <c r="AK86" s="369">
        <f t="shared" si="9"/>
        <v>0.48923636363636364</v>
      </c>
      <c r="AL86" s="364">
        <f t="shared" si="10"/>
        <v>1.2150369318181817</v>
      </c>
      <c r="AM86" s="369">
        <f t="shared" si="11"/>
        <v>0.3</v>
      </c>
      <c r="AN86" s="447">
        <f t="shared" si="7"/>
        <v>2.8310232954545453</v>
      </c>
    </row>
    <row r="87" spans="1:40" ht="18" customHeight="1">
      <c r="A87" s="212" t="s">
        <v>403</v>
      </c>
      <c r="B87" s="212"/>
      <c r="C87" s="212"/>
      <c r="D87" s="212"/>
      <c r="E87" s="212"/>
      <c r="F87" s="212"/>
      <c r="G87" s="212"/>
      <c r="H87" s="212"/>
      <c r="I87" s="212"/>
      <c r="J87" s="212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80">
        <v>2.6</v>
      </c>
      <c r="X87" s="181" t="s">
        <v>265</v>
      </c>
      <c r="Y87" s="138"/>
      <c r="Z87" s="138"/>
      <c r="AA87" s="182"/>
      <c r="AB87" s="180" t="s">
        <v>407</v>
      </c>
      <c r="AC87" s="180">
        <v>1</v>
      </c>
      <c r="AD87" s="181"/>
      <c r="AE87" s="183">
        <v>6000</v>
      </c>
      <c r="AF87" s="181"/>
      <c r="AG87" s="493">
        <f>AC87*AE87/4</f>
        <v>1500</v>
      </c>
      <c r="AH87" s="163"/>
      <c r="AI87" s="367">
        <f>'F(Bridge)'!B43</f>
        <v>170</v>
      </c>
      <c r="AJ87" s="368">
        <f t="shared" si="8"/>
        <v>0.8267500000000001</v>
      </c>
      <c r="AK87" s="369">
        <f t="shared" si="9"/>
        <v>0.4748470588235294</v>
      </c>
      <c r="AL87" s="364">
        <f t="shared" si="10"/>
        <v>1.18321875</v>
      </c>
      <c r="AM87" s="369">
        <f t="shared" si="11"/>
        <v>0.3</v>
      </c>
      <c r="AN87" s="447">
        <f t="shared" si="7"/>
        <v>2.7848158088235291</v>
      </c>
    </row>
    <row r="88" spans="1:40" ht="18" customHeight="1">
      <c r="A88" s="212" t="s">
        <v>403</v>
      </c>
      <c r="B88" s="212"/>
      <c r="C88" s="212"/>
      <c r="D88" s="212"/>
      <c r="E88" s="212"/>
      <c r="F88" s="212"/>
      <c r="G88" s="212"/>
      <c r="H88" s="212"/>
      <c r="I88" s="212"/>
      <c r="J88" s="212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288">
        <v>2.7</v>
      </c>
      <c r="X88" s="289" t="s">
        <v>270</v>
      </c>
      <c r="Y88" s="290"/>
      <c r="Z88" s="290"/>
      <c r="AA88" s="291"/>
      <c r="AB88" s="288" t="s">
        <v>407</v>
      </c>
      <c r="AC88" s="288">
        <v>1</v>
      </c>
      <c r="AD88" s="289"/>
      <c r="AE88" s="292">
        <v>4000</v>
      </c>
      <c r="AF88" s="289"/>
      <c r="AG88" s="493">
        <f>AC88*AE88/4</f>
        <v>1000</v>
      </c>
      <c r="AH88" s="163"/>
      <c r="AI88" s="367">
        <f>'F(Bridge)'!B44</f>
        <v>175</v>
      </c>
      <c r="AJ88" s="368">
        <f t="shared" si="8"/>
        <v>0.8267500000000001</v>
      </c>
      <c r="AK88" s="369">
        <f t="shared" si="9"/>
        <v>0.46128000000000002</v>
      </c>
      <c r="AL88" s="364">
        <f t="shared" si="10"/>
        <v>1.15321875</v>
      </c>
      <c r="AM88" s="369">
        <f t="shared" si="11"/>
        <v>0.3</v>
      </c>
      <c r="AN88" s="447">
        <f t="shared" si="7"/>
        <v>2.7412487499999996</v>
      </c>
    </row>
    <row r="89" spans="1:40" ht="18" customHeight="1">
      <c r="A89" s="212" t="s">
        <v>403</v>
      </c>
      <c r="B89" s="212"/>
      <c r="C89" s="212"/>
      <c r="D89" s="212"/>
      <c r="E89" s="212"/>
      <c r="F89" s="212"/>
      <c r="G89" s="212"/>
      <c r="H89" s="212"/>
      <c r="I89" s="212"/>
      <c r="J89" s="212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2340" t="s">
        <v>186</v>
      </c>
      <c r="X89" s="2341"/>
      <c r="Y89" s="2341"/>
      <c r="Z89" s="2341"/>
      <c r="AA89" s="2341"/>
      <c r="AB89" s="2341"/>
      <c r="AC89" s="2341"/>
      <c r="AD89" s="2341"/>
      <c r="AE89" s="2342"/>
      <c r="AF89" s="270"/>
      <c r="AG89" s="194">
        <f>SUM(AG82:AG88)</f>
        <v>29000</v>
      </c>
      <c r="AH89" s="163"/>
      <c r="AI89" s="367">
        <f>'F(Bridge)'!B45</f>
        <v>180</v>
      </c>
      <c r="AJ89" s="368">
        <f t="shared" si="8"/>
        <v>0.8267500000000001</v>
      </c>
      <c r="AK89" s="369">
        <f t="shared" si="9"/>
        <v>0.44846666666666668</v>
      </c>
      <c r="AL89" s="364">
        <f t="shared" si="10"/>
        <v>1.1248854166666666</v>
      </c>
      <c r="AM89" s="369">
        <f t="shared" si="11"/>
        <v>0.3</v>
      </c>
      <c r="AN89" s="447">
        <f t="shared" si="7"/>
        <v>2.7001020833333333</v>
      </c>
    </row>
    <row r="90" spans="1:40" ht="18" customHeight="1">
      <c r="A90" s="212" t="s">
        <v>403</v>
      </c>
      <c r="B90" s="212"/>
      <c r="C90" s="212"/>
      <c r="D90" s="212"/>
      <c r="E90" s="212"/>
      <c r="F90" s="212"/>
      <c r="G90" s="212"/>
      <c r="H90" s="212"/>
      <c r="I90" s="212"/>
      <c r="J90" s="212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277"/>
      <c r="X90" s="277"/>
      <c r="Y90" s="277"/>
      <c r="Z90" s="277"/>
      <c r="AA90" s="277"/>
      <c r="AB90" s="277"/>
      <c r="AC90" s="277"/>
      <c r="AD90" s="277"/>
      <c r="AE90" s="277"/>
      <c r="AF90" s="277"/>
      <c r="AG90" s="277"/>
      <c r="AH90" s="163"/>
      <c r="AI90" s="367">
        <f>'F(Bridge)'!B46</f>
        <v>185</v>
      </c>
      <c r="AJ90" s="368">
        <f t="shared" si="8"/>
        <v>0.8267500000000001</v>
      </c>
      <c r="AK90" s="369">
        <f t="shared" si="9"/>
        <v>0.43634594594594595</v>
      </c>
      <c r="AL90" s="364">
        <f t="shared" si="10"/>
        <v>1.0980836148648649</v>
      </c>
      <c r="AM90" s="369">
        <f t="shared" si="11"/>
        <v>0.3</v>
      </c>
      <c r="AN90" s="447">
        <f t="shared" si="7"/>
        <v>2.6611795608108109</v>
      </c>
    </row>
    <row r="91" spans="1:40" ht="18" customHeight="1">
      <c r="A91" s="212" t="s">
        <v>403</v>
      </c>
      <c r="B91" s="212"/>
      <c r="C91" s="212"/>
      <c r="D91" s="212"/>
      <c r="E91" s="212"/>
      <c r="F91" s="212"/>
      <c r="G91" s="212"/>
      <c r="H91" s="212"/>
      <c r="I91" s="212"/>
      <c r="J91" s="212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7"/>
      <c r="AH91" s="163"/>
      <c r="AI91" s="367">
        <f>'F(Bridge)'!B47</f>
        <v>190</v>
      </c>
      <c r="AJ91" s="368">
        <f t="shared" si="8"/>
        <v>0.8267500000000001</v>
      </c>
      <c r="AK91" s="369">
        <f t="shared" si="9"/>
        <v>0.42486315789473683</v>
      </c>
      <c r="AL91" s="364">
        <f t="shared" si="10"/>
        <v>1.0726924342105264</v>
      </c>
      <c r="AM91" s="369">
        <f t="shared" si="11"/>
        <v>0.3</v>
      </c>
      <c r="AN91" s="447">
        <f t="shared" si="7"/>
        <v>2.6243055921052632</v>
      </c>
    </row>
    <row r="92" spans="1:40" ht="18" customHeight="1">
      <c r="A92" s="212" t="s">
        <v>403</v>
      </c>
      <c r="B92" s="212"/>
      <c r="C92" s="212"/>
      <c r="D92" s="212"/>
      <c r="E92" s="212"/>
      <c r="F92" s="212"/>
      <c r="G92" s="212"/>
      <c r="H92" s="212"/>
      <c r="I92" s="212"/>
      <c r="J92" s="212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277"/>
      <c r="X92" s="277"/>
      <c r="Y92" s="277"/>
      <c r="Z92" s="277"/>
      <c r="AA92" s="277"/>
      <c r="AB92" s="277"/>
      <c r="AC92" s="277"/>
      <c r="AD92" s="277"/>
      <c r="AE92" s="277"/>
      <c r="AF92" s="277"/>
      <c r="AG92" s="277"/>
      <c r="AH92" s="163"/>
      <c r="AI92" s="367">
        <f>'F(Bridge)'!B48</f>
        <v>195</v>
      </c>
      <c r="AJ92" s="368">
        <f t="shared" si="8"/>
        <v>0.8267500000000001</v>
      </c>
      <c r="AK92" s="369">
        <f t="shared" si="9"/>
        <v>0.41396923076923076</v>
      </c>
      <c r="AL92" s="364">
        <f t="shared" si="10"/>
        <v>1.0486033653846154</v>
      </c>
      <c r="AM92" s="369">
        <f t="shared" si="11"/>
        <v>0.3</v>
      </c>
      <c r="AN92" s="447">
        <f t="shared" si="7"/>
        <v>2.589322596153846</v>
      </c>
    </row>
    <row r="93" spans="1:40" ht="18" customHeight="1">
      <c r="A93" s="212" t="s">
        <v>403</v>
      </c>
      <c r="B93" s="212"/>
      <c r="C93" s="212"/>
      <c r="D93" s="212"/>
      <c r="E93" s="212"/>
      <c r="F93" s="212"/>
      <c r="G93" s="212"/>
      <c r="H93" s="212"/>
      <c r="I93" s="212"/>
      <c r="J93" s="212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  <c r="AH93" s="338" t="s">
        <v>511</v>
      </c>
      <c r="AI93" s="450">
        <f>'F(Bridge)'!B49</f>
        <v>200</v>
      </c>
      <c r="AJ93" s="451">
        <f t="shared" si="8"/>
        <v>0.8267500000000001</v>
      </c>
      <c r="AK93" s="374">
        <f t="shared" si="9"/>
        <v>0.40361999999999998</v>
      </c>
      <c r="AL93" s="452">
        <f t="shared" si="10"/>
        <v>1.02571875</v>
      </c>
      <c r="AM93" s="374">
        <f t="shared" si="11"/>
        <v>0.3</v>
      </c>
      <c r="AN93" s="453">
        <f t="shared" si="7"/>
        <v>2.5560887499999998</v>
      </c>
    </row>
    <row r="94" spans="1:40" ht="18" customHeight="1">
      <c r="A94" s="212" t="s">
        <v>403</v>
      </c>
      <c r="B94" s="212"/>
      <c r="C94" s="212"/>
      <c r="D94" s="212"/>
      <c r="E94" s="212"/>
      <c r="F94" s="212"/>
      <c r="G94" s="212"/>
      <c r="H94" s="212"/>
      <c r="I94" s="212"/>
      <c r="J94" s="212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</row>
    <row r="95" spans="1:40" ht="18" customHeight="1">
      <c r="A95" s="2339" t="s">
        <v>301</v>
      </c>
      <c r="B95" s="2339"/>
      <c r="C95" s="2339"/>
      <c r="D95" s="2339"/>
      <c r="E95" s="2339"/>
      <c r="F95" s="2339"/>
      <c r="G95" s="2339"/>
      <c r="H95" s="2339"/>
      <c r="I95" s="2339"/>
      <c r="J95" s="2339"/>
      <c r="L95" s="2339" t="s">
        <v>302</v>
      </c>
      <c r="M95" s="2339"/>
      <c r="N95" s="2339"/>
      <c r="O95" s="2339"/>
      <c r="P95" s="2339"/>
      <c r="Q95" s="2339"/>
      <c r="R95" s="2339"/>
      <c r="S95" s="2339"/>
      <c r="T95" s="2339"/>
      <c r="U95" s="2339"/>
      <c r="V95" s="2339"/>
      <c r="W95" s="2339" t="s">
        <v>303</v>
      </c>
      <c r="X95" s="2339"/>
      <c r="Y95" s="2339"/>
      <c r="Z95" s="2339"/>
      <c r="AA95" s="2339"/>
      <c r="AB95" s="2339"/>
      <c r="AC95" s="2339"/>
      <c r="AD95" s="2339"/>
      <c r="AE95" s="2339"/>
      <c r="AF95" s="2339"/>
      <c r="AG95" s="2339"/>
    </row>
    <row r="96" spans="1:40" ht="18" customHeight="1">
      <c r="A96" s="212" t="s">
        <v>403</v>
      </c>
      <c r="B96" s="212"/>
      <c r="C96" s="212"/>
      <c r="D96" s="212"/>
      <c r="E96" s="212"/>
      <c r="F96" s="212"/>
      <c r="G96" s="212"/>
      <c r="H96" s="212"/>
      <c r="I96" s="212"/>
      <c r="J96" s="212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  <c r="AA96" s="277"/>
      <c r="AB96" s="277"/>
      <c r="AC96" s="277"/>
      <c r="AD96" s="277"/>
      <c r="AE96" s="277"/>
      <c r="AF96" s="277"/>
      <c r="AG96" s="277"/>
    </row>
    <row r="97" spans="1:35" ht="18" customHeight="1">
      <c r="A97" s="2359" t="s">
        <v>170</v>
      </c>
      <c r="B97" s="2359"/>
      <c r="C97" s="2359"/>
      <c r="D97" s="2359"/>
      <c r="E97" s="2359"/>
      <c r="F97" s="2359"/>
      <c r="G97" s="2359"/>
      <c r="H97" s="2359"/>
      <c r="I97" s="2359"/>
      <c r="J97" s="2359"/>
      <c r="L97" s="2359" t="s">
        <v>171</v>
      </c>
      <c r="M97" s="2359"/>
      <c r="N97" s="2359"/>
      <c r="O97" s="2359"/>
      <c r="P97" s="2359"/>
      <c r="Q97" s="2359"/>
      <c r="R97" s="2359"/>
      <c r="S97" s="2359"/>
      <c r="T97" s="2359"/>
      <c r="U97" s="2359"/>
      <c r="V97" s="2359"/>
      <c r="W97" s="2359" t="s">
        <v>173</v>
      </c>
      <c r="X97" s="2359"/>
      <c r="Y97" s="2359"/>
      <c r="Z97" s="2359"/>
      <c r="AA97" s="2359"/>
      <c r="AB97" s="2359"/>
      <c r="AC97" s="2359"/>
      <c r="AD97" s="2359"/>
      <c r="AE97" s="2359"/>
      <c r="AF97" s="2359"/>
      <c r="AG97" s="2359"/>
      <c r="AH97" s="351"/>
      <c r="AI97" s="351"/>
    </row>
    <row r="98" spans="1:35" ht="18" customHeight="1">
      <c r="A98" s="2337" t="s">
        <v>653</v>
      </c>
      <c r="B98" s="2367"/>
      <c r="C98" s="2337" t="s">
        <v>307</v>
      </c>
      <c r="D98" s="2367"/>
      <c r="E98" s="2337" t="s">
        <v>308</v>
      </c>
      <c r="F98" s="2367"/>
      <c r="G98" s="301" t="s">
        <v>309</v>
      </c>
      <c r="H98" s="2337" t="s">
        <v>310</v>
      </c>
      <c r="I98" s="2367"/>
      <c r="J98" s="454" t="s">
        <v>186</v>
      </c>
      <c r="L98" s="2345" t="s">
        <v>645</v>
      </c>
      <c r="M98" s="2346"/>
      <c r="N98" s="2347"/>
      <c r="O98" s="157" t="s">
        <v>646</v>
      </c>
      <c r="P98" s="2345" t="s">
        <v>509</v>
      </c>
      <c r="Q98" s="2347"/>
      <c r="R98" s="2345" t="s">
        <v>329</v>
      </c>
      <c r="S98" s="2347"/>
      <c r="T98" s="2345" t="s">
        <v>311</v>
      </c>
      <c r="U98" s="2346"/>
      <c r="V98" s="2347"/>
      <c r="W98" s="2345" t="s">
        <v>645</v>
      </c>
      <c r="X98" s="2347"/>
      <c r="Y98" s="157" t="s">
        <v>646</v>
      </c>
      <c r="Z98" s="157" t="s">
        <v>509</v>
      </c>
      <c r="AA98" s="157" t="s">
        <v>186</v>
      </c>
      <c r="AB98" s="157" t="s">
        <v>90</v>
      </c>
      <c r="AC98" s="157" t="s">
        <v>312</v>
      </c>
      <c r="AD98" s="157" t="s">
        <v>90</v>
      </c>
      <c r="AE98" s="157" t="s">
        <v>186</v>
      </c>
      <c r="AF98" s="157" t="s">
        <v>90</v>
      </c>
      <c r="AG98" s="157" t="s">
        <v>313</v>
      </c>
      <c r="AH98" s="351"/>
      <c r="AI98" s="351"/>
    </row>
    <row r="99" spans="1:35" ht="18" customHeight="1">
      <c r="A99" s="2334" t="s">
        <v>505</v>
      </c>
      <c r="B99" s="2361"/>
      <c r="C99" s="2334" t="s">
        <v>314</v>
      </c>
      <c r="D99" s="2361"/>
      <c r="E99" s="2334" t="s">
        <v>315</v>
      </c>
      <c r="F99" s="2361"/>
      <c r="G99" s="302" t="s">
        <v>316</v>
      </c>
      <c r="H99" s="2362" t="s">
        <v>317</v>
      </c>
      <c r="I99" s="2363"/>
      <c r="J99" s="455" t="s">
        <v>494</v>
      </c>
      <c r="L99" s="2364"/>
      <c r="M99" s="2365"/>
      <c r="N99" s="2366"/>
      <c r="O99" s="380"/>
      <c r="P99" s="2364" t="s">
        <v>318</v>
      </c>
      <c r="Q99" s="2366"/>
      <c r="R99" s="2364" t="s">
        <v>319</v>
      </c>
      <c r="S99" s="2366"/>
      <c r="T99" s="2364" t="s">
        <v>320</v>
      </c>
      <c r="U99" s="2365"/>
      <c r="V99" s="2366"/>
      <c r="W99" s="378"/>
      <c r="X99" s="456"/>
      <c r="Y99" s="380"/>
      <c r="Z99" s="457" t="s">
        <v>321</v>
      </c>
      <c r="AA99" s="457" t="s">
        <v>509</v>
      </c>
      <c r="AB99" s="457" t="s">
        <v>322</v>
      </c>
      <c r="AC99" s="457" t="s">
        <v>323</v>
      </c>
      <c r="AD99" s="457" t="s">
        <v>324</v>
      </c>
      <c r="AE99" s="457" t="s">
        <v>509</v>
      </c>
      <c r="AF99" s="457" t="s">
        <v>324</v>
      </c>
      <c r="AG99" s="457" t="s">
        <v>325</v>
      </c>
      <c r="AI99" s="351"/>
    </row>
    <row r="100" spans="1:35" ht="18" customHeight="1">
      <c r="A100" s="458" t="s">
        <v>510</v>
      </c>
      <c r="B100" s="346">
        <f>B8</f>
        <v>5</v>
      </c>
      <c r="C100" s="303"/>
      <c r="D100" s="459">
        <f>J8</f>
        <v>6.25E-2</v>
      </c>
      <c r="E100" s="303"/>
      <c r="F100" s="459">
        <f>$H$52</f>
        <v>0.25000000000000006</v>
      </c>
      <c r="G100" s="304">
        <f>$H$55</f>
        <v>0.1</v>
      </c>
      <c r="H100" s="303"/>
      <c r="I100" s="459">
        <f>$H$66</f>
        <v>0.25800000000000001</v>
      </c>
      <c r="J100" s="460">
        <f>(D100+F100+G100+I100)</f>
        <v>0.6705000000000001</v>
      </c>
      <c r="L100" s="2355" t="s">
        <v>505</v>
      </c>
      <c r="M100" s="2357"/>
      <c r="N100" s="2356"/>
      <c r="O100" s="166" t="s">
        <v>654</v>
      </c>
      <c r="P100" s="2368" t="s">
        <v>326</v>
      </c>
      <c r="Q100" s="2369"/>
      <c r="R100" s="2368" t="s">
        <v>327</v>
      </c>
      <c r="S100" s="2369"/>
      <c r="T100" s="2368" t="s">
        <v>328</v>
      </c>
      <c r="U100" s="2370"/>
      <c r="V100" s="2369"/>
      <c r="W100" s="2355" t="s">
        <v>505</v>
      </c>
      <c r="X100" s="2356"/>
      <c r="Y100" s="166" t="s">
        <v>654</v>
      </c>
      <c r="Z100" s="461" t="s">
        <v>927</v>
      </c>
      <c r="AA100" s="461" t="s">
        <v>918</v>
      </c>
      <c r="AB100" s="461" t="s">
        <v>494</v>
      </c>
      <c r="AC100" s="461" t="s">
        <v>505</v>
      </c>
      <c r="AD100" s="461" t="s">
        <v>927</v>
      </c>
      <c r="AE100" s="461" t="s">
        <v>918</v>
      </c>
      <c r="AF100" s="461" t="s">
        <v>494</v>
      </c>
      <c r="AG100" s="461" t="s">
        <v>494</v>
      </c>
      <c r="AI100" s="351"/>
    </row>
    <row r="101" spans="1:35" ht="18" customHeight="1">
      <c r="A101" s="462"/>
      <c r="B101" s="379">
        <f>B9</f>
        <v>10</v>
      </c>
      <c r="C101" s="305"/>
      <c r="D101" s="463">
        <f>J9</f>
        <v>9.375E-2</v>
      </c>
      <c r="E101" s="464"/>
      <c r="F101" s="463">
        <f>$H$52</f>
        <v>0.25000000000000006</v>
      </c>
      <c r="G101" s="306">
        <f>$H$55</f>
        <v>0.1</v>
      </c>
      <c r="H101" s="464"/>
      <c r="I101" s="463">
        <f>$H$66</f>
        <v>0.25800000000000001</v>
      </c>
      <c r="J101" s="465">
        <f>(D101+F101+G101+I101)</f>
        <v>0.7017500000000001</v>
      </c>
      <c r="L101" s="391" t="s">
        <v>510</v>
      </c>
      <c r="M101" s="466">
        <f>B8</f>
        <v>5</v>
      </c>
      <c r="N101" s="277"/>
      <c r="O101" s="171">
        <f>E8</f>
        <v>6</v>
      </c>
      <c r="P101" s="393"/>
      <c r="Q101" s="394">
        <f>$V$17</f>
        <v>36240</v>
      </c>
      <c r="R101" s="277"/>
      <c r="S101" s="395">
        <f>(O101*Q101)</f>
        <v>217440</v>
      </c>
      <c r="T101" s="396"/>
      <c r="U101" s="467">
        <f>(S101*100)/(M101*1000000)</f>
        <v>4.3487999999999998</v>
      </c>
      <c r="V101" s="397"/>
      <c r="W101" s="391" t="s">
        <v>510</v>
      </c>
      <c r="X101" s="468">
        <f>B8</f>
        <v>5</v>
      </c>
      <c r="Y101" s="171">
        <f>E8</f>
        <v>6</v>
      </c>
      <c r="Z101" s="469">
        <f>$AG$13</f>
        <v>27000</v>
      </c>
      <c r="AA101" s="470">
        <f>(Y101*Z101)</f>
        <v>162000</v>
      </c>
      <c r="AB101" s="467">
        <f>(AA101*100)/(X101*1000000)</f>
        <v>3.24</v>
      </c>
      <c r="AC101" s="399">
        <v>2.5</v>
      </c>
      <c r="AD101" s="469">
        <f>$AG$22</f>
        <v>14000</v>
      </c>
      <c r="AE101" s="470">
        <f>(Y101*AD101)</f>
        <v>84000</v>
      </c>
      <c r="AF101" s="471">
        <f>(AE101*100)/(AC101*1000000)*(Y101/12)</f>
        <v>1.68</v>
      </c>
      <c r="AG101" s="472">
        <f>AB101+AF101</f>
        <v>4.92</v>
      </c>
      <c r="AI101" s="351"/>
    </row>
    <row r="102" spans="1:35" ht="18" customHeight="1">
      <c r="A102" s="462"/>
      <c r="B102" s="379">
        <f t="shared" ref="B102:B138" si="12">B10</f>
        <v>15</v>
      </c>
      <c r="C102" s="305"/>
      <c r="D102" s="463">
        <f t="shared" ref="D102:D139" si="13">J10</f>
        <v>0.125</v>
      </c>
      <c r="E102" s="464"/>
      <c r="F102" s="463">
        <f t="shared" ref="F102:F139" si="14">$H$52</f>
        <v>0.25000000000000006</v>
      </c>
      <c r="G102" s="306">
        <f t="shared" ref="G102:G139" si="15">$H$55</f>
        <v>0.1</v>
      </c>
      <c r="H102" s="464"/>
      <c r="I102" s="463">
        <f t="shared" ref="I102:I139" si="16">$H$66</f>
        <v>0.25800000000000001</v>
      </c>
      <c r="J102" s="465">
        <f t="shared" ref="J102:J134" si="17">(D102+F102+G102+I102)</f>
        <v>0.7330000000000001</v>
      </c>
      <c r="L102" s="405"/>
      <c r="M102" s="473">
        <f>B9</f>
        <v>10</v>
      </c>
      <c r="N102" s="277"/>
      <c r="O102" s="180">
        <f>E9</f>
        <v>9</v>
      </c>
      <c r="P102" s="406"/>
      <c r="Q102" s="394">
        <f>$V$17</f>
        <v>36240</v>
      </c>
      <c r="R102" s="277"/>
      <c r="S102" s="407">
        <f>(O102*Q102)</f>
        <v>326160</v>
      </c>
      <c r="T102" s="396"/>
      <c r="U102" s="467">
        <f>(S102*100)/(M102*1000000)</f>
        <v>3.2616000000000001</v>
      </c>
      <c r="V102" s="408"/>
      <c r="W102" s="405"/>
      <c r="X102" s="474">
        <f>B9</f>
        <v>10</v>
      </c>
      <c r="Y102" s="180">
        <f>E9</f>
        <v>9</v>
      </c>
      <c r="Z102" s="475">
        <f>$AG$13</f>
        <v>27000</v>
      </c>
      <c r="AA102" s="476">
        <f t="shared" ref="AA102:AA135" si="18">(Y102*Z102)</f>
        <v>243000</v>
      </c>
      <c r="AB102" s="467">
        <f t="shared" ref="AB102:AB135" si="19">(AA102*100)/(X102*1000000)</f>
        <v>2.4300000000000002</v>
      </c>
      <c r="AC102" s="162">
        <v>7.5</v>
      </c>
      <c r="AD102" s="475">
        <f>$AG$22</f>
        <v>14000</v>
      </c>
      <c r="AE102" s="476">
        <f t="shared" ref="AE102:AE135" si="20">(Y102*AD102)</f>
        <v>126000</v>
      </c>
      <c r="AF102" s="477">
        <f t="shared" ref="AF102:AF135" si="21">(AE102*100)/(AC102*1000000)*(Y102/12)</f>
        <v>1.26</v>
      </c>
      <c r="AG102" s="478">
        <f t="shared" ref="AG102:AG135" si="22">AB102+AF102</f>
        <v>3.6900000000000004</v>
      </c>
      <c r="AI102" s="351"/>
    </row>
    <row r="103" spans="1:35" ht="18" customHeight="1">
      <c r="A103" s="462"/>
      <c r="B103" s="379">
        <f t="shared" si="12"/>
        <v>20</v>
      </c>
      <c r="C103" s="305"/>
      <c r="D103" s="463">
        <f t="shared" si="13"/>
        <v>0.15625</v>
      </c>
      <c r="E103" s="305"/>
      <c r="F103" s="463">
        <f t="shared" si="14"/>
        <v>0.25000000000000006</v>
      </c>
      <c r="G103" s="306">
        <f t="shared" si="15"/>
        <v>0.1</v>
      </c>
      <c r="H103" s="464"/>
      <c r="I103" s="463">
        <f t="shared" si="16"/>
        <v>0.25800000000000001</v>
      </c>
      <c r="J103" s="465">
        <f t="shared" si="17"/>
        <v>0.7642500000000001</v>
      </c>
      <c r="L103" s="405"/>
      <c r="M103" s="473">
        <f t="shared" ref="M103:M140" si="23">B10</f>
        <v>15</v>
      </c>
      <c r="N103" s="277"/>
      <c r="O103" s="180">
        <f t="shared" ref="O103:O140" si="24">E10</f>
        <v>12</v>
      </c>
      <c r="P103" s="406"/>
      <c r="Q103" s="394">
        <f t="shared" ref="Q103:Q110" si="25">$V$36</f>
        <v>37640</v>
      </c>
      <c r="R103" s="277"/>
      <c r="S103" s="407">
        <f t="shared" ref="S103:S135" si="26">(O103*Q103)</f>
        <v>451680</v>
      </c>
      <c r="T103" s="396"/>
      <c r="U103" s="467">
        <f t="shared" ref="U103:U135" si="27">(S103*100)/(M103*1000000)</f>
        <v>3.0112000000000001</v>
      </c>
      <c r="V103" s="408"/>
      <c r="W103" s="405"/>
      <c r="X103" s="474">
        <f t="shared" ref="X103:X140" si="28">B10</f>
        <v>15</v>
      </c>
      <c r="Y103" s="180">
        <f t="shared" ref="Y103:Y140" si="29">E10</f>
        <v>12</v>
      </c>
      <c r="Z103" s="475">
        <f>$AG$34</f>
        <v>29000</v>
      </c>
      <c r="AA103" s="476">
        <f t="shared" si="18"/>
        <v>348000</v>
      </c>
      <c r="AB103" s="467">
        <f t="shared" si="19"/>
        <v>2.3199999999999998</v>
      </c>
      <c r="AC103" s="162">
        <v>15</v>
      </c>
      <c r="AD103" s="475">
        <f t="shared" ref="AD103:AD110" si="30">$AG$43</f>
        <v>18000</v>
      </c>
      <c r="AE103" s="476">
        <f t="shared" si="20"/>
        <v>216000</v>
      </c>
      <c r="AF103" s="477">
        <f t="shared" si="21"/>
        <v>1.44</v>
      </c>
      <c r="AG103" s="478">
        <f t="shared" si="22"/>
        <v>3.76</v>
      </c>
      <c r="AI103" s="351"/>
    </row>
    <row r="104" spans="1:35" ht="18" customHeight="1">
      <c r="A104" s="462"/>
      <c r="B104" s="379">
        <f t="shared" si="12"/>
        <v>25</v>
      </c>
      <c r="C104" s="305"/>
      <c r="D104" s="463">
        <f t="shared" si="13"/>
        <v>0.15625</v>
      </c>
      <c r="E104" s="305"/>
      <c r="F104" s="463">
        <f t="shared" si="14"/>
        <v>0.25000000000000006</v>
      </c>
      <c r="G104" s="306">
        <f t="shared" si="15"/>
        <v>0.1</v>
      </c>
      <c r="H104" s="464"/>
      <c r="I104" s="463">
        <f t="shared" si="16"/>
        <v>0.25800000000000001</v>
      </c>
      <c r="J104" s="465">
        <f t="shared" si="17"/>
        <v>0.7642500000000001</v>
      </c>
      <c r="L104" s="405"/>
      <c r="M104" s="473">
        <f t="shared" si="23"/>
        <v>20</v>
      </c>
      <c r="N104" s="277"/>
      <c r="O104" s="180">
        <f t="shared" si="24"/>
        <v>15</v>
      </c>
      <c r="P104" s="406"/>
      <c r="Q104" s="394">
        <f t="shared" si="25"/>
        <v>37640</v>
      </c>
      <c r="R104" s="277"/>
      <c r="S104" s="407">
        <f t="shared" si="26"/>
        <v>564600</v>
      </c>
      <c r="T104" s="396"/>
      <c r="U104" s="467">
        <f t="shared" si="27"/>
        <v>2.823</v>
      </c>
      <c r="V104" s="408"/>
      <c r="W104" s="405"/>
      <c r="X104" s="474">
        <f t="shared" si="28"/>
        <v>20</v>
      </c>
      <c r="Y104" s="180">
        <f t="shared" si="29"/>
        <v>15</v>
      </c>
      <c r="Z104" s="502">
        <v>30750</v>
      </c>
      <c r="AA104" s="476">
        <f t="shared" si="18"/>
        <v>461250</v>
      </c>
      <c r="AB104" s="467">
        <f t="shared" si="19"/>
        <v>2.3062499999999999</v>
      </c>
      <c r="AC104" s="162">
        <v>25</v>
      </c>
      <c r="AD104" s="475">
        <f t="shared" si="30"/>
        <v>18000</v>
      </c>
      <c r="AE104" s="476">
        <f t="shared" si="20"/>
        <v>270000</v>
      </c>
      <c r="AF104" s="477">
        <f t="shared" si="21"/>
        <v>1.35</v>
      </c>
      <c r="AG104" s="478">
        <f t="shared" si="22"/>
        <v>3.65625</v>
      </c>
      <c r="AI104" s="351"/>
    </row>
    <row r="105" spans="1:35" ht="18" customHeight="1">
      <c r="A105" s="462"/>
      <c r="B105" s="379">
        <f t="shared" si="12"/>
        <v>30</v>
      </c>
      <c r="C105" s="305"/>
      <c r="D105" s="463">
        <f t="shared" si="13"/>
        <v>0.1875</v>
      </c>
      <c r="E105" s="305"/>
      <c r="F105" s="463">
        <f t="shared" si="14"/>
        <v>0.25000000000000006</v>
      </c>
      <c r="G105" s="306">
        <f t="shared" si="15"/>
        <v>0.1</v>
      </c>
      <c r="H105" s="464"/>
      <c r="I105" s="463">
        <f t="shared" si="16"/>
        <v>0.25800000000000001</v>
      </c>
      <c r="J105" s="465">
        <f t="shared" si="17"/>
        <v>0.7955000000000001</v>
      </c>
      <c r="L105" s="405"/>
      <c r="M105" s="473">
        <f t="shared" si="23"/>
        <v>25</v>
      </c>
      <c r="N105" s="277"/>
      <c r="O105" s="180">
        <f t="shared" si="24"/>
        <v>15</v>
      </c>
      <c r="P105" s="406"/>
      <c r="Q105" s="394">
        <f t="shared" si="25"/>
        <v>37640</v>
      </c>
      <c r="R105" s="277"/>
      <c r="S105" s="407">
        <f t="shared" si="26"/>
        <v>564600</v>
      </c>
      <c r="T105" s="396"/>
      <c r="U105" s="467">
        <f t="shared" si="27"/>
        <v>2.2584</v>
      </c>
      <c r="V105" s="408"/>
      <c r="W105" s="405"/>
      <c r="X105" s="474">
        <f t="shared" si="28"/>
        <v>25</v>
      </c>
      <c r="Y105" s="180">
        <f t="shared" si="29"/>
        <v>15</v>
      </c>
      <c r="Z105" s="502">
        <v>32500</v>
      </c>
      <c r="AA105" s="476">
        <f t="shared" si="18"/>
        <v>487500</v>
      </c>
      <c r="AB105" s="467">
        <f t="shared" si="19"/>
        <v>1.95</v>
      </c>
      <c r="AC105" s="162">
        <v>31.25</v>
      </c>
      <c r="AD105" s="475">
        <f t="shared" si="30"/>
        <v>18000</v>
      </c>
      <c r="AE105" s="476">
        <f t="shared" si="20"/>
        <v>270000</v>
      </c>
      <c r="AF105" s="477">
        <f t="shared" si="21"/>
        <v>1.08</v>
      </c>
      <c r="AG105" s="478">
        <f t="shared" si="22"/>
        <v>3.0300000000000002</v>
      </c>
      <c r="AI105" s="351"/>
    </row>
    <row r="106" spans="1:35" ht="18" customHeight="1">
      <c r="A106" s="462"/>
      <c r="B106" s="379">
        <f t="shared" si="12"/>
        <v>35</v>
      </c>
      <c r="C106" s="305"/>
      <c r="D106" s="463">
        <f t="shared" si="13"/>
        <v>0.19791666666666666</v>
      </c>
      <c r="E106" s="305"/>
      <c r="F106" s="463">
        <f t="shared" si="14"/>
        <v>0.25000000000000006</v>
      </c>
      <c r="G106" s="306">
        <f t="shared" si="15"/>
        <v>0.1</v>
      </c>
      <c r="H106" s="464"/>
      <c r="I106" s="463">
        <f t="shared" si="16"/>
        <v>0.25800000000000001</v>
      </c>
      <c r="J106" s="465">
        <f t="shared" si="17"/>
        <v>0.80591666666666673</v>
      </c>
      <c r="L106" s="405"/>
      <c r="M106" s="473">
        <f t="shared" si="23"/>
        <v>30</v>
      </c>
      <c r="N106" s="277"/>
      <c r="O106" s="180">
        <f t="shared" si="24"/>
        <v>18</v>
      </c>
      <c r="P106" s="406"/>
      <c r="Q106" s="394">
        <f t="shared" si="25"/>
        <v>37640</v>
      </c>
      <c r="R106" s="277"/>
      <c r="S106" s="407">
        <f t="shared" si="26"/>
        <v>677520</v>
      </c>
      <c r="T106" s="396"/>
      <c r="U106" s="467">
        <f t="shared" si="27"/>
        <v>2.2584</v>
      </c>
      <c r="V106" s="408"/>
      <c r="W106" s="405"/>
      <c r="X106" s="474">
        <f t="shared" si="28"/>
        <v>30</v>
      </c>
      <c r="Y106" s="180">
        <f t="shared" si="29"/>
        <v>18</v>
      </c>
      <c r="Z106" s="502">
        <v>34250</v>
      </c>
      <c r="AA106" s="476">
        <f t="shared" si="18"/>
        <v>616500</v>
      </c>
      <c r="AB106" s="467">
        <f t="shared" si="19"/>
        <v>2.0550000000000002</v>
      </c>
      <c r="AC106" s="162">
        <v>45</v>
      </c>
      <c r="AD106" s="475">
        <f t="shared" si="30"/>
        <v>18000</v>
      </c>
      <c r="AE106" s="476">
        <f t="shared" si="20"/>
        <v>324000</v>
      </c>
      <c r="AF106" s="477">
        <f t="shared" si="21"/>
        <v>1.08</v>
      </c>
      <c r="AG106" s="478">
        <f t="shared" si="22"/>
        <v>3.1350000000000002</v>
      </c>
      <c r="AI106" s="351"/>
    </row>
    <row r="107" spans="1:35" ht="18" customHeight="1">
      <c r="A107" s="462"/>
      <c r="B107" s="379">
        <f t="shared" si="12"/>
        <v>40</v>
      </c>
      <c r="C107" s="305"/>
      <c r="D107" s="463">
        <f t="shared" si="13"/>
        <v>0.19791666666666666</v>
      </c>
      <c r="E107" s="305"/>
      <c r="F107" s="463">
        <f t="shared" si="14"/>
        <v>0.25000000000000006</v>
      </c>
      <c r="G107" s="306">
        <f t="shared" si="15"/>
        <v>0.1</v>
      </c>
      <c r="H107" s="464"/>
      <c r="I107" s="463">
        <f t="shared" si="16"/>
        <v>0.25800000000000001</v>
      </c>
      <c r="J107" s="465">
        <f t="shared" si="17"/>
        <v>0.80591666666666673</v>
      </c>
      <c r="L107" s="405"/>
      <c r="M107" s="473">
        <f t="shared" si="23"/>
        <v>35</v>
      </c>
      <c r="N107" s="277"/>
      <c r="O107" s="180">
        <f t="shared" si="24"/>
        <v>19</v>
      </c>
      <c r="P107" s="406"/>
      <c r="Q107" s="394">
        <f t="shared" si="25"/>
        <v>37640</v>
      </c>
      <c r="R107" s="277"/>
      <c r="S107" s="407">
        <f t="shared" si="26"/>
        <v>715160</v>
      </c>
      <c r="T107" s="396"/>
      <c r="U107" s="467">
        <f t="shared" si="27"/>
        <v>2.0433142857142856</v>
      </c>
      <c r="V107" s="408"/>
      <c r="W107" s="405"/>
      <c r="X107" s="474">
        <f t="shared" si="28"/>
        <v>35</v>
      </c>
      <c r="Y107" s="180">
        <f t="shared" si="29"/>
        <v>19</v>
      </c>
      <c r="Z107" s="502">
        <v>36000</v>
      </c>
      <c r="AA107" s="476">
        <f t="shared" si="18"/>
        <v>684000</v>
      </c>
      <c r="AB107" s="467">
        <f t="shared" si="19"/>
        <v>1.9542857142857142</v>
      </c>
      <c r="AC107" s="162">
        <v>55.42</v>
      </c>
      <c r="AD107" s="475">
        <f t="shared" si="30"/>
        <v>18000</v>
      </c>
      <c r="AE107" s="476">
        <f t="shared" si="20"/>
        <v>342000</v>
      </c>
      <c r="AF107" s="477">
        <f t="shared" si="21"/>
        <v>0.97708408516780942</v>
      </c>
      <c r="AG107" s="478">
        <f t="shared" si="22"/>
        <v>2.9313697994535235</v>
      </c>
      <c r="AI107" s="351"/>
    </row>
    <row r="108" spans="1:35" ht="18" customHeight="1">
      <c r="A108" s="462"/>
      <c r="B108" s="379">
        <f t="shared" si="12"/>
        <v>45</v>
      </c>
      <c r="C108" s="305"/>
      <c r="D108" s="463">
        <f t="shared" si="13"/>
        <v>0.19791666666666666</v>
      </c>
      <c r="E108" s="305"/>
      <c r="F108" s="463">
        <f t="shared" si="14"/>
        <v>0.25000000000000006</v>
      </c>
      <c r="G108" s="306">
        <f t="shared" si="15"/>
        <v>0.1</v>
      </c>
      <c r="H108" s="464"/>
      <c r="I108" s="463">
        <f t="shared" si="16"/>
        <v>0.25800000000000001</v>
      </c>
      <c r="J108" s="465">
        <f t="shared" si="17"/>
        <v>0.80591666666666673</v>
      </c>
      <c r="L108" s="405"/>
      <c r="M108" s="473">
        <f t="shared" si="23"/>
        <v>40</v>
      </c>
      <c r="N108" s="277"/>
      <c r="O108" s="180">
        <f t="shared" si="24"/>
        <v>19</v>
      </c>
      <c r="P108" s="406"/>
      <c r="Q108" s="394">
        <f t="shared" si="25"/>
        <v>37640</v>
      </c>
      <c r="R108" s="277"/>
      <c r="S108" s="407">
        <f t="shared" si="26"/>
        <v>715160</v>
      </c>
      <c r="T108" s="396"/>
      <c r="U108" s="467">
        <f t="shared" si="27"/>
        <v>1.7879</v>
      </c>
      <c r="V108" s="408"/>
      <c r="W108" s="405"/>
      <c r="X108" s="474">
        <f t="shared" si="28"/>
        <v>40</v>
      </c>
      <c r="Y108" s="180">
        <f t="shared" si="29"/>
        <v>19</v>
      </c>
      <c r="Z108" s="502">
        <v>37750</v>
      </c>
      <c r="AA108" s="476">
        <f t="shared" si="18"/>
        <v>717250</v>
      </c>
      <c r="AB108" s="467">
        <f t="shared" si="19"/>
        <v>1.7931250000000001</v>
      </c>
      <c r="AC108" s="162">
        <v>63.33</v>
      </c>
      <c r="AD108" s="475">
        <f t="shared" si="30"/>
        <v>18000</v>
      </c>
      <c r="AE108" s="476">
        <f t="shared" si="20"/>
        <v>342000</v>
      </c>
      <c r="AF108" s="477">
        <f t="shared" si="21"/>
        <v>0.85504500236854575</v>
      </c>
      <c r="AG108" s="478">
        <f t="shared" si="22"/>
        <v>2.6481700023685457</v>
      </c>
      <c r="AI108" s="351"/>
    </row>
    <row r="109" spans="1:35" ht="18" customHeight="1">
      <c r="A109" s="462"/>
      <c r="B109" s="379">
        <f t="shared" si="12"/>
        <v>50</v>
      </c>
      <c r="C109" s="305"/>
      <c r="D109" s="463">
        <f t="shared" si="13"/>
        <v>0.19791666666666663</v>
      </c>
      <c r="E109" s="305"/>
      <c r="F109" s="463">
        <f t="shared" si="14"/>
        <v>0.25000000000000006</v>
      </c>
      <c r="G109" s="306">
        <f t="shared" si="15"/>
        <v>0.1</v>
      </c>
      <c r="H109" s="464"/>
      <c r="I109" s="463">
        <f t="shared" si="16"/>
        <v>0.25800000000000001</v>
      </c>
      <c r="J109" s="465">
        <f t="shared" si="17"/>
        <v>0.80591666666666673</v>
      </c>
      <c r="L109" s="405"/>
      <c r="M109" s="473">
        <f t="shared" si="23"/>
        <v>45</v>
      </c>
      <c r="N109" s="277"/>
      <c r="O109" s="180">
        <f t="shared" si="24"/>
        <v>19</v>
      </c>
      <c r="P109" s="406"/>
      <c r="Q109" s="394">
        <f t="shared" si="25"/>
        <v>37640</v>
      </c>
      <c r="R109" s="277"/>
      <c r="S109" s="407">
        <f t="shared" si="26"/>
        <v>715160</v>
      </c>
      <c r="T109" s="396"/>
      <c r="U109" s="467">
        <f t="shared" si="27"/>
        <v>1.5892444444444445</v>
      </c>
      <c r="V109" s="408"/>
      <c r="W109" s="405"/>
      <c r="X109" s="474">
        <f t="shared" si="28"/>
        <v>45</v>
      </c>
      <c r="Y109" s="180">
        <f t="shared" si="29"/>
        <v>19</v>
      </c>
      <c r="Z109" s="502">
        <v>39500</v>
      </c>
      <c r="AA109" s="476">
        <f t="shared" si="18"/>
        <v>750500</v>
      </c>
      <c r="AB109" s="467">
        <f t="shared" si="19"/>
        <v>1.6677777777777778</v>
      </c>
      <c r="AC109" s="180">
        <v>71.25</v>
      </c>
      <c r="AD109" s="475">
        <f t="shared" si="30"/>
        <v>18000</v>
      </c>
      <c r="AE109" s="476">
        <f t="shared" si="20"/>
        <v>342000</v>
      </c>
      <c r="AF109" s="477">
        <f t="shared" si="21"/>
        <v>0.7599999999999999</v>
      </c>
      <c r="AG109" s="478">
        <f t="shared" si="22"/>
        <v>2.4277777777777776</v>
      </c>
      <c r="AI109" s="351"/>
    </row>
    <row r="110" spans="1:35" ht="18" customHeight="1">
      <c r="A110" s="462"/>
      <c r="B110" s="379">
        <f t="shared" si="12"/>
        <v>55</v>
      </c>
      <c r="C110" s="305"/>
      <c r="D110" s="463">
        <f t="shared" si="13"/>
        <v>0.19791666666666666</v>
      </c>
      <c r="E110" s="305"/>
      <c r="F110" s="463">
        <f t="shared" si="14"/>
        <v>0.25000000000000006</v>
      </c>
      <c r="G110" s="306">
        <f t="shared" si="15"/>
        <v>0.1</v>
      </c>
      <c r="H110" s="464"/>
      <c r="I110" s="463">
        <f t="shared" si="16"/>
        <v>0.25800000000000001</v>
      </c>
      <c r="J110" s="465">
        <f t="shared" si="17"/>
        <v>0.80591666666666673</v>
      </c>
      <c r="L110" s="405"/>
      <c r="M110" s="473">
        <f t="shared" si="23"/>
        <v>50</v>
      </c>
      <c r="N110" s="277"/>
      <c r="O110" s="180">
        <f t="shared" si="24"/>
        <v>19</v>
      </c>
      <c r="P110" s="406"/>
      <c r="Q110" s="394">
        <f t="shared" si="25"/>
        <v>37640</v>
      </c>
      <c r="R110" s="277"/>
      <c r="S110" s="407">
        <f t="shared" si="26"/>
        <v>715160</v>
      </c>
      <c r="T110" s="396"/>
      <c r="U110" s="467">
        <f t="shared" si="27"/>
        <v>1.43032</v>
      </c>
      <c r="V110" s="408"/>
      <c r="W110" s="405"/>
      <c r="X110" s="474">
        <f t="shared" si="28"/>
        <v>50</v>
      </c>
      <c r="Y110" s="180">
        <f t="shared" si="29"/>
        <v>19</v>
      </c>
      <c r="Z110" s="502">
        <v>41250</v>
      </c>
      <c r="AA110" s="476">
        <f t="shared" si="18"/>
        <v>783750</v>
      </c>
      <c r="AB110" s="467">
        <f t="shared" si="19"/>
        <v>1.5674999999999999</v>
      </c>
      <c r="AC110" s="180">
        <v>79.17</v>
      </c>
      <c r="AD110" s="475">
        <f t="shared" si="30"/>
        <v>18000</v>
      </c>
      <c r="AE110" s="476">
        <f t="shared" si="20"/>
        <v>342000</v>
      </c>
      <c r="AF110" s="477">
        <f t="shared" si="21"/>
        <v>0.68397120121258048</v>
      </c>
      <c r="AG110" s="478">
        <f t="shared" si="22"/>
        <v>2.2514712012125804</v>
      </c>
      <c r="AI110" s="351"/>
    </row>
    <row r="111" spans="1:35" ht="18" customHeight="1">
      <c r="A111" s="462"/>
      <c r="B111" s="379">
        <f t="shared" si="12"/>
        <v>60</v>
      </c>
      <c r="C111" s="305"/>
      <c r="D111" s="463">
        <f t="shared" si="13"/>
        <v>0.19791666666666666</v>
      </c>
      <c r="E111" s="305"/>
      <c r="F111" s="463">
        <f t="shared" si="14"/>
        <v>0.25000000000000006</v>
      </c>
      <c r="G111" s="306">
        <f t="shared" si="15"/>
        <v>0.1</v>
      </c>
      <c r="H111" s="464"/>
      <c r="I111" s="463">
        <f t="shared" si="16"/>
        <v>0.25800000000000001</v>
      </c>
      <c r="J111" s="465">
        <f t="shared" si="17"/>
        <v>0.80591666666666673</v>
      </c>
      <c r="L111" s="405"/>
      <c r="M111" s="473">
        <f t="shared" si="23"/>
        <v>55</v>
      </c>
      <c r="N111" s="277"/>
      <c r="O111" s="180">
        <f t="shared" si="24"/>
        <v>19</v>
      </c>
      <c r="P111" s="406"/>
      <c r="Q111" s="394">
        <f t="shared" ref="Q111:Q120" si="31">$V$63</f>
        <v>38040</v>
      </c>
      <c r="R111" s="277"/>
      <c r="S111" s="407">
        <f t="shared" si="26"/>
        <v>722760</v>
      </c>
      <c r="T111" s="396"/>
      <c r="U111" s="467">
        <f t="shared" si="27"/>
        <v>1.3141090909090909</v>
      </c>
      <c r="V111" s="408"/>
      <c r="W111" s="405"/>
      <c r="X111" s="474">
        <f t="shared" si="28"/>
        <v>55</v>
      </c>
      <c r="Y111" s="180">
        <f t="shared" si="29"/>
        <v>19</v>
      </c>
      <c r="Z111" s="475">
        <f>$AG$59</f>
        <v>43000</v>
      </c>
      <c r="AA111" s="476">
        <f t="shared" si="18"/>
        <v>817000</v>
      </c>
      <c r="AB111" s="467">
        <f t="shared" si="19"/>
        <v>1.4854545454545454</v>
      </c>
      <c r="AC111" s="180">
        <v>400</v>
      </c>
      <c r="AD111" s="475">
        <f>$AG$68</f>
        <v>20500</v>
      </c>
      <c r="AE111" s="476">
        <f t="shared" si="20"/>
        <v>389500</v>
      </c>
      <c r="AF111" s="477">
        <f t="shared" si="21"/>
        <v>0.15417708333333333</v>
      </c>
      <c r="AG111" s="478">
        <f t="shared" si="22"/>
        <v>1.6396316287878787</v>
      </c>
      <c r="AI111" s="351"/>
    </row>
    <row r="112" spans="1:35" ht="18" customHeight="1">
      <c r="A112" s="462"/>
      <c r="B112" s="379">
        <f t="shared" si="12"/>
        <v>65</v>
      </c>
      <c r="C112" s="305"/>
      <c r="D112" s="463">
        <f t="shared" si="13"/>
        <v>0.21875</v>
      </c>
      <c r="E112" s="305"/>
      <c r="F112" s="463">
        <f t="shared" si="14"/>
        <v>0.25000000000000006</v>
      </c>
      <c r="G112" s="306">
        <f t="shared" si="15"/>
        <v>0.1</v>
      </c>
      <c r="H112" s="464"/>
      <c r="I112" s="463">
        <f t="shared" si="16"/>
        <v>0.25800000000000001</v>
      </c>
      <c r="J112" s="465">
        <f t="shared" si="17"/>
        <v>0.8267500000000001</v>
      </c>
      <c r="L112" s="405"/>
      <c r="M112" s="473">
        <f t="shared" si="23"/>
        <v>60</v>
      </c>
      <c r="N112" s="277"/>
      <c r="O112" s="180">
        <f t="shared" si="24"/>
        <v>19</v>
      </c>
      <c r="P112" s="406"/>
      <c r="Q112" s="394">
        <f t="shared" si="31"/>
        <v>38040</v>
      </c>
      <c r="R112" s="277"/>
      <c r="S112" s="407">
        <f t="shared" si="26"/>
        <v>722760</v>
      </c>
      <c r="T112" s="396"/>
      <c r="U112" s="467">
        <f t="shared" si="27"/>
        <v>1.2045999999999999</v>
      </c>
      <c r="V112" s="408"/>
      <c r="W112" s="405"/>
      <c r="X112" s="474">
        <f t="shared" si="28"/>
        <v>60</v>
      </c>
      <c r="Y112" s="180">
        <f t="shared" si="29"/>
        <v>19</v>
      </c>
      <c r="Z112" s="502">
        <v>47200</v>
      </c>
      <c r="AA112" s="476">
        <f t="shared" si="18"/>
        <v>896800</v>
      </c>
      <c r="AB112" s="467">
        <f t="shared" si="19"/>
        <v>1.4946666666666666</v>
      </c>
      <c r="AC112" s="180">
        <v>400</v>
      </c>
      <c r="AD112" s="475">
        <f t="shared" ref="AD112:AD120" si="32">$AG$68</f>
        <v>20500</v>
      </c>
      <c r="AE112" s="476">
        <f t="shared" si="20"/>
        <v>389500</v>
      </c>
      <c r="AF112" s="477">
        <f t="shared" si="21"/>
        <v>0.15417708333333333</v>
      </c>
      <c r="AG112" s="478">
        <f t="shared" si="22"/>
        <v>1.6488437499999999</v>
      </c>
      <c r="AI112" s="351"/>
    </row>
    <row r="113" spans="1:35" ht="18" customHeight="1">
      <c r="A113" s="462"/>
      <c r="B113" s="379">
        <f t="shared" si="12"/>
        <v>70</v>
      </c>
      <c r="C113" s="305"/>
      <c r="D113" s="463">
        <f t="shared" si="13"/>
        <v>0.21875</v>
      </c>
      <c r="E113" s="305"/>
      <c r="F113" s="463">
        <f t="shared" si="14"/>
        <v>0.25000000000000006</v>
      </c>
      <c r="G113" s="306">
        <f t="shared" si="15"/>
        <v>0.1</v>
      </c>
      <c r="H113" s="464"/>
      <c r="I113" s="463">
        <f t="shared" si="16"/>
        <v>0.25800000000000001</v>
      </c>
      <c r="J113" s="465">
        <f t="shared" si="17"/>
        <v>0.8267500000000001</v>
      </c>
      <c r="L113" s="405"/>
      <c r="M113" s="473">
        <f t="shared" si="23"/>
        <v>65</v>
      </c>
      <c r="N113" s="277"/>
      <c r="O113" s="180">
        <f t="shared" si="24"/>
        <v>21</v>
      </c>
      <c r="P113" s="406"/>
      <c r="Q113" s="394">
        <f t="shared" si="31"/>
        <v>38040</v>
      </c>
      <c r="R113" s="277"/>
      <c r="S113" s="407">
        <f t="shared" si="26"/>
        <v>798840</v>
      </c>
      <c r="T113" s="396"/>
      <c r="U113" s="467">
        <f t="shared" si="27"/>
        <v>1.2289846153846153</v>
      </c>
      <c r="V113" s="408"/>
      <c r="W113" s="405"/>
      <c r="X113" s="474">
        <f t="shared" si="28"/>
        <v>65</v>
      </c>
      <c r="Y113" s="180">
        <f t="shared" si="29"/>
        <v>21</v>
      </c>
      <c r="Z113" s="502">
        <v>51200</v>
      </c>
      <c r="AA113" s="476">
        <f t="shared" si="18"/>
        <v>1075200</v>
      </c>
      <c r="AB113" s="467">
        <f t="shared" si="19"/>
        <v>1.6541538461538461</v>
      </c>
      <c r="AC113" s="180">
        <v>400</v>
      </c>
      <c r="AD113" s="475">
        <f t="shared" si="32"/>
        <v>20500</v>
      </c>
      <c r="AE113" s="476">
        <f t="shared" si="20"/>
        <v>430500</v>
      </c>
      <c r="AF113" s="477">
        <f t="shared" si="21"/>
        <v>0.18834375</v>
      </c>
      <c r="AG113" s="478">
        <f t="shared" si="22"/>
        <v>1.8424975961538461</v>
      </c>
      <c r="AI113" s="351"/>
    </row>
    <row r="114" spans="1:35" ht="18" customHeight="1">
      <c r="A114" s="462"/>
      <c r="B114" s="379">
        <f t="shared" si="12"/>
        <v>75</v>
      </c>
      <c r="C114" s="305"/>
      <c r="D114" s="463">
        <f t="shared" si="13"/>
        <v>0.21875</v>
      </c>
      <c r="E114" s="305"/>
      <c r="F114" s="463">
        <f t="shared" si="14"/>
        <v>0.25000000000000006</v>
      </c>
      <c r="G114" s="306">
        <f t="shared" si="15"/>
        <v>0.1</v>
      </c>
      <c r="H114" s="464"/>
      <c r="I114" s="463">
        <f t="shared" si="16"/>
        <v>0.25800000000000001</v>
      </c>
      <c r="J114" s="465">
        <f t="shared" si="17"/>
        <v>0.8267500000000001</v>
      </c>
      <c r="L114" s="405"/>
      <c r="M114" s="473">
        <f t="shared" si="23"/>
        <v>70</v>
      </c>
      <c r="N114" s="277"/>
      <c r="O114" s="180">
        <f t="shared" si="24"/>
        <v>21</v>
      </c>
      <c r="P114" s="406"/>
      <c r="Q114" s="394">
        <f t="shared" si="31"/>
        <v>38040</v>
      </c>
      <c r="R114" s="277"/>
      <c r="S114" s="407">
        <f t="shared" si="26"/>
        <v>798840</v>
      </c>
      <c r="T114" s="396"/>
      <c r="U114" s="467">
        <f t="shared" si="27"/>
        <v>1.1412</v>
      </c>
      <c r="V114" s="408"/>
      <c r="W114" s="405"/>
      <c r="X114" s="474">
        <f t="shared" si="28"/>
        <v>70</v>
      </c>
      <c r="Y114" s="180">
        <f t="shared" si="29"/>
        <v>21</v>
      </c>
      <c r="Z114" s="502">
        <v>55200</v>
      </c>
      <c r="AA114" s="476">
        <f t="shared" si="18"/>
        <v>1159200</v>
      </c>
      <c r="AB114" s="467">
        <f t="shared" si="19"/>
        <v>1.6559999999999999</v>
      </c>
      <c r="AC114" s="180">
        <v>400</v>
      </c>
      <c r="AD114" s="475">
        <f t="shared" si="32"/>
        <v>20500</v>
      </c>
      <c r="AE114" s="476">
        <f t="shared" si="20"/>
        <v>430500</v>
      </c>
      <c r="AF114" s="477">
        <f t="shared" si="21"/>
        <v>0.18834375</v>
      </c>
      <c r="AG114" s="478">
        <f t="shared" si="22"/>
        <v>1.8443437499999999</v>
      </c>
      <c r="AI114" s="351"/>
    </row>
    <row r="115" spans="1:35" ht="18" customHeight="1">
      <c r="A115" s="462"/>
      <c r="B115" s="379">
        <f t="shared" si="12"/>
        <v>80</v>
      </c>
      <c r="C115" s="305"/>
      <c r="D115" s="463">
        <f t="shared" si="13"/>
        <v>0.21875</v>
      </c>
      <c r="E115" s="305"/>
      <c r="F115" s="463">
        <f t="shared" si="14"/>
        <v>0.25000000000000006</v>
      </c>
      <c r="G115" s="306">
        <f t="shared" si="15"/>
        <v>0.1</v>
      </c>
      <c r="H115" s="464"/>
      <c r="I115" s="463">
        <f t="shared" si="16"/>
        <v>0.25800000000000001</v>
      </c>
      <c r="J115" s="465">
        <f t="shared" si="17"/>
        <v>0.8267500000000001</v>
      </c>
      <c r="L115" s="405"/>
      <c r="M115" s="473">
        <f t="shared" si="23"/>
        <v>75</v>
      </c>
      <c r="N115" s="277"/>
      <c r="O115" s="180">
        <f t="shared" si="24"/>
        <v>21</v>
      </c>
      <c r="P115" s="406"/>
      <c r="Q115" s="394">
        <f t="shared" si="31"/>
        <v>38040</v>
      </c>
      <c r="R115" s="277"/>
      <c r="S115" s="407">
        <f t="shared" si="26"/>
        <v>798840</v>
      </c>
      <c r="T115" s="396"/>
      <c r="U115" s="467">
        <f t="shared" si="27"/>
        <v>1.0651200000000001</v>
      </c>
      <c r="V115" s="408"/>
      <c r="W115" s="405"/>
      <c r="X115" s="474">
        <f t="shared" si="28"/>
        <v>75</v>
      </c>
      <c r="Y115" s="180">
        <f t="shared" si="29"/>
        <v>21</v>
      </c>
      <c r="Z115" s="502">
        <v>59200</v>
      </c>
      <c r="AA115" s="476">
        <f t="shared" si="18"/>
        <v>1243200</v>
      </c>
      <c r="AB115" s="467">
        <f t="shared" si="19"/>
        <v>1.6576</v>
      </c>
      <c r="AC115" s="180">
        <v>400</v>
      </c>
      <c r="AD115" s="475">
        <f t="shared" si="32"/>
        <v>20500</v>
      </c>
      <c r="AE115" s="476">
        <f t="shared" si="20"/>
        <v>430500</v>
      </c>
      <c r="AF115" s="477">
        <f t="shared" si="21"/>
        <v>0.18834375</v>
      </c>
      <c r="AG115" s="478">
        <f t="shared" si="22"/>
        <v>1.84594375</v>
      </c>
      <c r="AI115" s="351"/>
    </row>
    <row r="116" spans="1:35" ht="18" customHeight="1">
      <c r="A116" s="462"/>
      <c r="B116" s="379">
        <f t="shared" si="12"/>
        <v>85</v>
      </c>
      <c r="C116" s="305"/>
      <c r="D116" s="463">
        <f t="shared" si="13"/>
        <v>0.21875</v>
      </c>
      <c r="E116" s="305"/>
      <c r="F116" s="463">
        <f t="shared" si="14"/>
        <v>0.25000000000000006</v>
      </c>
      <c r="G116" s="306">
        <f t="shared" si="15"/>
        <v>0.1</v>
      </c>
      <c r="H116" s="464"/>
      <c r="I116" s="463">
        <f t="shared" si="16"/>
        <v>0.25800000000000001</v>
      </c>
      <c r="J116" s="465">
        <f t="shared" si="17"/>
        <v>0.8267500000000001</v>
      </c>
      <c r="L116" s="405"/>
      <c r="M116" s="473">
        <f t="shared" si="23"/>
        <v>80</v>
      </c>
      <c r="N116" s="277"/>
      <c r="O116" s="180">
        <f t="shared" si="24"/>
        <v>21</v>
      </c>
      <c r="P116" s="406"/>
      <c r="Q116" s="394">
        <f t="shared" si="31"/>
        <v>38040</v>
      </c>
      <c r="R116" s="277"/>
      <c r="S116" s="407">
        <f t="shared" si="26"/>
        <v>798840</v>
      </c>
      <c r="T116" s="396"/>
      <c r="U116" s="467">
        <f t="shared" si="27"/>
        <v>0.99855000000000005</v>
      </c>
      <c r="V116" s="408"/>
      <c r="W116" s="405"/>
      <c r="X116" s="474">
        <f t="shared" si="28"/>
        <v>80</v>
      </c>
      <c r="Y116" s="180">
        <f t="shared" si="29"/>
        <v>21</v>
      </c>
      <c r="Z116" s="502">
        <v>63200</v>
      </c>
      <c r="AA116" s="476">
        <f t="shared" si="18"/>
        <v>1327200</v>
      </c>
      <c r="AB116" s="467">
        <f t="shared" si="19"/>
        <v>1.659</v>
      </c>
      <c r="AC116" s="180">
        <v>400</v>
      </c>
      <c r="AD116" s="475">
        <f t="shared" si="32"/>
        <v>20500</v>
      </c>
      <c r="AE116" s="476">
        <f t="shared" si="20"/>
        <v>430500</v>
      </c>
      <c r="AF116" s="477">
        <f t="shared" si="21"/>
        <v>0.18834375</v>
      </c>
      <c r="AG116" s="478">
        <f t="shared" si="22"/>
        <v>1.8473437500000001</v>
      </c>
      <c r="AI116" s="351"/>
    </row>
    <row r="117" spans="1:35" ht="18" customHeight="1">
      <c r="A117" s="462"/>
      <c r="B117" s="379">
        <f t="shared" si="12"/>
        <v>90</v>
      </c>
      <c r="C117" s="305"/>
      <c r="D117" s="463">
        <f t="shared" si="13"/>
        <v>0.21875</v>
      </c>
      <c r="E117" s="305"/>
      <c r="F117" s="463">
        <f t="shared" si="14"/>
        <v>0.25000000000000006</v>
      </c>
      <c r="G117" s="306">
        <f t="shared" si="15"/>
        <v>0.1</v>
      </c>
      <c r="H117" s="464"/>
      <c r="I117" s="463">
        <f t="shared" si="16"/>
        <v>0.25800000000000001</v>
      </c>
      <c r="J117" s="465">
        <f t="shared" si="17"/>
        <v>0.8267500000000001</v>
      </c>
      <c r="L117" s="405"/>
      <c r="M117" s="473">
        <f t="shared" si="23"/>
        <v>85</v>
      </c>
      <c r="N117" s="277"/>
      <c r="O117" s="180">
        <f t="shared" si="24"/>
        <v>21</v>
      </c>
      <c r="P117" s="406"/>
      <c r="Q117" s="394">
        <f t="shared" si="31"/>
        <v>38040</v>
      </c>
      <c r="R117" s="277"/>
      <c r="S117" s="407">
        <f t="shared" si="26"/>
        <v>798840</v>
      </c>
      <c r="T117" s="396"/>
      <c r="U117" s="467">
        <f t="shared" si="27"/>
        <v>0.93981176470588235</v>
      </c>
      <c r="V117" s="408"/>
      <c r="W117" s="405"/>
      <c r="X117" s="474">
        <f t="shared" si="28"/>
        <v>85</v>
      </c>
      <c r="Y117" s="180">
        <f t="shared" si="29"/>
        <v>21</v>
      </c>
      <c r="Z117" s="502">
        <v>67200</v>
      </c>
      <c r="AA117" s="476">
        <f t="shared" si="18"/>
        <v>1411200</v>
      </c>
      <c r="AB117" s="467">
        <f t="shared" si="19"/>
        <v>1.660235294117647</v>
      </c>
      <c r="AC117" s="180">
        <v>400</v>
      </c>
      <c r="AD117" s="475">
        <f t="shared" si="32"/>
        <v>20500</v>
      </c>
      <c r="AE117" s="476">
        <f t="shared" si="20"/>
        <v>430500</v>
      </c>
      <c r="AF117" s="477">
        <f t="shared" si="21"/>
        <v>0.18834375</v>
      </c>
      <c r="AG117" s="478">
        <f t="shared" si="22"/>
        <v>1.8485790441176471</v>
      </c>
      <c r="AI117" s="351"/>
    </row>
    <row r="118" spans="1:35" ht="18" customHeight="1">
      <c r="A118" s="462"/>
      <c r="B118" s="379">
        <f t="shared" si="12"/>
        <v>95</v>
      </c>
      <c r="C118" s="305"/>
      <c r="D118" s="463">
        <f t="shared" si="13"/>
        <v>0.21875</v>
      </c>
      <c r="E118" s="305"/>
      <c r="F118" s="463">
        <f t="shared" si="14"/>
        <v>0.25000000000000006</v>
      </c>
      <c r="G118" s="306">
        <f t="shared" si="15"/>
        <v>0.1</v>
      </c>
      <c r="H118" s="464"/>
      <c r="I118" s="463">
        <f t="shared" si="16"/>
        <v>0.25800000000000001</v>
      </c>
      <c r="J118" s="465">
        <f t="shared" si="17"/>
        <v>0.8267500000000001</v>
      </c>
      <c r="L118" s="405"/>
      <c r="M118" s="473">
        <f t="shared" si="23"/>
        <v>90</v>
      </c>
      <c r="N118" s="277"/>
      <c r="O118" s="180">
        <f t="shared" si="24"/>
        <v>21</v>
      </c>
      <c r="P118" s="406"/>
      <c r="Q118" s="394">
        <f t="shared" si="31"/>
        <v>38040</v>
      </c>
      <c r="R118" s="277"/>
      <c r="S118" s="407">
        <f t="shared" si="26"/>
        <v>798840</v>
      </c>
      <c r="T118" s="396"/>
      <c r="U118" s="467">
        <f t="shared" si="27"/>
        <v>0.88759999999999994</v>
      </c>
      <c r="V118" s="408"/>
      <c r="W118" s="405"/>
      <c r="X118" s="474">
        <f t="shared" si="28"/>
        <v>90</v>
      </c>
      <c r="Y118" s="180">
        <f t="shared" si="29"/>
        <v>21</v>
      </c>
      <c r="Z118" s="502">
        <v>71200</v>
      </c>
      <c r="AA118" s="476">
        <f t="shared" si="18"/>
        <v>1495200</v>
      </c>
      <c r="AB118" s="467">
        <f t="shared" si="19"/>
        <v>1.6613333333333333</v>
      </c>
      <c r="AC118" s="180">
        <v>400</v>
      </c>
      <c r="AD118" s="475">
        <f t="shared" si="32"/>
        <v>20500</v>
      </c>
      <c r="AE118" s="476">
        <f t="shared" si="20"/>
        <v>430500</v>
      </c>
      <c r="AF118" s="477">
        <f t="shared" si="21"/>
        <v>0.18834375</v>
      </c>
      <c r="AG118" s="478">
        <f t="shared" si="22"/>
        <v>1.8496770833333334</v>
      </c>
      <c r="AI118" s="351"/>
    </row>
    <row r="119" spans="1:35" ht="18" customHeight="1">
      <c r="A119" s="462"/>
      <c r="B119" s="379">
        <f t="shared" si="12"/>
        <v>100</v>
      </c>
      <c r="C119" s="305"/>
      <c r="D119" s="463">
        <f t="shared" si="13"/>
        <v>0.21875</v>
      </c>
      <c r="E119" s="305"/>
      <c r="F119" s="463">
        <f t="shared" si="14"/>
        <v>0.25000000000000006</v>
      </c>
      <c r="G119" s="306">
        <f t="shared" si="15"/>
        <v>0.1</v>
      </c>
      <c r="H119" s="464"/>
      <c r="I119" s="463">
        <f t="shared" si="16"/>
        <v>0.25800000000000001</v>
      </c>
      <c r="J119" s="465">
        <f t="shared" si="17"/>
        <v>0.8267500000000001</v>
      </c>
      <c r="L119" s="405"/>
      <c r="M119" s="473">
        <f t="shared" si="23"/>
        <v>95</v>
      </c>
      <c r="N119" s="277"/>
      <c r="O119" s="180">
        <f t="shared" si="24"/>
        <v>21</v>
      </c>
      <c r="P119" s="406"/>
      <c r="Q119" s="394">
        <f t="shared" si="31"/>
        <v>38040</v>
      </c>
      <c r="R119" s="277"/>
      <c r="S119" s="407">
        <f t="shared" si="26"/>
        <v>798840</v>
      </c>
      <c r="T119" s="396"/>
      <c r="U119" s="467">
        <f t="shared" si="27"/>
        <v>0.84088421052631579</v>
      </c>
      <c r="V119" s="408"/>
      <c r="W119" s="405"/>
      <c r="X119" s="474">
        <f t="shared" si="28"/>
        <v>95</v>
      </c>
      <c r="Y119" s="180">
        <f t="shared" si="29"/>
        <v>21</v>
      </c>
      <c r="Z119" s="502">
        <v>75200</v>
      </c>
      <c r="AA119" s="476">
        <f t="shared" si="18"/>
        <v>1579200</v>
      </c>
      <c r="AB119" s="467">
        <f t="shared" si="19"/>
        <v>1.6623157894736842</v>
      </c>
      <c r="AC119" s="180">
        <v>400</v>
      </c>
      <c r="AD119" s="475">
        <f t="shared" si="32"/>
        <v>20500</v>
      </c>
      <c r="AE119" s="476">
        <f t="shared" si="20"/>
        <v>430500</v>
      </c>
      <c r="AF119" s="477">
        <f t="shared" si="21"/>
        <v>0.18834375</v>
      </c>
      <c r="AG119" s="478">
        <f t="shared" si="22"/>
        <v>1.8506595394736842</v>
      </c>
      <c r="AI119" s="351"/>
    </row>
    <row r="120" spans="1:35" ht="18" customHeight="1">
      <c r="A120" s="462"/>
      <c r="B120" s="379">
        <f t="shared" si="12"/>
        <v>105</v>
      </c>
      <c r="C120" s="305"/>
      <c r="D120" s="463">
        <f t="shared" si="13"/>
        <v>0.21875</v>
      </c>
      <c r="E120" s="305"/>
      <c r="F120" s="463">
        <f t="shared" si="14"/>
        <v>0.25000000000000006</v>
      </c>
      <c r="G120" s="306">
        <f t="shared" si="15"/>
        <v>0.1</v>
      </c>
      <c r="H120" s="464"/>
      <c r="I120" s="463">
        <f t="shared" si="16"/>
        <v>0.25800000000000001</v>
      </c>
      <c r="J120" s="465">
        <f t="shared" si="17"/>
        <v>0.8267500000000001</v>
      </c>
      <c r="L120" s="405"/>
      <c r="M120" s="473">
        <f t="shared" si="23"/>
        <v>100</v>
      </c>
      <c r="N120" s="277"/>
      <c r="O120" s="180">
        <f t="shared" si="24"/>
        <v>21</v>
      </c>
      <c r="P120" s="406"/>
      <c r="Q120" s="394">
        <f t="shared" si="31"/>
        <v>38040</v>
      </c>
      <c r="R120" s="277"/>
      <c r="S120" s="407">
        <f t="shared" si="26"/>
        <v>798840</v>
      </c>
      <c r="T120" s="396"/>
      <c r="U120" s="467">
        <f t="shared" si="27"/>
        <v>0.79883999999999999</v>
      </c>
      <c r="V120" s="408"/>
      <c r="W120" s="405"/>
      <c r="X120" s="474">
        <f t="shared" si="28"/>
        <v>100</v>
      </c>
      <c r="Y120" s="180">
        <f t="shared" si="29"/>
        <v>21</v>
      </c>
      <c r="Z120" s="502">
        <v>79200</v>
      </c>
      <c r="AA120" s="476">
        <f t="shared" si="18"/>
        <v>1663200</v>
      </c>
      <c r="AB120" s="467">
        <f t="shared" si="19"/>
        <v>1.6632</v>
      </c>
      <c r="AC120" s="180">
        <v>400</v>
      </c>
      <c r="AD120" s="475">
        <f t="shared" si="32"/>
        <v>20500</v>
      </c>
      <c r="AE120" s="476">
        <f t="shared" si="20"/>
        <v>430500</v>
      </c>
      <c r="AF120" s="477">
        <f t="shared" si="21"/>
        <v>0.18834375</v>
      </c>
      <c r="AG120" s="478">
        <f t="shared" si="22"/>
        <v>1.85154375</v>
      </c>
      <c r="AI120" s="351"/>
    </row>
    <row r="121" spans="1:35" ht="18" customHeight="1">
      <c r="A121" s="462"/>
      <c r="B121" s="379">
        <f t="shared" si="12"/>
        <v>110</v>
      </c>
      <c r="C121" s="305"/>
      <c r="D121" s="463">
        <f t="shared" si="13"/>
        <v>0.21875</v>
      </c>
      <c r="E121" s="305"/>
      <c r="F121" s="463">
        <f t="shared" si="14"/>
        <v>0.25000000000000006</v>
      </c>
      <c r="G121" s="306">
        <f t="shared" si="15"/>
        <v>0.1</v>
      </c>
      <c r="H121" s="464"/>
      <c r="I121" s="463">
        <f t="shared" si="16"/>
        <v>0.25800000000000001</v>
      </c>
      <c r="J121" s="465">
        <f t="shared" si="17"/>
        <v>0.8267500000000001</v>
      </c>
      <c r="L121" s="405"/>
      <c r="M121" s="473">
        <f t="shared" si="23"/>
        <v>105</v>
      </c>
      <c r="N121" s="277"/>
      <c r="O121" s="180">
        <f t="shared" si="24"/>
        <v>21</v>
      </c>
      <c r="P121" s="406"/>
      <c r="Q121" s="394">
        <f>$V$82</f>
        <v>38440</v>
      </c>
      <c r="R121" s="277"/>
      <c r="S121" s="407">
        <f t="shared" si="26"/>
        <v>807240</v>
      </c>
      <c r="T121" s="396"/>
      <c r="U121" s="467">
        <f t="shared" si="27"/>
        <v>0.76880000000000004</v>
      </c>
      <c r="V121" s="408"/>
      <c r="W121" s="405"/>
      <c r="X121" s="474">
        <f t="shared" si="28"/>
        <v>105</v>
      </c>
      <c r="Y121" s="180">
        <f t="shared" si="29"/>
        <v>21</v>
      </c>
      <c r="Z121" s="475">
        <f>$AG$80</f>
        <v>85000</v>
      </c>
      <c r="AA121" s="476">
        <f t="shared" si="18"/>
        <v>1785000</v>
      </c>
      <c r="AB121" s="467">
        <f t="shared" si="19"/>
        <v>1.7</v>
      </c>
      <c r="AC121" s="180">
        <v>800</v>
      </c>
      <c r="AD121" s="475">
        <f>$AG$89</f>
        <v>29000</v>
      </c>
      <c r="AE121" s="476">
        <f t="shared" si="20"/>
        <v>609000</v>
      </c>
      <c r="AF121" s="477">
        <f t="shared" si="21"/>
        <v>0.13321875</v>
      </c>
      <c r="AG121" s="478">
        <f t="shared" si="22"/>
        <v>1.8332187499999999</v>
      </c>
      <c r="AI121" s="351"/>
    </row>
    <row r="122" spans="1:35" ht="18" customHeight="1">
      <c r="A122" s="462"/>
      <c r="B122" s="379">
        <f t="shared" si="12"/>
        <v>115</v>
      </c>
      <c r="C122" s="305"/>
      <c r="D122" s="463">
        <f t="shared" si="13"/>
        <v>0.21875</v>
      </c>
      <c r="E122" s="305"/>
      <c r="F122" s="463">
        <f t="shared" si="14"/>
        <v>0.25000000000000006</v>
      </c>
      <c r="G122" s="306">
        <f t="shared" si="15"/>
        <v>0.1</v>
      </c>
      <c r="H122" s="464"/>
      <c r="I122" s="463">
        <f t="shared" si="16"/>
        <v>0.25800000000000001</v>
      </c>
      <c r="J122" s="465">
        <f t="shared" si="17"/>
        <v>0.8267500000000001</v>
      </c>
      <c r="L122" s="405"/>
      <c r="M122" s="473">
        <f t="shared" si="23"/>
        <v>110</v>
      </c>
      <c r="N122" s="277"/>
      <c r="O122" s="180">
        <f t="shared" si="24"/>
        <v>21</v>
      </c>
      <c r="P122" s="406"/>
      <c r="Q122" s="394">
        <f>$V$82</f>
        <v>38440</v>
      </c>
      <c r="R122" s="277"/>
      <c r="S122" s="407">
        <f t="shared" si="26"/>
        <v>807240</v>
      </c>
      <c r="T122" s="396"/>
      <c r="U122" s="467">
        <f t="shared" si="27"/>
        <v>0.73385454545454543</v>
      </c>
      <c r="V122" s="408"/>
      <c r="W122" s="405"/>
      <c r="X122" s="474">
        <f t="shared" si="28"/>
        <v>110</v>
      </c>
      <c r="Y122" s="180">
        <f t="shared" si="29"/>
        <v>21</v>
      </c>
      <c r="Z122" s="475">
        <f t="shared" ref="Z122:Z140" si="33">$AG$80</f>
        <v>85000</v>
      </c>
      <c r="AA122" s="476">
        <f t="shared" si="18"/>
        <v>1785000</v>
      </c>
      <c r="AB122" s="467">
        <f t="shared" si="19"/>
        <v>1.6227272727272728</v>
      </c>
      <c r="AC122" s="180">
        <v>800</v>
      </c>
      <c r="AD122" s="475">
        <f t="shared" ref="AD122:AD140" si="34">$AG$89</f>
        <v>29000</v>
      </c>
      <c r="AE122" s="476">
        <f t="shared" si="20"/>
        <v>609000</v>
      </c>
      <c r="AF122" s="477">
        <f t="shared" si="21"/>
        <v>0.13321875</v>
      </c>
      <c r="AG122" s="478">
        <f t="shared" si="22"/>
        <v>1.7559460227272727</v>
      </c>
      <c r="AI122" s="351"/>
    </row>
    <row r="123" spans="1:35" ht="18" customHeight="1">
      <c r="A123" s="462"/>
      <c r="B123" s="379">
        <f t="shared" si="12"/>
        <v>120</v>
      </c>
      <c r="C123" s="305"/>
      <c r="D123" s="463">
        <f t="shared" si="13"/>
        <v>0.21875</v>
      </c>
      <c r="E123" s="305"/>
      <c r="F123" s="463">
        <f t="shared" si="14"/>
        <v>0.25000000000000006</v>
      </c>
      <c r="G123" s="306">
        <f t="shared" si="15"/>
        <v>0.1</v>
      </c>
      <c r="H123" s="464"/>
      <c r="I123" s="463">
        <f t="shared" si="16"/>
        <v>0.25800000000000001</v>
      </c>
      <c r="J123" s="465">
        <f t="shared" si="17"/>
        <v>0.8267500000000001</v>
      </c>
      <c r="L123" s="405"/>
      <c r="M123" s="473">
        <f t="shared" si="23"/>
        <v>115</v>
      </c>
      <c r="N123" s="277"/>
      <c r="O123" s="180">
        <f t="shared" si="24"/>
        <v>21</v>
      </c>
      <c r="P123" s="406"/>
      <c r="Q123" s="394">
        <f>$V$82</f>
        <v>38440</v>
      </c>
      <c r="R123" s="277"/>
      <c r="S123" s="407">
        <f t="shared" si="26"/>
        <v>807240</v>
      </c>
      <c r="T123" s="396"/>
      <c r="U123" s="467">
        <f t="shared" si="27"/>
        <v>0.70194782608695649</v>
      </c>
      <c r="V123" s="408"/>
      <c r="W123" s="405"/>
      <c r="X123" s="474">
        <f t="shared" si="28"/>
        <v>115</v>
      </c>
      <c r="Y123" s="180">
        <f t="shared" si="29"/>
        <v>21</v>
      </c>
      <c r="Z123" s="475">
        <f t="shared" si="33"/>
        <v>85000</v>
      </c>
      <c r="AA123" s="476">
        <f t="shared" si="18"/>
        <v>1785000</v>
      </c>
      <c r="AB123" s="467">
        <f t="shared" si="19"/>
        <v>1.5521739130434782</v>
      </c>
      <c r="AC123" s="180">
        <v>800</v>
      </c>
      <c r="AD123" s="475">
        <f t="shared" si="34"/>
        <v>29000</v>
      </c>
      <c r="AE123" s="476">
        <f t="shared" si="20"/>
        <v>609000</v>
      </c>
      <c r="AF123" s="477">
        <f t="shared" si="21"/>
        <v>0.13321875</v>
      </c>
      <c r="AG123" s="478">
        <f t="shared" si="22"/>
        <v>1.6853926630434781</v>
      </c>
      <c r="AI123" s="351"/>
    </row>
    <row r="124" spans="1:35" ht="18" customHeight="1">
      <c r="A124" s="462"/>
      <c r="B124" s="379">
        <f t="shared" si="12"/>
        <v>125</v>
      </c>
      <c r="C124" s="305"/>
      <c r="D124" s="463">
        <f t="shared" si="13"/>
        <v>0.21875</v>
      </c>
      <c r="E124" s="305"/>
      <c r="F124" s="463">
        <f t="shared" si="14"/>
        <v>0.25000000000000006</v>
      </c>
      <c r="G124" s="306">
        <f t="shared" si="15"/>
        <v>0.1</v>
      </c>
      <c r="H124" s="464"/>
      <c r="I124" s="463">
        <f t="shared" si="16"/>
        <v>0.25800000000000001</v>
      </c>
      <c r="J124" s="465">
        <f t="shared" si="17"/>
        <v>0.8267500000000001</v>
      </c>
      <c r="L124" s="405"/>
      <c r="M124" s="473">
        <f t="shared" si="23"/>
        <v>120</v>
      </c>
      <c r="N124" s="277"/>
      <c r="O124" s="180">
        <f t="shared" si="24"/>
        <v>21</v>
      </c>
      <c r="P124" s="406"/>
      <c r="Q124" s="394">
        <f>$V$82</f>
        <v>38440</v>
      </c>
      <c r="R124" s="277"/>
      <c r="S124" s="407">
        <f t="shared" si="26"/>
        <v>807240</v>
      </c>
      <c r="T124" s="396"/>
      <c r="U124" s="467">
        <f t="shared" si="27"/>
        <v>0.67269999999999996</v>
      </c>
      <c r="V124" s="408"/>
      <c r="W124" s="405"/>
      <c r="X124" s="474">
        <f t="shared" si="28"/>
        <v>120</v>
      </c>
      <c r="Y124" s="180">
        <f t="shared" si="29"/>
        <v>21</v>
      </c>
      <c r="Z124" s="475">
        <f t="shared" si="33"/>
        <v>85000</v>
      </c>
      <c r="AA124" s="476">
        <f t="shared" si="18"/>
        <v>1785000</v>
      </c>
      <c r="AB124" s="467">
        <f t="shared" si="19"/>
        <v>1.4875</v>
      </c>
      <c r="AC124" s="180">
        <v>800</v>
      </c>
      <c r="AD124" s="475">
        <f t="shared" si="34"/>
        <v>29000</v>
      </c>
      <c r="AE124" s="476">
        <f t="shared" si="20"/>
        <v>609000</v>
      </c>
      <c r="AF124" s="477">
        <f t="shared" si="21"/>
        <v>0.13321875</v>
      </c>
      <c r="AG124" s="478">
        <f t="shared" si="22"/>
        <v>1.62071875</v>
      </c>
      <c r="AI124" s="351"/>
    </row>
    <row r="125" spans="1:35" ht="18" customHeight="1">
      <c r="A125" s="462"/>
      <c r="B125" s="379">
        <f t="shared" si="12"/>
        <v>130</v>
      </c>
      <c r="C125" s="305"/>
      <c r="D125" s="463">
        <f t="shared" si="13"/>
        <v>0.21875</v>
      </c>
      <c r="E125" s="305"/>
      <c r="F125" s="463">
        <f t="shared" si="14"/>
        <v>0.25000000000000006</v>
      </c>
      <c r="G125" s="306">
        <f t="shared" si="15"/>
        <v>0.1</v>
      </c>
      <c r="H125" s="464"/>
      <c r="I125" s="463">
        <f t="shared" si="16"/>
        <v>0.25800000000000001</v>
      </c>
      <c r="J125" s="465">
        <f t="shared" si="17"/>
        <v>0.8267500000000001</v>
      </c>
      <c r="L125" s="405"/>
      <c r="M125" s="473">
        <f t="shared" si="23"/>
        <v>125</v>
      </c>
      <c r="N125" s="277"/>
      <c r="O125" s="180">
        <f t="shared" si="24"/>
        <v>21</v>
      </c>
      <c r="P125" s="406"/>
      <c r="Q125" s="394">
        <f>$V$82</f>
        <v>38440</v>
      </c>
      <c r="R125" s="277"/>
      <c r="S125" s="407">
        <f t="shared" si="26"/>
        <v>807240</v>
      </c>
      <c r="T125" s="396"/>
      <c r="U125" s="467">
        <f t="shared" si="27"/>
        <v>0.64579200000000003</v>
      </c>
      <c r="V125" s="408"/>
      <c r="W125" s="405"/>
      <c r="X125" s="474">
        <f t="shared" si="28"/>
        <v>125</v>
      </c>
      <c r="Y125" s="180">
        <f t="shared" si="29"/>
        <v>21</v>
      </c>
      <c r="Z125" s="475">
        <f t="shared" si="33"/>
        <v>85000</v>
      </c>
      <c r="AA125" s="476">
        <f t="shared" si="18"/>
        <v>1785000</v>
      </c>
      <c r="AB125" s="467">
        <f t="shared" si="19"/>
        <v>1.4279999999999999</v>
      </c>
      <c r="AC125" s="180">
        <v>800</v>
      </c>
      <c r="AD125" s="475">
        <f t="shared" si="34"/>
        <v>29000</v>
      </c>
      <c r="AE125" s="476">
        <f t="shared" si="20"/>
        <v>609000</v>
      </c>
      <c r="AF125" s="477">
        <f t="shared" si="21"/>
        <v>0.13321875</v>
      </c>
      <c r="AG125" s="478">
        <f t="shared" si="22"/>
        <v>1.5612187499999999</v>
      </c>
      <c r="AI125" s="351"/>
    </row>
    <row r="126" spans="1:35" ht="18" customHeight="1">
      <c r="A126" s="462"/>
      <c r="B126" s="379">
        <f t="shared" si="12"/>
        <v>135</v>
      </c>
      <c r="C126" s="305"/>
      <c r="D126" s="463">
        <f t="shared" si="13"/>
        <v>0.21875</v>
      </c>
      <c r="E126" s="305"/>
      <c r="F126" s="463">
        <f t="shared" si="14"/>
        <v>0.25000000000000006</v>
      </c>
      <c r="G126" s="306">
        <f t="shared" si="15"/>
        <v>0.1</v>
      </c>
      <c r="H126" s="464"/>
      <c r="I126" s="463">
        <f t="shared" si="16"/>
        <v>0.25800000000000001</v>
      </c>
      <c r="J126" s="465">
        <f t="shared" si="17"/>
        <v>0.8267500000000001</v>
      </c>
      <c r="L126" s="405"/>
      <c r="M126" s="473">
        <f t="shared" si="23"/>
        <v>130</v>
      </c>
      <c r="N126" s="277"/>
      <c r="O126" s="180">
        <f t="shared" si="24"/>
        <v>21</v>
      </c>
      <c r="P126" s="406"/>
      <c r="Q126" s="394">
        <f t="shared" ref="Q126:Q140" si="35">$V$82</f>
        <v>38440</v>
      </c>
      <c r="R126" s="277"/>
      <c r="S126" s="407">
        <f t="shared" si="26"/>
        <v>807240</v>
      </c>
      <c r="T126" s="396"/>
      <c r="U126" s="467">
        <f t="shared" si="27"/>
        <v>0.62095384615384619</v>
      </c>
      <c r="V126" s="408"/>
      <c r="W126" s="405"/>
      <c r="X126" s="474">
        <f t="shared" si="28"/>
        <v>130</v>
      </c>
      <c r="Y126" s="180">
        <f t="shared" si="29"/>
        <v>21</v>
      </c>
      <c r="Z126" s="475">
        <f t="shared" si="33"/>
        <v>85000</v>
      </c>
      <c r="AA126" s="476">
        <f t="shared" si="18"/>
        <v>1785000</v>
      </c>
      <c r="AB126" s="467">
        <f t="shared" si="19"/>
        <v>1.3730769230769231</v>
      </c>
      <c r="AC126" s="180">
        <v>800</v>
      </c>
      <c r="AD126" s="475">
        <f t="shared" si="34"/>
        <v>29000</v>
      </c>
      <c r="AE126" s="476">
        <f t="shared" si="20"/>
        <v>609000</v>
      </c>
      <c r="AF126" s="477">
        <f t="shared" si="21"/>
        <v>0.13321875</v>
      </c>
      <c r="AG126" s="478">
        <f t="shared" si="22"/>
        <v>1.506295673076923</v>
      </c>
      <c r="AI126" s="351"/>
    </row>
    <row r="127" spans="1:35" ht="18" customHeight="1">
      <c r="A127" s="462"/>
      <c r="B127" s="379">
        <f t="shared" si="12"/>
        <v>140</v>
      </c>
      <c r="C127" s="305"/>
      <c r="D127" s="463">
        <f t="shared" si="13"/>
        <v>0.21875</v>
      </c>
      <c r="E127" s="305"/>
      <c r="F127" s="463">
        <f t="shared" si="14"/>
        <v>0.25000000000000006</v>
      </c>
      <c r="G127" s="306">
        <f t="shared" si="15"/>
        <v>0.1</v>
      </c>
      <c r="H127" s="464"/>
      <c r="I127" s="463">
        <f t="shared" si="16"/>
        <v>0.25800000000000001</v>
      </c>
      <c r="J127" s="465">
        <f t="shared" si="17"/>
        <v>0.8267500000000001</v>
      </c>
      <c r="L127" s="405"/>
      <c r="M127" s="473">
        <f t="shared" si="23"/>
        <v>135</v>
      </c>
      <c r="N127" s="277"/>
      <c r="O127" s="180">
        <f t="shared" si="24"/>
        <v>21</v>
      </c>
      <c r="P127" s="406"/>
      <c r="Q127" s="394">
        <f t="shared" si="35"/>
        <v>38440</v>
      </c>
      <c r="R127" s="277"/>
      <c r="S127" s="407">
        <f t="shared" si="26"/>
        <v>807240</v>
      </c>
      <c r="T127" s="396"/>
      <c r="U127" s="467">
        <f t="shared" si="27"/>
        <v>0.59795555555555557</v>
      </c>
      <c r="V127" s="408"/>
      <c r="W127" s="405"/>
      <c r="X127" s="474">
        <f t="shared" si="28"/>
        <v>135</v>
      </c>
      <c r="Y127" s="180">
        <f t="shared" si="29"/>
        <v>21</v>
      </c>
      <c r="Z127" s="475">
        <f t="shared" si="33"/>
        <v>85000</v>
      </c>
      <c r="AA127" s="476">
        <f t="shared" si="18"/>
        <v>1785000</v>
      </c>
      <c r="AB127" s="467">
        <f t="shared" si="19"/>
        <v>1.3222222222222222</v>
      </c>
      <c r="AC127" s="180">
        <v>800</v>
      </c>
      <c r="AD127" s="475">
        <f t="shared" si="34"/>
        <v>29000</v>
      </c>
      <c r="AE127" s="476">
        <f t="shared" si="20"/>
        <v>609000</v>
      </c>
      <c r="AF127" s="477">
        <f t="shared" si="21"/>
        <v>0.13321875</v>
      </c>
      <c r="AG127" s="478">
        <f t="shared" si="22"/>
        <v>1.4554409722222221</v>
      </c>
      <c r="AI127" s="351"/>
    </row>
    <row r="128" spans="1:35" ht="18" customHeight="1">
      <c r="A128" s="462"/>
      <c r="B128" s="379">
        <f t="shared" si="12"/>
        <v>145</v>
      </c>
      <c r="C128" s="305"/>
      <c r="D128" s="463">
        <f t="shared" si="13"/>
        <v>0.21875</v>
      </c>
      <c r="E128" s="305"/>
      <c r="F128" s="463">
        <f t="shared" si="14"/>
        <v>0.25000000000000006</v>
      </c>
      <c r="G128" s="306">
        <f t="shared" si="15"/>
        <v>0.1</v>
      </c>
      <c r="H128" s="464"/>
      <c r="I128" s="463">
        <f t="shared" si="16"/>
        <v>0.25800000000000001</v>
      </c>
      <c r="J128" s="465">
        <f t="shared" si="17"/>
        <v>0.8267500000000001</v>
      </c>
      <c r="L128" s="405"/>
      <c r="M128" s="473">
        <f t="shared" si="23"/>
        <v>140</v>
      </c>
      <c r="N128" s="277"/>
      <c r="O128" s="180">
        <f t="shared" si="24"/>
        <v>21</v>
      </c>
      <c r="P128" s="406"/>
      <c r="Q128" s="394">
        <f t="shared" si="35"/>
        <v>38440</v>
      </c>
      <c r="R128" s="277"/>
      <c r="S128" s="407">
        <f t="shared" si="26"/>
        <v>807240</v>
      </c>
      <c r="T128" s="396"/>
      <c r="U128" s="467">
        <f t="shared" si="27"/>
        <v>0.5766</v>
      </c>
      <c r="V128" s="408"/>
      <c r="W128" s="405"/>
      <c r="X128" s="474">
        <f t="shared" si="28"/>
        <v>140</v>
      </c>
      <c r="Y128" s="180">
        <f t="shared" si="29"/>
        <v>21</v>
      </c>
      <c r="Z128" s="475">
        <f t="shared" si="33"/>
        <v>85000</v>
      </c>
      <c r="AA128" s="476">
        <f t="shared" si="18"/>
        <v>1785000</v>
      </c>
      <c r="AB128" s="467">
        <f t="shared" si="19"/>
        <v>1.2749999999999999</v>
      </c>
      <c r="AC128" s="180">
        <v>800</v>
      </c>
      <c r="AD128" s="475">
        <f t="shared" si="34"/>
        <v>29000</v>
      </c>
      <c r="AE128" s="476">
        <f t="shared" si="20"/>
        <v>609000</v>
      </c>
      <c r="AF128" s="477">
        <f t="shared" si="21"/>
        <v>0.13321875</v>
      </c>
      <c r="AG128" s="478">
        <f t="shared" si="22"/>
        <v>1.4082187499999999</v>
      </c>
      <c r="AI128" s="351"/>
    </row>
    <row r="129" spans="1:35" ht="18" customHeight="1">
      <c r="A129" s="462"/>
      <c r="B129" s="379">
        <f t="shared" si="12"/>
        <v>150</v>
      </c>
      <c r="C129" s="305"/>
      <c r="D129" s="463">
        <f t="shared" si="13"/>
        <v>0.21875</v>
      </c>
      <c r="E129" s="305"/>
      <c r="F129" s="463">
        <f t="shared" si="14"/>
        <v>0.25000000000000006</v>
      </c>
      <c r="G129" s="306">
        <f t="shared" si="15"/>
        <v>0.1</v>
      </c>
      <c r="H129" s="464"/>
      <c r="I129" s="463">
        <f t="shared" si="16"/>
        <v>0.25800000000000001</v>
      </c>
      <c r="J129" s="465">
        <f t="shared" si="17"/>
        <v>0.8267500000000001</v>
      </c>
      <c r="L129" s="405"/>
      <c r="M129" s="473">
        <f t="shared" si="23"/>
        <v>145</v>
      </c>
      <c r="N129" s="277"/>
      <c r="O129" s="180">
        <f t="shared" si="24"/>
        <v>21</v>
      </c>
      <c r="P129" s="406"/>
      <c r="Q129" s="394">
        <f t="shared" si="35"/>
        <v>38440</v>
      </c>
      <c r="R129" s="277"/>
      <c r="S129" s="407">
        <f t="shared" si="26"/>
        <v>807240</v>
      </c>
      <c r="T129" s="396"/>
      <c r="U129" s="467">
        <f t="shared" si="27"/>
        <v>0.55671724137931033</v>
      </c>
      <c r="V129" s="408"/>
      <c r="W129" s="405"/>
      <c r="X129" s="474">
        <f t="shared" si="28"/>
        <v>145</v>
      </c>
      <c r="Y129" s="180">
        <f t="shared" si="29"/>
        <v>21</v>
      </c>
      <c r="Z129" s="475">
        <f t="shared" si="33"/>
        <v>85000</v>
      </c>
      <c r="AA129" s="476">
        <f t="shared" si="18"/>
        <v>1785000</v>
      </c>
      <c r="AB129" s="467">
        <f t="shared" si="19"/>
        <v>1.2310344827586206</v>
      </c>
      <c r="AC129" s="180">
        <v>800</v>
      </c>
      <c r="AD129" s="475">
        <f t="shared" si="34"/>
        <v>29000</v>
      </c>
      <c r="AE129" s="476">
        <f t="shared" si="20"/>
        <v>609000</v>
      </c>
      <c r="AF129" s="477">
        <f t="shared" si="21"/>
        <v>0.13321875</v>
      </c>
      <c r="AG129" s="478">
        <f t="shared" si="22"/>
        <v>1.3642532327586205</v>
      </c>
      <c r="AI129" s="351"/>
    </row>
    <row r="130" spans="1:35" ht="18" customHeight="1">
      <c r="A130" s="462"/>
      <c r="B130" s="379">
        <f t="shared" si="12"/>
        <v>155</v>
      </c>
      <c r="C130" s="305"/>
      <c r="D130" s="463">
        <f t="shared" si="13"/>
        <v>0.21875</v>
      </c>
      <c r="E130" s="305"/>
      <c r="F130" s="463">
        <f t="shared" si="14"/>
        <v>0.25000000000000006</v>
      </c>
      <c r="G130" s="306">
        <f t="shared" si="15"/>
        <v>0.1</v>
      </c>
      <c r="H130" s="464"/>
      <c r="I130" s="463">
        <f t="shared" si="16"/>
        <v>0.25800000000000001</v>
      </c>
      <c r="J130" s="465">
        <f t="shared" si="17"/>
        <v>0.8267500000000001</v>
      </c>
      <c r="L130" s="405"/>
      <c r="M130" s="473">
        <f t="shared" si="23"/>
        <v>150</v>
      </c>
      <c r="N130" s="277"/>
      <c r="O130" s="180">
        <f t="shared" si="24"/>
        <v>21</v>
      </c>
      <c r="P130" s="406"/>
      <c r="Q130" s="394">
        <f t="shared" si="35"/>
        <v>38440</v>
      </c>
      <c r="R130" s="277"/>
      <c r="S130" s="407">
        <f t="shared" si="26"/>
        <v>807240</v>
      </c>
      <c r="T130" s="396"/>
      <c r="U130" s="467">
        <f t="shared" si="27"/>
        <v>0.53815999999999997</v>
      </c>
      <c r="V130" s="408"/>
      <c r="W130" s="405"/>
      <c r="X130" s="474">
        <f t="shared" si="28"/>
        <v>150</v>
      </c>
      <c r="Y130" s="180">
        <f t="shared" si="29"/>
        <v>21</v>
      </c>
      <c r="Z130" s="475">
        <f t="shared" si="33"/>
        <v>85000</v>
      </c>
      <c r="AA130" s="476">
        <f t="shared" si="18"/>
        <v>1785000</v>
      </c>
      <c r="AB130" s="467">
        <f t="shared" si="19"/>
        <v>1.19</v>
      </c>
      <c r="AC130" s="180">
        <v>800</v>
      </c>
      <c r="AD130" s="475">
        <f t="shared" si="34"/>
        <v>29000</v>
      </c>
      <c r="AE130" s="476">
        <f t="shared" si="20"/>
        <v>609000</v>
      </c>
      <c r="AF130" s="477">
        <f t="shared" si="21"/>
        <v>0.13321875</v>
      </c>
      <c r="AG130" s="478">
        <f t="shared" si="22"/>
        <v>1.3232187499999999</v>
      </c>
      <c r="AI130" s="351"/>
    </row>
    <row r="131" spans="1:35" ht="18" customHeight="1">
      <c r="A131" s="462"/>
      <c r="B131" s="379">
        <f t="shared" si="12"/>
        <v>160</v>
      </c>
      <c r="C131" s="305"/>
      <c r="D131" s="463">
        <f t="shared" si="13"/>
        <v>0.21875</v>
      </c>
      <c r="E131" s="305"/>
      <c r="F131" s="463">
        <f t="shared" si="14"/>
        <v>0.25000000000000006</v>
      </c>
      <c r="G131" s="306">
        <f t="shared" si="15"/>
        <v>0.1</v>
      </c>
      <c r="H131" s="464"/>
      <c r="I131" s="463">
        <f t="shared" si="16"/>
        <v>0.25800000000000001</v>
      </c>
      <c r="J131" s="465">
        <f t="shared" si="17"/>
        <v>0.8267500000000001</v>
      </c>
      <c r="L131" s="405"/>
      <c r="M131" s="473">
        <f t="shared" si="23"/>
        <v>155</v>
      </c>
      <c r="N131" s="277"/>
      <c r="O131" s="180">
        <f t="shared" si="24"/>
        <v>21</v>
      </c>
      <c r="P131" s="406"/>
      <c r="Q131" s="394">
        <f t="shared" si="35"/>
        <v>38440</v>
      </c>
      <c r="R131" s="277"/>
      <c r="S131" s="407">
        <f t="shared" si="26"/>
        <v>807240</v>
      </c>
      <c r="T131" s="396"/>
      <c r="U131" s="467">
        <f t="shared" si="27"/>
        <v>0.52080000000000004</v>
      </c>
      <c r="V131" s="408"/>
      <c r="W131" s="405"/>
      <c r="X131" s="474">
        <f t="shared" si="28"/>
        <v>155</v>
      </c>
      <c r="Y131" s="180">
        <f t="shared" si="29"/>
        <v>21</v>
      </c>
      <c r="Z131" s="475">
        <f t="shared" si="33"/>
        <v>85000</v>
      </c>
      <c r="AA131" s="476">
        <f t="shared" si="18"/>
        <v>1785000</v>
      </c>
      <c r="AB131" s="467">
        <f t="shared" si="19"/>
        <v>1.1516129032258065</v>
      </c>
      <c r="AC131" s="180">
        <v>800</v>
      </c>
      <c r="AD131" s="475">
        <f t="shared" si="34"/>
        <v>29000</v>
      </c>
      <c r="AE131" s="476">
        <f t="shared" si="20"/>
        <v>609000</v>
      </c>
      <c r="AF131" s="477">
        <f t="shared" si="21"/>
        <v>0.13321875</v>
      </c>
      <c r="AG131" s="478">
        <f t="shared" si="22"/>
        <v>1.2848316532258064</v>
      </c>
    </row>
    <row r="132" spans="1:35" ht="18" customHeight="1">
      <c r="A132" s="462"/>
      <c r="B132" s="379">
        <f t="shared" si="12"/>
        <v>165</v>
      </c>
      <c r="C132" s="305"/>
      <c r="D132" s="463">
        <f t="shared" si="13"/>
        <v>0.21875</v>
      </c>
      <c r="E132" s="305"/>
      <c r="F132" s="463">
        <f t="shared" si="14"/>
        <v>0.25000000000000006</v>
      </c>
      <c r="G132" s="306">
        <f t="shared" si="15"/>
        <v>0.1</v>
      </c>
      <c r="H132" s="464"/>
      <c r="I132" s="463">
        <f t="shared" si="16"/>
        <v>0.25800000000000001</v>
      </c>
      <c r="J132" s="465">
        <f t="shared" si="17"/>
        <v>0.8267500000000001</v>
      </c>
      <c r="L132" s="405"/>
      <c r="M132" s="473">
        <f t="shared" si="23"/>
        <v>160</v>
      </c>
      <c r="N132" s="277"/>
      <c r="O132" s="180">
        <f t="shared" si="24"/>
        <v>21</v>
      </c>
      <c r="P132" s="406"/>
      <c r="Q132" s="394">
        <f t="shared" si="35"/>
        <v>38440</v>
      </c>
      <c r="R132" s="277"/>
      <c r="S132" s="407">
        <f t="shared" si="26"/>
        <v>807240</v>
      </c>
      <c r="T132" s="396"/>
      <c r="U132" s="467">
        <f t="shared" si="27"/>
        <v>0.504525</v>
      </c>
      <c r="V132" s="408"/>
      <c r="W132" s="405"/>
      <c r="X132" s="474">
        <f t="shared" si="28"/>
        <v>160</v>
      </c>
      <c r="Y132" s="180">
        <f t="shared" si="29"/>
        <v>21</v>
      </c>
      <c r="Z132" s="475">
        <f t="shared" si="33"/>
        <v>85000</v>
      </c>
      <c r="AA132" s="476">
        <f t="shared" si="18"/>
        <v>1785000</v>
      </c>
      <c r="AB132" s="467">
        <f t="shared" si="19"/>
        <v>1.1156250000000001</v>
      </c>
      <c r="AC132" s="180">
        <v>800</v>
      </c>
      <c r="AD132" s="475">
        <f t="shared" si="34"/>
        <v>29000</v>
      </c>
      <c r="AE132" s="476">
        <f t="shared" si="20"/>
        <v>609000</v>
      </c>
      <c r="AF132" s="477">
        <f t="shared" si="21"/>
        <v>0.13321875</v>
      </c>
      <c r="AG132" s="478">
        <f t="shared" si="22"/>
        <v>1.24884375</v>
      </c>
    </row>
    <row r="133" spans="1:35" ht="18" customHeight="1">
      <c r="A133" s="462"/>
      <c r="B133" s="379">
        <f t="shared" si="12"/>
        <v>170</v>
      </c>
      <c r="C133" s="305"/>
      <c r="D133" s="463">
        <f t="shared" si="13"/>
        <v>0.21875</v>
      </c>
      <c r="E133" s="305"/>
      <c r="F133" s="463">
        <f t="shared" si="14"/>
        <v>0.25000000000000006</v>
      </c>
      <c r="G133" s="306">
        <f t="shared" si="15"/>
        <v>0.1</v>
      </c>
      <c r="H133" s="464"/>
      <c r="I133" s="463">
        <f t="shared" si="16"/>
        <v>0.25800000000000001</v>
      </c>
      <c r="J133" s="465">
        <f t="shared" si="17"/>
        <v>0.8267500000000001</v>
      </c>
      <c r="L133" s="405"/>
      <c r="M133" s="473">
        <f t="shared" si="23"/>
        <v>165</v>
      </c>
      <c r="N133" s="277"/>
      <c r="O133" s="180">
        <f t="shared" si="24"/>
        <v>21</v>
      </c>
      <c r="P133" s="406"/>
      <c r="Q133" s="394">
        <f t="shared" si="35"/>
        <v>38440</v>
      </c>
      <c r="R133" s="277"/>
      <c r="S133" s="407">
        <f t="shared" si="26"/>
        <v>807240</v>
      </c>
      <c r="T133" s="396"/>
      <c r="U133" s="467">
        <f t="shared" si="27"/>
        <v>0.48923636363636364</v>
      </c>
      <c r="V133" s="408"/>
      <c r="W133" s="405"/>
      <c r="X133" s="474">
        <f t="shared" si="28"/>
        <v>165</v>
      </c>
      <c r="Y133" s="180">
        <f t="shared" si="29"/>
        <v>21</v>
      </c>
      <c r="Z133" s="475">
        <f t="shared" si="33"/>
        <v>85000</v>
      </c>
      <c r="AA133" s="476">
        <f t="shared" si="18"/>
        <v>1785000</v>
      </c>
      <c r="AB133" s="467">
        <f t="shared" si="19"/>
        <v>1.0818181818181818</v>
      </c>
      <c r="AC133" s="180">
        <v>800</v>
      </c>
      <c r="AD133" s="475">
        <f t="shared" si="34"/>
        <v>29000</v>
      </c>
      <c r="AE133" s="476">
        <f t="shared" si="20"/>
        <v>609000</v>
      </c>
      <c r="AF133" s="477">
        <f t="shared" si="21"/>
        <v>0.13321875</v>
      </c>
      <c r="AG133" s="478">
        <f t="shared" si="22"/>
        <v>1.2150369318181817</v>
      </c>
      <c r="AH133" s="351"/>
    </row>
    <row r="134" spans="1:35" ht="19.5" customHeight="1">
      <c r="A134" s="462"/>
      <c r="B134" s="379">
        <f t="shared" si="12"/>
        <v>175</v>
      </c>
      <c r="C134" s="305"/>
      <c r="D134" s="463">
        <f t="shared" si="13"/>
        <v>0.21875</v>
      </c>
      <c r="E134" s="305"/>
      <c r="F134" s="463">
        <f t="shared" si="14"/>
        <v>0.25000000000000006</v>
      </c>
      <c r="G134" s="306">
        <f t="shared" si="15"/>
        <v>0.1</v>
      </c>
      <c r="H134" s="464"/>
      <c r="I134" s="463">
        <f t="shared" si="16"/>
        <v>0.25800000000000001</v>
      </c>
      <c r="J134" s="465">
        <f t="shared" si="17"/>
        <v>0.8267500000000001</v>
      </c>
      <c r="L134" s="405"/>
      <c r="M134" s="473">
        <f t="shared" si="23"/>
        <v>170</v>
      </c>
      <c r="N134" s="277"/>
      <c r="O134" s="180">
        <f t="shared" si="24"/>
        <v>21</v>
      </c>
      <c r="P134" s="406"/>
      <c r="Q134" s="394">
        <f t="shared" si="35"/>
        <v>38440</v>
      </c>
      <c r="R134" s="277"/>
      <c r="S134" s="407">
        <f t="shared" si="26"/>
        <v>807240</v>
      </c>
      <c r="T134" s="396"/>
      <c r="U134" s="467">
        <f t="shared" si="27"/>
        <v>0.4748470588235294</v>
      </c>
      <c r="V134" s="408"/>
      <c r="W134" s="405"/>
      <c r="X134" s="474">
        <f t="shared" si="28"/>
        <v>170</v>
      </c>
      <c r="Y134" s="180">
        <f t="shared" si="29"/>
        <v>21</v>
      </c>
      <c r="Z134" s="475">
        <f t="shared" si="33"/>
        <v>85000</v>
      </c>
      <c r="AA134" s="476">
        <f t="shared" si="18"/>
        <v>1785000</v>
      </c>
      <c r="AB134" s="467">
        <f t="shared" si="19"/>
        <v>1.05</v>
      </c>
      <c r="AC134" s="180">
        <v>800</v>
      </c>
      <c r="AD134" s="475">
        <f t="shared" si="34"/>
        <v>29000</v>
      </c>
      <c r="AE134" s="476">
        <f t="shared" si="20"/>
        <v>609000</v>
      </c>
      <c r="AF134" s="477">
        <f t="shared" si="21"/>
        <v>0.13321875</v>
      </c>
      <c r="AG134" s="478">
        <f t="shared" si="22"/>
        <v>1.18321875</v>
      </c>
    </row>
    <row r="135" spans="1:35" ht="19.5" customHeight="1">
      <c r="A135" s="462"/>
      <c r="B135" s="379">
        <f t="shared" si="12"/>
        <v>180</v>
      </c>
      <c r="C135" s="305"/>
      <c r="D135" s="463">
        <f t="shared" si="13"/>
        <v>0.21875</v>
      </c>
      <c r="E135" s="305"/>
      <c r="F135" s="463">
        <f t="shared" si="14"/>
        <v>0.25000000000000006</v>
      </c>
      <c r="G135" s="306">
        <f t="shared" si="15"/>
        <v>0.1</v>
      </c>
      <c r="H135" s="464"/>
      <c r="I135" s="463">
        <f t="shared" si="16"/>
        <v>0.25800000000000001</v>
      </c>
      <c r="J135" s="465">
        <f>(D135+F135+G135+I135)</f>
        <v>0.8267500000000001</v>
      </c>
      <c r="L135" s="405"/>
      <c r="M135" s="473">
        <f t="shared" si="23"/>
        <v>175</v>
      </c>
      <c r="N135" s="277"/>
      <c r="O135" s="180">
        <f t="shared" si="24"/>
        <v>21</v>
      </c>
      <c r="P135" s="406"/>
      <c r="Q135" s="394">
        <f t="shared" si="35"/>
        <v>38440</v>
      </c>
      <c r="R135" s="277"/>
      <c r="S135" s="407">
        <f t="shared" si="26"/>
        <v>807240</v>
      </c>
      <c r="T135" s="396"/>
      <c r="U135" s="467">
        <f t="shared" si="27"/>
        <v>0.46128000000000002</v>
      </c>
      <c r="V135" s="408"/>
      <c r="W135" s="405"/>
      <c r="X135" s="474">
        <f t="shared" si="28"/>
        <v>175</v>
      </c>
      <c r="Y135" s="180">
        <f t="shared" si="29"/>
        <v>21</v>
      </c>
      <c r="Z135" s="475">
        <f t="shared" si="33"/>
        <v>85000</v>
      </c>
      <c r="AA135" s="476">
        <f t="shared" si="18"/>
        <v>1785000</v>
      </c>
      <c r="AB135" s="467">
        <f t="shared" si="19"/>
        <v>1.02</v>
      </c>
      <c r="AC135" s="180">
        <v>800</v>
      </c>
      <c r="AD135" s="475">
        <f t="shared" si="34"/>
        <v>29000</v>
      </c>
      <c r="AE135" s="476">
        <f t="shared" si="20"/>
        <v>609000</v>
      </c>
      <c r="AF135" s="477">
        <f t="shared" si="21"/>
        <v>0.13321875</v>
      </c>
      <c r="AG135" s="478">
        <f t="shared" si="22"/>
        <v>1.15321875</v>
      </c>
      <c r="AH135" s="431"/>
    </row>
    <row r="136" spans="1:35" ht="19.5" customHeight="1">
      <c r="A136" s="462"/>
      <c r="B136" s="379">
        <f t="shared" si="12"/>
        <v>185</v>
      </c>
      <c r="C136" s="305"/>
      <c r="D136" s="463">
        <f t="shared" si="13"/>
        <v>0.21875</v>
      </c>
      <c r="E136" s="305"/>
      <c r="F136" s="463">
        <f t="shared" si="14"/>
        <v>0.25000000000000006</v>
      </c>
      <c r="G136" s="306">
        <f t="shared" si="15"/>
        <v>0.1</v>
      </c>
      <c r="H136" s="464"/>
      <c r="I136" s="463">
        <f t="shared" si="16"/>
        <v>0.25800000000000001</v>
      </c>
      <c r="J136" s="465">
        <f>(D136+F136+G136+I136)</f>
        <v>0.8267500000000001</v>
      </c>
      <c r="L136" s="405"/>
      <c r="M136" s="473">
        <f t="shared" si="23"/>
        <v>180</v>
      </c>
      <c r="N136" s="277"/>
      <c r="O136" s="180">
        <f t="shared" si="24"/>
        <v>21</v>
      </c>
      <c r="P136" s="406"/>
      <c r="Q136" s="394">
        <f t="shared" si="35"/>
        <v>38440</v>
      </c>
      <c r="R136" s="277"/>
      <c r="S136" s="407">
        <f>(O136*Q136)</f>
        <v>807240</v>
      </c>
      <c r="T136" s="396"/>
      <c r="U136" s="467">
        <f>(S136*100)/(M136*1000000)</f>
        <v>0.44846666666666668</v>
      </c>
      <c r="V136" s="408"/>
      <c r="W136" s="405"/>
      <c r="X136" s="474">
        <f t="shared" si="28"/>
        <v>180</v>
      </c>
      <c r="Y136" s="180">
        <f t="shared" si="29"/>
        <v>21</v>
      </c>
      <c r="Z136" s="475">
        <f t="shared" si="33"/>
        <v>85000</v>
      </c>
      <c r="AA136" s="476">
        <f>(Y136*Z136)</f>
        <v>1785000</v>
      </c>
      <c r="AB136" s="467">
        <f>(AA136*100)/(X136*1000000)</f>
        <v>0.9916666666666667</v>
      </c>
      <c r="AC136" s="180">
        <v>800</v>
      </c>
      <c r="AD136" s="475">
        <f t="shared" si="34"/>
        <v>29000</v>
      </c>
      <c r="AE136" s="476">
        <f>(Y136*AD136)</f>
        <v>609000</v>
      </c>
      <c r="AF136" s="477">
        <f>(AE136*100)/(AC136*1000000)*(Y136/12)</f>
        <v>0.13321875</v>
      </c>
      <c r="AG136" s="478">
        <f>AB136+AF136</f>
        <v>1.1248854166666666</v>
      </c>
      <c r="AH136" s="431"/>
    </row>
    <row r="137" spans="1:35" ht="19.5" customHeight="1">
      <c r="A137" s="462"/>
      <c r="B137" s="379">
        <f t="shared" si="12"/>
        <v>190</v>
      </c>
      <c r="C137" s="305"/>
      <c r="D137" s="463">
        <f t="shared" si="13"/>
        <v>0.21875</v>
      </c>
      <c r="E137" s="305"/>
      <c r="F137" s="463">
        <f t="shared" si="14"/>
        <v>0.25000000000000006</v>
      </c>
      <c r="G137" s="306">
        <f t="shared" si="15"/>
        <v>0.1</v>
      </c>
      <c r="H137" s="464"/>
      <c r="I137" s="463">
        <f t="shared" si="16"/>
        <v>0.25800000000000001</v>
      </c>
      <c r="J137" s="465">
        <f>(D137+F137+G137+I137)</f>
        <v>0.8267500000000001</v>
      </c>
      <c r="L137" s="479"/>
      <c r="M137" s="473">
        <f t="shared" si="23"/>
        <v>185</v>
      </c>
      <c r="N137" s="277"/>
      <c r="O137" s="180">
        <f t="shared" si="24"/>
        <v>21</v>
      </c>
      <c r="P137" s="406"/>
      <c r="Q137" s="394">
        <f t="shared" si="35"/>
        <v>38440</v>
      </c>
      <c r="R137" s="277"/>
      <c r="S137" s="407">
        <f>(O137*Q137)</f>
        <v>807240</v>
      </c>
      <c r="T137" s="396"/>
      <c r="U137" s="467">
        <f>(S137*100)/(M137*1000000)</f>
        <v>0.43634594594594595</v>
      </c>
      <c r="V137" s="408"/>
      <c r="W137" s="479"/>
      <c r="X137" s="474">
        <f t="shared" si="28"/>
        <v>185</v>
      </c>
      <c r="Y137" s="180">
        <f t="shared" si="29"/>
        <v>21</v>
      </c>
      <c r="Z137" s="475">
        <f t="shared" si="33"/>
        <v>85000</v>
      </c>
      <c r="AA137" s="476">
        <f>(Y137*Z137)</f>
        <v>1785000</v>
      </c>
      <c r="AB137" s="467">
        <f>(AA137*100)/(X137*1000000)</f>
        <v>0.96486486486486489</v>
      </c>
      <c r="AC137" s="180">
        <v>800</v>
      </c>
      <c r="AD137" s="475">
        <f t="shared" si="34"/>
        <v>29000</v>
      </c>
      <c r="AE137" s="476">
        <f>(Y137*AD137)</f>
        <v>609000</v>
      </c>
      <c r="AF137" s="477">
        <f>(AE137*100)/(AC137*1000000)*(Y137/12)</f>
        <v>0.13321875</v>
      </c>
      <c r="AG137" s="478">
        <f>AB137+AF137</f>
        <v>1.0980836148648649</v>
      </c>
      <c r="AH137" s="431"/>
    </row>
    <row r="138" spans="1:35" ht="19.5" customHeight="1">
      <c r="A138" s="462"/>
      <c r="B138" s="379">
        <f t="shared" si="12"/>
        <v>195</v>
      </c>
      <c r="C138" s="305"/>
      <c r="D138" s="463">
        <f t="shared" si="13"/>
        <v>0.21875</v>
      </c>
      <c r="E138" s="305"/>
      <c r="F138" s="463">
        <f t="shared" si="14"/>
        <v>0.25000000000000006</v>
      </c>
      <c r="G138" s="306">
        <f t="shared" si="15"/>
        <v>0.1</v>
      </c>
      <c r="H138" s="464"/>
      <c r="I138" s="463">
        <f t="shared" si="16"/>
        <v>0.25800000000000001</v>
      </c>
      <c r="J138" s="465">
        <f>(D138+F138+G138+I138)</f>
        <v>0.8267500000000001</v>
      </c>
      <c r="L138" s="479"/>
      <c r="M138" s="473">
        <f t="shared" si="23"/>
        <v>190</v>
      </c>
      <c r="N138" s="277"/>
      <c r="O138" s="180">
        <f t="shared" si="24"/>
        <v>21</v>
      </c>
      <c r="P138" s="406"/>
      <c r="Q138" s="394">
        <f t="shared" si="35"/>
        <v>38440</v>
      </c>
      <c r="R138" s="277"/>
      <c r="S138" s="407">
        <f>(O138*Q138)</f>
        <v>807240</v>
      </c>
      <c r="T138" s="396"/>
      <c r="U138" s="467">
        <f>(S138*100)/(M138*1000000)</f>
        <v>0.42486315789473683</v>
      </c>
      <c r="V138" s="408"/>
      <c r="W138" s="479"/>
      <c r="X138" s="474">
        <f t="shared" si="28"/>
        <v>190</v>
      </c>
      <c r="Y138" s="180">
        <f t="shared" si="29"/>
        <v>21</v>
      </c>
      <c r="Z138" s="475">
        <f t="shared" si="33"/>
        <v>85000</v>
      </c>
      <c r="AA138" s="476">
        <f>(Y138*Z138)</f>
        <v>1785000</v>
      </c>
      <c r="AB138" s="467">
        <f>(AA138*100)/(X138*1000000)</f>
        <v>0.93947368421052635</v>
      </c>
      <c r="AC138" s="180">
        <v>800</v>
      </c>
      <c r="AD138" s="475">
        <f t="shared" si="34"/>
        <v>29000</v>
      </c>
      <c r="AE138" s="476">
        <f>(Y138*AD138)</f>
        <v>609000</v>
      </c>
      <c r="AF138" s="477">
        <f>(AE138*100)/(AC138*1000000)*(Y138/12)</f>
        <v>0.13321875</v>
      </c>
      <c r="AG138" s="478">
        <f>AB138+AF138</f>
        <v>1.0726924342105264</v>
      </c>
      <c r="AH138" s="431"/>
    </row>
    <row r="139" spans="1:35" ht="19.5" customHeight="1">
      <c r="A139" s="480" t="s">
        <v>511</v>
      </c>
      <c r="B139" s="348">
        <f>B47</f>
        <v>200</v>
      </c>
      <c r="C139" s="310"/>
      <c r="D139" s="481">
        <f t="shared" si="13"/>
        <v>0.21875</v>
      </c>
      <c r="E139" s="310"/>
      <c r="F139" s="481">
        <f t="shared" si="14"/>
        <v>0.25000000000000006</v>
      </c>
      <c r="G139" s="311">
        <f t="shared" si="15"/>
        <v>0.1</v>
      </c>
      <c r="H139" s="482"/>
      <c r="I139" s="481">
        <f t="shared" si="16"/>
        <v>0.25800000000000001</v>
      </c>
      <c r="J139" s="483">
        <f>(D139+F139+G139+I139)</f>
        <v>0.8267500000000001</v>
      </c>
      <c r="L139" s="405"/>
      <c r="M139" s="473">
        <f t="shared" si="23"/>
        <v>195</v>
      </c>
      <c r="N139" s="277"/>
      <c r="O139" s="180">
        <f t="shared" si="24"/>
        <v>21</v>
      </c>
      <c r="P139" s="406"/>
      <c r="Q139" s="394">
        <f t="shared" si="35"/>
        <v>38440</v>
      </c>
      <c r="R139" s="277"/>
      <c r="S139" s="407">
        <f>(O139*Q139)</f>
        <v>807240</v>
      </c>
      <c r="T139" s="396"/>
      <c r="U139" s="467">
        <f>(S139*100)/(M139*1000000)</f>
        <v>0.41396923076923076</v>
      </c>
      <c r="V139" s="408"/>
      <c r="W139" s="479"/>
      <c r="X139" s="474">
        <f t="shared" si="28"/>
        <v>195</v>
      </c>
      <c r="Y139" s="180">
        <f t="shared" si="29"/>
        <v>21</v>
      </c>
      <c r="Z139" s="475">
        <f t="shared" si="33"/>
        <v>85000</v>
      </c>
      <c r="AA139" s="476">
        <f>(Y139*Z139)</f>
        <v>1785000</v>
      </c>
      <c r="AB139" s="467">
        <f>(AA139*100)/(X139*1000000)</f>
        <v>0.91538461538461535</v>
      </c>
      <c r="AC139" s="180">
        <v>800</v>
      </c>
      <c r="AD139" s="475">
        <f t="shared" si="34"/>
        <v>29000</v>
      </c>
      <c r="AE139" s="476">
        <f>(Y139*AD139)</f>
        <v>609000</v>
      </c>
      <c r="AF139" s="477">
        <f>(AE139*100)/(AC139*1000000)*(Y139/12)</f>
        <v>0.13321875</v>
      </c>
      <c r="AG139" s="478">
        <f>AB139+AF139</f>
        <v>1.0486033653846154</v>
      </c>
      <c r="AH139" s="431"/>
    </row>
    <row r="140" spans="1:35" ht="19.5" customHeight="1">
      <c r="A140" s="210" t="s">
        <v>403</v>
      </c>
      <c r="B140" s="210"/>
      <c r="C140" s="210"/>
      <c r="D140" s="210"/>
      <c r="E140" s="210"/>
      <c r="F140" s="210"/>
      <c r="G140" s="210"/>
      <c r="H140" s="210"/>
      <c r="I140" s="210"/>
      <c r="J140" s="210"/>
      <c r="L140" s="418" t="s">
        <v>511</v>
      </c>
      <c r="M140" s="484">
        <f t="shared" si="23"/>
        <v>200</v>
      </c>
      <c r="N140" s="420"/>
      <c r="O140" s="288">
        <f t="shared" si="24"/>
        <v>21</v>
      </c>
      <c r="P140" s="421"/>
      <c r="Q140" s="422">
        <f t="shared" si="35"/>
        <v>38440</v>
      </c>
      <c r="R140" s="421"/>
      <c r="S140" s="423">
        <f>(O140*Q140)</f>
        <v>807240</v>
      </c>
      <c r="T140" s="424"/>
      <c r="U140" s="485">
        <f>(S140*100)/(M140*1000000)</f>
        <v>0.40361999999999998</v>
      </c>
      <c r="V140" s="425"/>
      <c r="W140" s="418" t="s">
        <v>511</v>
      </c>
      <c r="X140" s="486">
        <f t="shared" si="28"/>
        <v>200</v>
      </c>
      <c r="Y140" s="288">
        <f t="shared" si="29"/>
        <v>21</v>
      </c>
      <c r="Z140" s="487">
        <f t="shared" si="33"/>
        <v>85000</v>
      </c>
      <c r="AA140" s="488">
        <f>(Y140*Z140)</f>
        <v>1785000</v>
      </c>
      <c r="AB140" s="485">
        <f>(AA140*100)/(X140*1000000)</f>
        <v>0.89249999999999996</v>
      </c>
      <c r="AC140" s="288">
        <v>800</v>
      </c>
      <c r="AD140" s="487">
        <f t="shared" si="34"/>
        <v>29000</v>
      </c>
      <c r="AE140" s="488">
        <f>(Y140*AD140)</f>
        <v>609000</v>
      </c>
      <c r="AF140" s="489">
        <f>(AE140*100)/(AC140*1000000)*(Y140/12)</f>
        <v>0.13321875</v>
      </c>
      <c r="AG140" s="490">
        <f>AB140+AF140</f>
        <v>1.02571875</v>
      </c>
      <c r="AH140" s="431"/>
    </row>
    <row r="141" spans="1:35" ht="19.5" customHeight="1">
      <c r="A141" s="210" t="s">
        <v>403</v>
      </c>
      <c r="B141" s="210"/>
      <c r="C141" s="210"/>
      <c r="D141" s="210"/>
      <c r="E141" s="210"/>
      <c r="F141" s="210"/>
      <c r="G141" s="210"/>
      <c r="H141" s="210"/>
      <c r="I141" s="210"/>
      <c r="J141" s="210"/>
      <c r="M141" s="343"/>
      <c r="N141" s="343"/>
      <c r="O141" s="343"/>
      <c r="P141" s="343"/>
      <c r="Q141" s="343"/>
      <c r="AH141" s="431"/>
    </row>
    <row r="142" spans="1:35" ht="19.5" customHeight="1">
      <c r="A142" s="210" t="s">
        <v>403</v>
      </c>
      <c r="B142" s="210"/>
      <c r="C142" s="210"/>
      <c r="D142" s="210"/>
      <c r="E142" s="210"/>
      <c r="F142" s="210"/>
      <c r="G142" s="210"/>
      <c r="H142" s="210"/>
      <c r="I142" s="210"/>
      <c r="J142" s="210"/>
      <c r="M142" s="343"/>
      <c r="N142" s="343"/>
      <c r="O142" s="343"/>
      <c r="P142" s="343"/>
      <c r="Q142" s="343"/>
      <c r="AH142" s="431"/>
    </row>
    <row r="143" spans="1:35" ht="19.5" customHeight="1">
      <c r="A143" s="210" t="s">
        <v>403</v>
      </c>
      <c r="B143" s="210"/>
      <c r="C143" s="210"/>
      <c r="D143" s="210"/>
      <c r="E143" s="210"/>
      <c r="F143" s="210"/>
      <c r="G143" s="210"/>
      <c r="H143" s="210"/>
      <c r="I143" s="210"/>
      <c r="J143" s="210"/>
      <c r="M143" s="343"/>
      <c r="N143" s="343"/>
      <c r="O143" s="343"/>
      <c r="P143" s="343"/>
      <c r="Q143" s="343"/>
      <c r="AH143" s="431"/>
    </row>
    <row r="144" spans="1:35" ht="19.5" customHeight="1">
      <c r="A144" s="210" t="s">
        <v>403</v>
      </c>
      <c r="B144" s="210"/>
      <c r="C144" s="210"/>
      <c r="D144" s="210"/>
      <c r="E144" s="210"/>
      <c r="F144" s="210"/>
      <c r="G144" s="210"/>
      <c r="H144" s="210"/>
      <c r="I144" s="210"/>
      <c r="J144" s="210"/>
      <c r="M144" s="343"/>
      <c r="N144" s="343"/>
      <c r="O144" s="343"/>
      <c r="P144" s="343"/>
      <c r="Q144" s="343"/>
      <c r="AH144" s="431"/>
    </row>
    <row r="145" spans="1:34" ht="19.5" customHeight="1">
      <c r="A145" s="210" t="s">
        <v>403</v>
      </c>
      <c r="B145" s="210"/>
      <c r="C145" s="210"/>
      <c r="D145" s="210"/>
      <c r="E145" s="210"/>
      <c r="F145" s="210"/>
      <c r="G145" s="210"/>
      <c r="H145" s="210"/>
      <c r="I145" s="210"/>
      <c r="J145" s="210"/>
      <c r="M145" s="343"/>
      <c r="N145" s="343"/>
      <c r="O145" s="343"/>
      <c r="P145" s="343"/>
      <c r="Q145" s="343"/>
      <c r="AH145" s="431"/>
    </row>
    <row r="146" spans="1:34" ht="19.5" customHeight="1">
      <c r="A146" s="210" t="s">
        <v>403</v>
      </c>
      <c r="B146" s="210"/>
      <c r="C146" s="210"/>
      <c r="D146" s="210"/>
      <c r="E146" s="210"/>
      <c r="F146" s="210"/>
      <c r="G146" s="210"/>
      <c r="H146" s="210"/>
      <c r="I146" s="210"/>
      <c r="J146" s="210"/>
      <c r="M146" s="343"/>
      <c r="N146" s="343"/>
      <c r="O146" s="343"/>
      <c r="P146" s="343"/>
      <c r="Q146" s="343"/>
      <c r="AH146" s="431"/>
    </row>
    <row r="147" spans="1:34" ht="19.5" customHeight="1">
      <c r="A147" s="210" t="s">
        <v>403</v>
      </c>
      <c r="B147" s="210"/>
      <c r="C147" s="210"/>
      <c r="D147" s="210"/>
      <c r="E147" s="210"/>
      <c r="F147" s="210"/>
      <c r="G147" s="210"/>
      <c r="H147" s="210"/>
      <c r="I147" s="210"/>
      <c r="J147" s="210"/>
      <c r="M147" s="343"/>
      <c r="N147" s="343"/>
      <c r="O147" s="343"/>
      <c r="P147" s="343"/>
      <c r="Q147" s="343"/>
      <c r="AH147" s="431"/>
    </row>
    <row r="148" spans="1:34" ht="19.5" customHeight="1">
      <c r="A148" s="210" t="s">
        <v>403</v>
      </c>
      <c r="B148" s="210"/>
      <c r="C148" s="210"/>
      <c r="D148" s="210"/>
      <c r="E148" s="210"/>
      <c r="F148" s="210"/>
      <c r="G148" s="210"/>
      <c r="H148" s="210"/>
      <c r="I148" s="210"/>
      <c r="J148" s="210"/>
      <c r="M148" s="343"/>
      <c r="N148" s="343"/>
      <c r="O148" s="343"/>
      <c r="P148" s="343"/>
      <c r="Q148" s="343"/>
      <c r="AH148" s="431"/>
    </row>
    <row r="149" spans="1:34" ht="19.5" customHeight="1">
      <c r="A149" s="210" t="s">
        <v>403</v>
      </c>
      <c r="B149" s="210"/>
      <c r="C149" s="210"/>
      <c r="D149" s="210"/>
      <c r="E149" s="210"/>
      <c r="F149" s="210"/>
      <c r="G149" s="210"/>
      <c r="H149" s="210"/>
      <c r="I149" s="210"/>
      <c r="J149" s="210"/>
      <c r="M149" s="343"/>
      <c r="N149" s="343"/>
      <c r="O149" s="343"/>
      <c r="P149" s="343"/>
      <c r="Q149" s="343"/>
      <c r="AH149" s="431"/>
    </row>
    <row r="150" spans="1:34" ht="19.5" customHeight="1">
      <c r="A150" s="210" t="s">
        <v>403</v>
      </c>
      <c r="B150" s="210"/>
      <c r="C150" s="210"/>
      <c r="D150" s="210"/>
      <c r="E150" s="210"/>
      <c r="F150" s="210"/>
      <c r="G150" s="210"/>
      <c r="H150" s="210"/>
      <c r="I150" s="210"/>
      <c r="J150" s="210"/>
      <c r="M150" s="343"/>
      <c r="N150" s="343"/>
      <c r="O150" s="343"/>
      <c r="P150" s="343"/>
      <c r="Q150" s="343"/>
      <c r="AH150" s="431"/>
    </row>
    <row r="151" spans="1:34" ht="19.5" customHeight="1">
      <c r="A151" s="210" t="s">
        <v>403</v>
      </c>
      <c r="B151" s="210"/>
      <c r="C151" s="210"/>
      <c r="D151" s="210"/>
      <c r="E151" s="210"/>
      <c r="F151" s="210"/>
      <c r="G151" s="210"/>
      <c r="H151" s="210"/>
      <c r="I151" s="210"/>
      <c r="J151" s="210"/>
      <c r="M151" s="343"/>
      <c r="N151" s="343"/>
      <c r="O151" s="343"/>
      <c r="P151" s="343"/>
      <c r="Q151" s="343"/>
      <c r="AH151" s="431"/>
    </row>
    <row r="152" spans="1:34" ht="19.5" customHeight="1">
      <c r="A152" s="210" t="s">
        <v>403</v>
      </c>
      <c r="B152" s="210"/>
      <c r="C152" s="210"/>
      <c r="D152" s="210"/>
      <c r="E152" s="210"/>
      <c r="F152" s="210"/>
      <c r="G152" s="210"/>
      <c r="H152" s="210"/>
      <c r="I152" s="210"/>
      <c r="J152" s="210"/>
      <c r="M152" s="343"/>
      <c r="N152" s="343"/>
      <c r="O152" s="343"/>
      <c r="P152" s="343"/>
      <c r="Q152" s="343"/>
      <c r="AH152" s="432"/>
    </row>
    <row r="153" spans="1:34" ht="19.5" customHeight="1">
      <c r="A153" s="210" t="s">
        <v>403</v>
      </c>
      <c r="B153" s="210"/>
      <c r="C153" s="210"/>
      <c r="D153" s="210"/>
      <c r="E153" s="210"/>
      <c r="F153" s="210"/>
      <c r="G153" s="210"/>
      <c r="H153" s="210"/>
      <c r="I153" s="210"/>
      <c r="J153" s="210"/>
      <c r="M153" s="343"/>
      <c r="N153" s="343"/>
      <c r="O153" s="343"/>
      <c r="P153" s="343"/>
      <c r="Q153" s="343"/>
    </row>
    <row r="154" spans="1:34" ht="19.5" customHeight="1">
      <c r="A154" s="210" t="s">
        <v>403</v>
      </c>
      <c r="B154" s="210"/>
      <c r="C154" s="210"/>
      <c r="D154" s="210"/>
      <c r="E154" s="210"/>
      <c r="F154" s="210"/>
      <c r="G154" s="210"/>
      <c r="H154" s="210"/>
      <c r="I154" s="210"/>
      <c r="J154" s="210"/>
      <c r="M154" s="343"/>
      <c r="N154" s="343"/>
      <c r="O154" s="343"/>
      <c r="P154" s="343"/>
      <c r="Q154" s="343"/>
      <c r="AH154" s="431"/>
    </row>
    <row r="155" spans="1:34" ht="19.5" customHeight="1">
      <c r="A155" s="210" t="s">
        <v>403</v>
      </c>
      <c r="B155" s="210"/>
      <c r="C155" s="210"/>
      <c r="D155" s="210"/>
      <c r="E155" s="210"/>
      <c r="F155" s="210"/>
      <c r="G155" s="210"/>
      <c r="H155" s="210"/>
      <c r="I155" s="210"/>
      <c r="J155" s="210"/>
      <c r="AH155" s="431"/>
    </row>
    <row r="156" spans="1:34" ht="19.5" customHeight="1">
      <c r="A156" s="210" t="s">
        <v>403</v>
      </c>
      <c r="B156" s="210"/>
      <c r="C156" s="210"/>
      <c r="D156" s="210"/>
      <c r="E156" s="210"/>
      <c r="F156" s="210"/>
      <c r="G156" s="210"/>
      <c r="H156" s="210"/>
      <c r="I156" s="210"/>
      <c r="J156" s="210"/>
      <c r="AH156" s="431"/>
    </row>
    <row r="157" spans="1:34" ht="19.5" customHeight="1">
      <c r="A157" s="210" t="s">
        <v>403</v>
      </c>
      <c r="B157" s="210"/>
      <c r="C157" s="210"/>
      <c r="D157" s="210"/>
      <c r="E157" s="210"/>
      <c r="F157" s="210"/>
      <c r="G157" s="210"/>
      <c r="H157" s="210"/>
      <c r="I157" s="210"/>
      <c r="J157" s="210"/>
      <c r="AH157" s="431"/>
    </row>
    <row r="158" spans="1:34" ht="19.5" customHeight="1">
      <c r="A158" s="210" t="s">
        <v>403</v>
      </c>
      <c r="B158" s="210"/>
      <c r="C158" s="210"/>
      <c r="D158" s="210"/>
      <c r="E158" s="210"/>
      <c r="F158" s="210"/>
      <c r="G158" s="210"/>
      <c r="H158" s="210"/>
      <c r="I158" s="210"/>
      <c r="J158" s="210"/>
      <c r="AH158" s="431"/>
    </row>
    <row r="159" spans="1:34" ht="19.5" customHeight="1">
      <c r="A159" s="210" t="s">
        <v>403</v>
      </c>
      <c r="B159" s="210"/>
      <c r="C159" s="210"/>
      <c r="D159" s="210"/>
      <c r="E159" s="210"/>
      <c r="F159" s="210"/>
      <c r="G159" s="210"/>
      <c r="H159" s="210"/>
      <c r="I159" s="210"/>
      <c r="J159" s="210"/>
      <c r="AH159" s="431"/>
    </row>
    <row r="160" spans="1:34" ht="19.5" customHeight="1">
      <c r="A160" s="210" t="s">
        <v>403</v>
      </c>
      <c r="B160" s="210"/>
      <c r="C160" s="210"/>
      <c r="D160" s="210"/>
      <c r="E160" s="210"/>
      <c r="F160" s="210"/>
      <c r="G160" s="210"/>
      <c r="H160" s="210"/>
      <c r="I160" s="210"/>
      <c r="J160" s="210"/>
      <c r="AH160" s="431"/>
    </row>
    <row r="161" spans="1:34" ht="19.5" customHeight="1">
      <c r="A161" s="210" t="s">
        <v>403</v>
      </c>
      <c r="B161" s="210"/>
      <c r="C161" s="210"/>
      <c r="D161" s="210"/>
      <c r="E161" s="210"/>
      <c r="F161" s="210"/>
      <c r="G161" s="210"/>
      <c r="H161" s="210"/>
      <c r="I161" s="210"/>
      <c r="J161" s="210"/>
      <c r="AH161" s="432"/>
    </row>
    <row r="162" spans="1:34" ht="19.5" customHeight="1">
      <c r="A162" s="210" t="s">
        <v>403</v>
      </c>
      <c r="B162" s="210"/>
      <c r="C162" s="210"/>
      <c r="D162" s="210"/>
      <c r="E162" s="210"/>
      <c r="F162" s="210"/>
      <c r="G162" s="210"/>
      <c r="H162" s="210"/>
      <c r="I162" s="210"/>
      <c r="J162" s="210"/>
    </row>
    <row r="163" spans="1:34" ht="19.5" customHeight="1">
      <c r="A163" s="210" t="s">
        <v>403</v>
      </c>
      <c r="B163" s="210"/>
      <c r="C163" s="210"/>
      <c r="D163" s="210"/>
      <c r="E163" s="210"/>
      <c r="F163" s="210"/>
      <c r="G163" s="210"/>
      <c r="H163" s="210"/>
      <c r="I163" s="210"/>
      <c r="J163" s="210"/>
    </row>
    <row r="164" spans="1:34" ht="19.5" customHeight="1">
      <c r="A164" s="210" t="s">
        <v>403</v>
      </c>
      <c r="B164" s="210"/>
      <c r="C164" s="210"/>
      <c r="D164" s="210"/>
      <c r="E164" s="210"/>
      <c r="F164" s="210"/>
      <c r="G164" s="210"/>
      <c r="H164" s="210"/>
      <c r="I164" s="210"/>
      <c r="J164" s="210"/>
    </row>
    <row r="165" spans="1:34" ht="19.5" customHeight="1">
      <c r="A165" s="210" t="s">
        <v>403</v>
      </c>
      <c r="B165" s="210"/>
      <c r="C165" s="210"/>
      <c r="D165" s="210"/>
      <c r="E165" s="210"/>
      <c r="F165" s="210"/>
      <c r="G165" s="210"/>
      <c r="H165" s="210"/>
      <c r="I165" s="210"/>
      <c r="J165" s="210"/>
    </row>
    <row r="166" spans="1:34" ht="19.5" customHeight="1">
      <c r="A166" s="210" t="s">
        <v>403</v>
      </c>
      <c r="B166" s="210"/>
      <c r="C166" s="210"/>
      <c r="D166" s="210"/>
      <c r="E166" s="210"/>
      <c r="F166" s="210"/>
      <c r="G166" s="210"/>
      <c r="H166" s="210"/>
      <c r="I166" s="210"/>
      <c r="J166" s="210"/>
    </row>
    <row r="167" spans="1:34" ht="19.5" customHeight="1">
      <c r="A167" s="210" t="s">
        <v>403</v>
      </c>
      <c r="B167" s="210"/>
      <c r="C167" s="210"/>
      <c r="D167" s="210"/>
      <c r="E167" s="210"/>
      <c r="F167" s="210"/>
      <c r="G167" s="210"/>
      <c r="H167" s="210"/>
      <c r="I167" s="210"/>
      <c r="J167" s="210"/>
    </row>
    <row r="168" spans="1:34" ht="19.5" customHeight="1">
      <c r="A168" s="210" t="s">
        <v>403</v>
      </c>
      <c r="B168" s="210"/>
      <c r="C168" s="210"/>
      <c r="D168" s="210"/>
      <c r="E168" s="210"/>
      <c r="F168" s="210"/>
      <c r="G168" s="210"/>
      <c r="H168" s="210"/>
      <c r="I168" s="210"/>
      <c r="J168" s="210"/>
    </row>
    <row r="169" spans="1:34" ht="19.5" customHeight="1">
      <c r="A169" s="210" t="s">
        <v>403</v>
      </c>
      <c r="B169" s="210"/>
      <c r="C169" s="210"/>
      <c r="D169" s="210"/>
      <c r="E169" s="210"/>
      <c r="F169" s="210"/>
      <c r="G169" s="210"/>
      <c r="H169" s="210"/>
      <c r="I169" s="210"/>
      <c r="J169" s="210"/>
    </row>
    <row r="170" spans="1:34" ht="19.5" customHeight="1">
      <c r="A170" s="210" t="s">
        <v>403</v>
      </c>
      <c r="B170" s="210"/>
      <c r="C170" s="210"/>
      <c r="D170" s="210"/>
      <c r="E170" s="210"/>
      <c r="F170" s="210"/>
      <c r="G170" s="210"/>
      <c r="H170" s="210"/>
      <c r="I170" s="210"/>
      <c r="J170" s="210"/>
    </row>
    <row r="171" spans="1:34" ht="19.5" customHeight="1">
      <c r="A171" s="210" t="s">
        <v>403</v>
      </c>
      <c r="B171" s="210"/>
      <c r="C171" s="210"/>
      <c r="D171" s="210"/>
      <c r="E171" s="210"/>
      <c r="F171" s="210"/>
      <c r="G171" s="210"/>
      <c r="H171" s="210"/>
      <c r="I171" s="210"/>
      <c r="J171" s="210"/>
    </row>
    <row r="172" spans="1:34" ht="19.5" customHeight="1">
      <c r="A172" s="210" t="s">
        <v>403</v>
      </c>
      <c r="B172" s="210"/>
      <c r="C172" s="210"/>
      <c r="D172" s="210"/>
      <c r="E172" s="210"/>
      <c r="F172" s="210"/>
      <c r="G172" s="210"/>
      <c r="H172" s="210"/>
      <c r="I172" s="210"/>
      <c r="J172" s="210"/>
    </row>
    <row r="173" spans="1:34" ht="19.5" customHeight="1">
      <c r="A173" s="210" t="s">
        <v>403</v>
      </c>
      <c r="B173" s="210"/>
      <c r="C173" s="210"/>
      <c r="D173" s="210"/>
      <c r="E173" s="210"/>
      <c r="F173" s="210"/>
      <c r="G173" s="210"/>
      <c r="H173" s="210"/>
      <c r="I173" s="210"/>
      <c r="J173" s="210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34" ht="19.5" customHeight="1"/>
    <row r="175" spans="1:34" ht="19.5" customHeight="1">
      <c r="A175" s="210"/>
      <c r="B175" s="210"/>
      <c r="C175" s="210"/>
      <c r="D175" s="210"/>
      <c r="E175" s="210"/>
      <c r="F175" s="210"/>
      <c r="G175" s="210"/>
      <c r="H175" s="210"/>
      <c r="I175" s="210"/>
      <c r="J175" s="210"/>
    </row>
    <row r="176" spans="1:34" ht="19.5" customHeight="1">
      <c r="B176" s="343"/>
      <c r="C176" s="343"/>
    </row>
    <row r="177" spans="1:11" ht="19.5" customHeight="1"/>
    <row r="178" spans="1:11" ht="19.5" customHeight="1">
      <c r="A178" s="351"/>
      <c r="B178" s="351"/>
      <c r="C178" s="351"/>
      <c r="D178" s="351"/>
      <c r="F178" s="351"/>
      <c r="G178" s="351"/>
      <c r="H178" s="351"/>
      <c r="I178" s="351"/>
      <c r="J178" s="2360"/>
      <c r="K178" s="2360"/>
    </row>
    <row r="179" spans="1:11" ht="19.5" customHeight="1">
      <c r="F179" s="351"/>
      <c r="G179" s="351"/>
      <c r="H179" s="351"/>
      <c r="I179" s="351"/>
      <c r="J179" s="2360"/>
      <c r="K179" s="2360"/>
    </row>
    <row r="180" spans="1:11" ht="19.5" customHeight="1">
      <c r="A180" s="433"/>
      <c r="F180" s="351"/>
      <c r="G180" s="351"/>
    </row>
    <row r="181" spans="1:11" ht="19.5" customHeight="1">
      <c r="A181" s="351"/>
      <c r="F181" s="351"/>
      <c r="G181" s="351"/>
      <c r="I181" s="434"/>
      <c r="K181" s="434"/>
    </row>
    <row r="182" spans="1:11" ht="19.5" customHeight="1">
      <c r="A182" s="351"/>
      <c r="F182" s="351"/>
      <c r="G182" s="351"/>
      <c r="I182" s="434"/>
      <c r="K182" s="434"/>
    </row>
    <row r="183" spans="1:11" ht="19.5" customHeight="1">
      <c r="A183" s="351"/>
      <c r="F183" s="351"/>
      <c r="G183" s="435"/>
      <c r="I183" s="434"/>
      <c r="K183" s="434"/>
    </row>
    <row r="184" spans="1:11" ht="19.5" customHeight="1">
      <c r="A184" s="351"/>
      <c r="F184" s="351"/>
      <c r="G184" s="351"/>
      <c r="I184" s="434"/>
      <c r="K184" s="434"/>
    </row>
    <row r="185" spans="1:11" ht="19.5" customHeight="1">
      <c r="A185" s="433"/>
      <c r="B185" s="343"/>
      <c r="F185" s="351"/>
      <c r="G185" s="351"/>
      <c r="I185" s="434"/>
      <c r="K185" s="434"/>
    </row>
    <row r="186" spans="1:11" ht="19.5" customHeight="1">
      <c r="A186" s="351"/>
      <c r="F186" s="351"/>
      <c r="G186" s="351"/>
      <c r="I186" s="434"/>
      <c r="K186" s="434"/>
    </row>
    <row r="187" spans="1:11" ht="19.5" customHeight="1">
      <c r="A187" s="351"/>
      <c r="F187" s="351"/>
      <c r="G187" s="351"/>
      <c r="I187" s="434"/>
      <c r="K187" s="434"/>
    </row>
    <row r="188" spans="1:11" ht="19.5" customHeight="1">
      <c r="A188" s="351"/>
      <c r="F188" s="351"/>
      <c r="G188" s="351"/>
      <c r="I188" s="434"/>
      <c r="K188" s="434"/>
    </row>
    <row r="189" spans="1:11" ht="19.5" customHeight="1">
      <c r="A189" s="351"/>
      <c r="F189" s="351"/>
      <c r="G189" s="351"/>
      <c r="I189" s="434"/>
      <c r="K189" s="434"/>
    </row>
    <row r="190" spans="1:11" ht="19.5" customHeight="1">
      <c r="A190" s="351"/>
      <c r="F190" s="351"/>
      <c r="G190" s="351"/>
      <c r="I190" s="434"/>
      <c r="K190" s="434"/>
    </row>
    <row r="191" spans="1:11" ht="19.5" customHeight="1">
      <c r="A191" s="433"/>
      <c r="B191" s="343"/>
      <c r="C191" s="343"/>
      <c r="D191" s="343"/>
      <c r="E191" s="343"/>
      <c r="F191" s="351"/>
      <c r="G191" s="351"/>
      <c r="I191" s="434"/>
      <c r="K191" s="436"/>
    </row>
    <row r="192" spans="1:11" ht="19.5" customHeight="1">
      <c r="A192" s="351"/>
      <c r="F192" s="351"/>
      <c r="G192" s="351"/>
      <c r="I192" s="437"/>
      <c r="K192" s="437"/>
    </row>
    <row r="193" spans="1:11" ht="19.5" customHeight="1">
      <c r="A193" s="351"/>
      <c r="F193" s="351"/>
      <c r="G193" s="351"/>
      <c r="I193" s="434"/>
      <c r="K193" s="434"/>
    </row>
    <row r="194" spans="1:11" ht="19.5" customHeight="1">
      <c r="A194" s="351"/>
      <c r="F194" s="351"/>
      <c r="G194" s="351"/>
      <c r="I194" s="434"/>
      <c r="K194" s="434"/>
    </row>
    <row r="195" spans="1:11" ht="19.5" customHeight="1">
      <c r="A195" s="351"/>
      <c r="F195" s="351"/>
      <c r="G195" s="351"/>
      <c r="I195" s="434"/>
      <c r="K195" s="434"/>
    </row>
    <row r="196" spans="1:11" ht="19.5" customHeight="1">
      <c r="A196" s="351"/>
      <c r="F196" s="351"/>
      <c r="G196" s="351"/>
      <c r="I196" s="434"/>
      <c r="K196" s="434"/>
    </row>
    <row r="197" spans="1:11" ht="19.5" customHeight="1">
      <c r="A197" s="351"/>
      <c r="F197" s="351"/>
      <c r="G197" s="351"/>
      <c r="I197" s="434"/>
      <c r="K197" s="434"/>
    </row>
    <row r="198" spans="1:11" ht="19.5" customHeight="1">
      <c r="A198" s="433"/>
      <c r="B198" s="433"/>
      <c r="C198" s="433"/>
      <c r="D198" s="433"/>
      <c r="E198" s="433"/>
      <c r="F198" s="433"/>
      <c r="G198" s="433"/>
      <c r="H198" s="433"/>
      <c r="I198" s="433"/>
      <c r="K198" s="432"/>
    </row>
    <row r="199" spans="1:11" ht="19.5" customHeight="1">
      <c r="A199" s="433"/>
      <c r="B199" s="343"/>
      <c r="C199" s="343"/>
      <c r="E199" s="343"/>
      <c r="F199" s="351"/>
      <c r="G199" s="351"/>
      <c r="I199" s="434"/>
      <c r="K199" s="434"/>
    </row>
    <row r="200" spans="1:11" ht="19.5" customHeight="1">
      <c r="A200" s="351"/>
      <c r="F200" s="351"/>
      <c r="G200" s="351"/>
      <c r="I200" s="434"/>
      <c r="K200" s="434"/>
    </row>
    <row r="201" spans="1:11" ht="19.5" customHeight="1">
      <c r="A201" s="351"/>
      <c r="F201" s="351"/>
      <c r="G201" s="351"/>
      <c r="I201" s="434"/>
      <c r="K201" s="434"/>
    </row>
    <row r="202" spans="1:11" ht="19.5" customHeight="1">
      <c r="A202" s="351"/>
      <c r="F202" s="351"/>
      <c r="G202" s="351"/>
      <c r="I202" s="434"/>
      <c r="K202" s="434"/>
    </row>
    <row r="203" spans="1:11" ht="19.5" customHeight="1">
      <c r="A203" s="351"/>
      <c r="F203" s="351"/>
      <c r="G203" s="351"/>
      <c r="I203" s="434"/>
      <c r="K203" s="434"/>
    </row>
    <row r="204" spans="1:11" ht="19.5" customHeight="1">
      <c r="A204" s="351"/>
      <c r="F204" s="351"/>
      <c r="G204" s="351"/>
      <c r="I204" s="434"/>
      <c r="K204" s="434"/>
    </row>
    <row r="205" spans="1:11" ht="19.5" customHeight="1">
      <c r="A205" s="351"/>
      <c r="F205" s="351"/>
      <c r="G205" s="351"/>
      <c r="I205" s="434"/>
      <c r="K205" s="434"/>
    </row>
    <row r="206" spans="1:11" ht="19.5" customHeight="1">
      <c r="A206" s="351"/>
      <c r="F206" s="351"/>
      <c r="G206" s="351"/>
      <c r="I206" s="434"/>
      <c r="K206" s="434"/>
    </row>
    <row r="207" spans="1:11" ht="19.5" customHeight="1">
      <c r="K207" s="432"/>
    </row>
    <row r="208" spans="1:11" ht="19.5" customHeight="1"/>
    <row r="209" ht="19.5" customHeight="1"/>
    <row r="210" ht="19.5" customHeight="1"/>
    <row r="211" ht="19.5" customHeight="1"/>
    <row r="212" ht="19.5" customHeight="1"/>
    <row r="213" ht="19.5" customHeight="1"/>
    <row r="214" ht="19.5" customHeight="1"/>
    <row r="215" ht="19.5" customHeight="1"/>
    <row r="216" ht="19.5" customHeight="1"/>
    <row r="217" ht="19.5" customHeight="1"/>
    <row r="218" ht="19.5" customHeight="1"/>
    <row r="219" ht="19.5" customHeight="1"/>
    <row r="220" ht="19.5" customHeight="1"/>
    <row r="221" ht="19.5" customHeight="1"/>
    <row r="222" ht="19.5" customHeight="1"/>
    <row r="223" ht="19.5" customHeight="1"/>
    <row r="224" ht="19.5" customHeight="1"/>
    <row r="225" ht="19.5" customHeight="1"/>
    <row r="226" ht="19.5" customHeight="1"/>
    <row r="227" ht="19.5" customHeight="1"/>
    <row r="228" ht="19.5" customHeight="1"/>
    <row r="229" ht="19.5" customHeight="1"/>
    <row r="230" ht="19.5" customHeight="1"/>
    <row r="231" ht="19.5" customHeight="1"/>
    <row r="232" ht="19.5" customHeight="1"/>
    <row r="233" ht="19.5" customHeight="1"/>
    <row r="234" ht="19.5" customHeight="1"/>
    <row r="235" ht="19.5" customHeight="1"/>
    <row r="236" ht="19.5" customHeight="1"/>
    <row r="237" ht="19.5" customHeight="1"/>
    <row r="238" ht="19.5" customHeight="1"/>
    <row r="239" ht="19.5" customHeight="1"/>
    <row r="240" ht="19.5" customHeight="1"/>
    <row r="241" ht="19.5" customHeight="1"/>
    <row r="242" ht="19.5" customHeight="1"/>
    <row r="243" ht="19.5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  <row r="249" ht="20.100000000000001" customHeight="1"/>
    <row r="250" ht="20.100000000000001" customHeight="1"/>
    <row r="251" ht="20.100000000000001" customHeight="1"/>
    <row r="252" ht="20.100000000000001" customHeight="1"/>
    <row r="253" ht="20.100000000000001" customHeight="1"/>
    <row r="254" ht="20.100000000000001" customHeight="1"/>
    <row r="255" ht="20.100000000000001" customHeight="1"/>
    <row r="256" ht="20.100000000000001" customHeight="1"/>
    <row r="257" ht="20.100000000000001" customHeight="1"/>
    <row r="258" ht="20.100000000000001" customHeight="1"/>
    <row r="259" ht="20.100000000000001" customHeight="1"/>
    <row r="260" ht="20.100000000000001" customHeight="1"/>
    <row r="261" ht="20.100000000000001" customHeight="1"/>
    <row r="262" ht="20.100000000000001" customHeight="1"/>
    <row r="263" ht="20.100000000000001" customHeight="1"/>
    <row r="264" ht="20.100000000000001" customHeight="1"/>
  </sheetData>
  <mergeCells count="124">
    <mergeCell ref="J179:K179"/>
    <mergeCell ref="L100:N100"/>
    <mergeCell ref="P100:Q100"/>
    <mergeCell ref="R100:S100"/>
    <mergeCell ref="T100:V100"/>
    <mergeCell ref="T98:V98"/>
    <mergeCell ref="R99:S99"/>
    <mergeCell ref="T99:V99"/>
    <mergeCell ref="P99:Q99"/>
    <mergeCell ref="P98:Q98"/>
    <mergeCell ref="W100:X100"/>
    <mergeCell ref="J178:K178"/>
    <mergeCell ref="W98:X98"/>
    <mergeCell ref="A99:B99"/>
    <mergeCell ref="C99:D99"/>
    <mergeCell ref="E99:F99"/>
    <mergeCell ref="H99:I99"/>
    <mergeCell ref="L99:N99"/>
    <mergeCell ref="R98:S98"/>
    <mergeCell ref="A98:B98"/>
    <mergeCell ref="C98:D98"/>
    <mergeCell ref="E98:F98"/>
    <mergeCell ref="H98:I98"/>
    <mergeCell ref="L98:N98"/>
    <mergeCell ref="A95:J95"/>
    <mergeCell ref="L95:V95"/>
    <mergeCell ref="W95:AG95"/>
    <mergeCell ref="A97:J97"/>
    <mergeCell ref="L97:V97"/>
    <mergeCell ref="U71:V71"/>
    <mergeCell ref="W71:W72"/>
    <mergeCell ref="X71:AA72"/>
    <mergeCell ref="AB71:AB72"/>
    <mergeCell ref="W97:AG97"/>
    <mergeCell ref="L51:L52"/>
    <mergeCell ref="M51:P52"/>
    <mergeCell ref="Q51:Q52"/>
    <mergeCell ref="R51:R52"/>
    <mergeCell ref="S52:T52"/>
    <mergeCell ref="S51:T51"/>
    <mergeCell ref="W80:AE80"/>
    <mergeCell ref="L82:T82"/>
    <mergeCell ref="W89:AE89"/>
    <mergeCell ref="S70:T70"/>
    <mergeCell ref="U70:V70"/>
    <mergeCell ref="S71:T71"/>
    <mergeCell ref="L63:T63"/>
    <mergeCell ref="W68:AE68"/>
    <mergeCell ref="L70:L71"/>
    <mergeCell ref="M70:P71"/>
    <mergeCell ref="Q70:Q71"/>
    <mergeCell ref="R70:R71"/>
    <mergeCell ref="AH48:AN48"/>
    <mergeCell ref="U52:V52"/>
    <mergeCell ref="AD52:AE52"/>
    <mergeCell ref="AF71:AG71"/>
    <mergeCell ref="AD72:AE72"/>
    <mergeCell ref="AF72:AG72"/>
    <mergeCell ref="W59:AE59"/>
    <mergeCell ref="AC71:AC72"/>
    <mergeCell ref="AD71:AE71"/>
    <mergeCell ref="AH50:AN50"/>
    <mergeCell ref="AF52:AG52"/>
    <mergeCell ref="AB51:AB52"/>
    <mergeCell ref="AC51:AC52"/>
    <mergeCell ref="AD51:AE51"/>
    <mergeCell ref="AF51:AG51"/>
    <mergeCell ref="X51:AA52"/>
    <mergeCell ref="U51:V51"/>
    <mergeCell ref="W51:W52"/>
    <mergeCell ref="W48:AG48"/>
    <mergeCell ref="AF25:AG25"/>
    <mergeCell ref="AF26:AG26"/>
    <mergeCell ref="W34:AE34"/>
    <mergeCell ref="AC25:AC26"/>
    <mergeCell ref="AD25:AE25"/>
    <mergeCell ref="W25:W26"/>
    <mergeCell ref="X25:AA26"/>
    <mergeCell ref="AB25:AB26"/>
    <mergeCell ref="AD26:AE26"/>
    <mergeCell ref="H7:J7"/>
    <mergeCell ref="L36:T36"/>
    <mergeCell ref="W43:AE43"/>
    <mergeCell ref="S24:T24"/>
    <mergeCell ref="U24:V24"/>
    <mergeCell ref="R24:R25"/>
    <mergeCell ref="S25:T25"/>
    <mergeCell ref="U25:V25"/>
    <mergeCell ref="L24:L25"/>
    <mergeCell ref="M24:P25"/>
    <mergeCell ref="Q24:Q25"/>
    <mergeCell ref="A48:J48"/>
    <mergeCell ref="L48:V48"/>
    <mergeCell ref="W13:AE13"/>
    <mergeCell ref="Q5:Q6"/>
    <mergeCell ref="H6:J6"/>
    <mergeCell ref="S5:T5"/>
    <mergeCell ref="S6:T6"/>
    <mergeCell ref="R5:R6"/>
    <mergeCell ref="A2:J2"/>
    <mergeCell ref="W4:W5"/>
    <mergeCell ref="X4:AA5"/>
    <mergeCell ref="AB4:AB5"/>
    <mergeCell ref="L5:L6"/>
    <mergeCell ref="M5:P6"/>
    <mergeCell ref="AC4:AC5"/>
    <mergeCell ref="U5:V5"/>
    <mergeCell ref="L17:T17"/>
    <mergeCell ref="W22:AE22"/>
    <mergeCell ref="A7:B7"/>
    <mergeCell ref="C7:D7"/>
    <mergeCell ref="F7:G7"/>
    <mergeCell ref="A6:B6"/>
    <mergeCell ref="C6:D6"/>
    <mergeCell ref="F6:G6"/>
    <mergeCell ref="AF5:AG5"/>
    <mergeCell ref="U6:V6"/>
    <mergeCell ref="AD5:AE5"/>
    <mergeCell ref="AH1:AN1"/>
    <mergeCell ref="AD4:AE4"/>
    <mergeCell ref="W1:AG1"/>
    <mergeCell ref="AF4:AG4"/>
    <mergeCell ref="A1:J1"/>
    <mergeCell ref="L1:V1"/>
  </mergeCells>
  <phoneticPr fontId="31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>
    <tabColor rgb="FF92D050"/>
  </sheetPr>
  <dimension ref="A1:J96"/>
  <sheetViews>
    <sheetView workbookViewId="0">
      <selection activeCell="L23" sqref="L23"/>
    </sheetView>
  </sheetViews>
  <sheetFormatPr defaultRowHeight="21"/>
  <cols>
    <col min="1" max="1" width="4.33203125" customWidth="1"/>
    <col min="3" max="6" width="12.5" customWidth="1"/>
    <col min="7" max="7" width="19.5" customWidth="1"/>
    <col min="10" max="10" width="11.33203125" customWidth="1"/>
  </cols>
  <sheetData>
    <row r="1" spans="1:10">
      <c r="A1" s="2336" t="s">
        <v>635</v>
      </c>
      <c r="B1" s="2336"/>
      <c r="C1" s="2336"/>
      <c r="D1" s="2336"/>
      <c r="E1" s="2336"/>
      <c r="F1" s="2336"/>
      <c r="G1" s="2336"/>
      <c r="H1" s="2336"/>
      <c r="I1" s="2336"/>
      <c r="J1" s="2336"/>
    </row>
    <row r="2" spans="1:10" ht="23.25">
      <c r="A2" s="2375" t="s">
        <v>636</v>
      </c>
      <c r="B2" s="2375"/>
      <c r="C2" s="2375"/>
      <c r="D2" s="2375"/>
      <c r="E2" s="2375"/>
      <c r="F2" s="2375"/>
      <c r="G2" s="2375"/>
      <c r="H2" s="2375"/>
      <c r="I2" s="2375"/>
      <c r="J2" s="2375"/>
    </row>
    <row r="3" spans="1:10" ht="23.25">
      <c r="A3" s="233"/>
      <c r="B3" s="233" t="s">
        <v>495</v>
      </c>
      <c r="C3" s="313"/>
      <c r="D3" s="233">
        <f>'F(Bridge)'!I3</f>
        <v>5</v>
      </c>
      <c r="E3" s="233" t="s">
        <v>496</v>
      </c>
      <c r="F3" s="313"/>
      <c r="G3" s="233" t="s">
        <v>638</v>
      </c>
      <c r="H3" s="233">
        <f>'F(Bridge)'!D3</f>
        <v>0</v>
      </c>
      <c r="I3" s="233" t="s">
        <v>397</v>
      </c>
    </row>
    <row r="4" spans="1:10" ht="23.25">
      <c r="A4" s="233"/>
      <c r="B4" s="233" t="s">
        <v>640</v>
      </c>
      <c r="C4" s="233"/>
      <c r="D4" s="233">
        <v>3</v>
      </c>
      <c r="E4" s="233" t="s">
        <v>654</v>
      </c>
      <c r="F4" s="313"/>
      <c r="G4" s="233" t="s">
        <v>642</v>
      </c>
      <c r="H4" s="233">
        <f>'F(Bridge)'!D4</f>
        <v>0</v>
      </c>
      <c r="I4" s="233" t="s">
        <v>397</v>
      </c>
    </row>
    <row r="5" spans="1:10" ht="21.75">
      <c r="A5" s="233"/>
      <c r="B5" s="117" t="s">
        <v>643</v>
      </c>
      <c r="C5" s="314" t="s">
        <v>174</v>
      </c>
      <c r="D5" s="233"/>
      <c r="E5" s="233"/>
      <c r="F5" s="233"/>
      <c r="G5" s="233"/>
    </row>
    <row r="6" spans="1:10" ht="16.5" customHeight="1">
      <c r="A6" s="2376" t="s">
        <v>645</v>
      </c>
      <c r="B6" s="2377"/>
      <c r="C6" s="315" t="s">
        <v>646</v>
      </c>
      <c r="D6" s="315" t="s">
        <v>647</v>
      </c>
      <c r="E6" s="315" t="s">
        <v>648</v>
      </c>
      <c r="F6" s="315" t="s">
        <v>649</v>
      </c>
      <c r="G6" s="315" t="s">
        <v>650</v>
      </c>
      <c r="H6" s="2378" t="s">
        <v>895</v>
      </c>
      <c r="I6" s="2350"/>
      <c r="J6" s="2351"/>
    </row>
    <row r="7" spans="1:10" ht="16.5" customHeight="1">
      <c r="A7" s="2382"/>
      <c r="B7" s="2383"/>
      <c r="C7" s="316"/>
      <c r="D7" s="316" t="s">
        <v>651</v>
      </c>
      <c r="E7" s="316" t="s">
        <v>652</v>
      </c>
      <c r="F7" s="316" t="s">
        <v>495</v>
      </c>
      <c r="G7" s="316" t="s">
        <v>653</v>
      </c>
      <c r="H7" s="2379"/>
      <c r="I7" s="2380"/>
      <c r="J7" s="2381"/>
    </row>
    <row r="8" spans="1:10" ht="16.5" customHeight="1">
      <c r="A8" s="2384" t="s">
        <v>505</v>
      </c>
      <c r="B8" s="2385"/>
      <c r="C8" s="317" t="s">
        <v>654</v>
      </c>
      <c r="D8" s="317" t="s">
        <v>494</v>
      </c>
      <c r="E8" s="317" t="s">
        <v>494</v>
      </c>
      <c r="F8" s="317" t="s">
        <v>496</v>
      </c>
      <c r="G8" s="317" t="s">
        <v>494</v>
      </c>
      <c r="H8" s="2352"/>
      <c r="I8" s="2353"/>
      <c r="J8" s="2354"/>
    </row>
    <row r="9" spans="1:10" ht="16.5" customHeight="1">
      <c r="A9" s="281" t="s">
        <v>510</v>
      </c>
      <c r="B9" s="307">
        <f>'F(Bridge)'!B10</f>
        <v>5</v>
      </c>
      <c r="C9" s="225">
        <f>'อำนวยการ(Bridge)'!E8</f>
        <v>6</v>
      </c>
      <c r="D9" s="318">
        <f>$H$3</f>
        <v>0</v>
      </c>
      <c r="E9" s="318">
        <f>$H$4</f>
        <v>0</v>
      </c>
      <c r="F9" s="225">
        <f>$D$3</f>
        <v>5</v>
      </c>
      <c r="G9" s="319">
        <f>-F9/12*(E9/100+(C9+$D$4-1)*D9/100-(D9+E9)/100*(C9+1)/2-($D$4-1))</f>
        <v>0.83333333333333337</v>
      </c>
      <c r="J9" s="129"/>
    </row>
    <row r="10" spans="1:10" ht="16.5" customHeight="1">
      <c r="A10" s="285"/>
      <c r="B10" s="308">
        <f>'F(Bridge)'!B11</f>
        <v>10</v>
      </c>
      <c r="C10" s="227">
        <f>'อำนวยการ(Bridge)'!E9</f>
        <v>9</v>
      </c>
      <c r="D10" s="320">
        <f>$H$3</f>
        <v>0</v>
      </c>
      <c r="E10" s="320">
        <f>$H$4</f>
        <v>0</v>
      </c>
      <c r="F10" s="227">
        <f>$D$3</f>
        <v>5</v>
      </c>
      <c r="G10" s="321">
        <f>-F10/12*(E10/100+(C10+$D$4-1)*D10/100-(D10+E10)/100*(C10+1)/2-($D$4-1))</f>
        <v>0.83333333333333337</v>
      </c>
      <c r="H10" s="322" t="s">
        <v>655</v>
      </c>
      <c r="J10" s="136"/>
    </row>
    <row r="11" spans="1:10" ht="16.5" customHeight="1">
      <c r="A11" s="285"/>
      <c r="B11" s="308">
        <f>'F(Bridge)'!B12</f>
        <v>15</v>
      </c>
      <c r="C11" s="227">
        <f>'อำนวยการ(Bridge)'!E10</f>
        <v>12</v>
      </c>
      <c r="D11" s="320">
        <f t="shared" ref="D11:D48" si="0">$H$3</f>
        <v>0</v>
      </c>
      <c r="E11" s="320">
        <f t="shared" ref="E11:E48" si="1">$H$4</f>
        <v>0</v>
      </c>
      <c r="F11" s="227">
        <f t="shared" ref="F11:F47" si="2">$D$3</f>
        <v>5</v>
      </c>
      <c r="G11" s="321">
        <f t="shared" ref="G11:G48" si="3">-F11/12*(E11/100+(C11+($D$4-1))*D11/100-(D11+E11)/100*(C11+1)/2-($D$4-1))</f>
        <v>0.83333333333333337</v>
      </c>
      <c r="H11" s="137" t="s">
        <v>175</v>
      </c>
      <c r="I11" s="138" t="s">
        <v>657</v>
      </c>
      <c r="J11" s="323"/>
    </row>
    <row r="12" spans="1:10" ht="16.5" customHeight="1">
      <c r="A12" s="285"/>
      <c r="B12" s="308">
        <f>'F(Bridge)'!B13</f>
        <v>20</v>
      </c>
      <c r="C12" s="227">
        <f>'อำนวยการ(Bridge)'!E11</f>
        <v>15</v>
      </c>
      <c r="D12" s="320">
        <f t="shared" si="0"/>
        <v>0</v>
      </c>
      <c r="E12" s="320">
        <f t="shared" si="1"/>
        <v>0</v>
      </c>
      <c r="F12" s="227">
        <f t="shared" si="2"/>
        <v>5</v>
      </c>
      <c r="G12" s="321">
        <f t="shared" si="3"/>
        <v>0.83333333333333337</v>
      </c>
      <c r="H12" s="137" t="s">
        <v>658</v>
      </c>
      <c r="I12" s="138" t="s">
        <v>659</v>
      </c>
      <c r="J12" s="136"/>
    </row>
    <row r="13" spans="1:10" ht="16.5" customHeight="1">
      <c r="A13" s="285"/>
      <c r="B13" s="308">
        <f>'F(Bridge)'!B14</f>
        <v>25</v>
      </c>
      <c r="C13" s="227">
        <f>'อำนวยการ(Bridge)'!E12</f>
        <v>15</v>
      </c>
      <c r="D13" s="320">
        <f t="shared" si="0"/>
        <v>0</v>
      </c>
      <c r="E13" s="320">
        <f t="shared" si="1"/>
        <v>0</v>
      </c>
      <c r="F13" s="227">
        <f t="shared" si="2"/>
        <v>5</v>
      </c>
      <c r="G13" s="321">
        <f t="shared" si="3"/>
        <v>0.83333333333333337</v>
      </c>
      <c r="H13" s="137" t="s">
        <v>176</v>
      </c>
      <c r="I13" s="138" t="s">
        <v>661</v>
      </c>
      <c r="J13" s="136"/>
    </row>
    <row r="14" spans="1:10" ht="16.5" customHeight="1">
      <c r="A14" s="285"/>
      <c r="B14" s="308">
        <f>'F(Bridge)'!B15</f>
        <v>30</v>
      </c>
      <c r="C14" s="227">
        <f>'อำนวยการ(Bridge)'!E13</f>
        <v>18</v>
      </c>
      <c r="D14" s="320">
        <f t="shared" si="0"/>
        <v>0</v>
      </c>
      <c r="E14" s="320">
        <f t="shared" si="1"/>
        <v>0</v>
      </c>
      <c r="F14" s="227">
        <f t="shared" si="2"/>
        <v>5</v>
      </c>
      <c r="G14" s="321">
        <f t="shared" si="3"/>
        <v>0.83333333333333337</v>
      </c>
      <c r="H14" s="137" t="s">
        <v>662</v>
      </c>
      <c r="I14" s="138" t="s">
        <v>663</v>
      </c>
      <c r="J14" s="136"/>
    </row>
    <row r="15" spans="1:10" ht="16.5" customHeight="1">
      <c r="A15" s="285"/>
      <c r="B15" s="308">
        <f>'F(Bridge)'!B16</f>
        <v>35</v>
      </c>
      <c r="C15" s="227">
        <f>'อำนวยการ(Bridge)'!E14</f>
        <v>19</v>
      </c>
      <c r="D15" s="320">
        <f t="shared" si="0"/>
        <v>0</v>
      </c>
      <c r="E15" s="320">
        <f t="shared" si="1"/>
        <v>0</v>
      </c>
      <c r="F15" s="227">
        <f t="shared" si="2"/>
        <v>5</v>
      </c>
      <c r="G15" s="321">
        <f t="shared" si="3"/>
        <v>0.83333333333333337</v>
      </c>
      <c r="H15" s="137" t="s">
        <v>177</v>
      </c>
      <c r="I15" s="138" t="s">
        <v>665</v>
      </c>
      <c r="J15" s="136"/>
    </row>
    <row r="16" spans="1:10" ht="16.5" customHeight="1">
      <c r="A16" s="285"/>
      <c r="B16" s="308">
        <f>'F(Bridge)'!B17</f>
        <v>40</v>
      </c>
      <c r="C16" s="227">
        <f>'อำนวยการ(Bridge)'!E15</f>
        <v>19</v>
      </c>
      <c r="D16" s="320">
        <f t="shared" si="0"/>
        <v>0</v>
      </c>
      <c r="E16" s="320">
        <f t="shared" si="1"/>
        <v>0</v>
      </c>
      <c r="F16" s="227">
        <f t="shared" si="2"/>
        <v>5</v>
      </c>
      <c r="G16" s="321">
        <f t="shared" si="3"/>
        <v>0.83333333333333337</v>
      </c>
      <c r="H16" s="137" t="s">
        <v>666</v>
      </c>
      <c r="I16" s="138" t="s">
        <v>667</v>
      </c>
      <c r="J16" s="136"/>
    </row>
    <row r="17" spans="1:10" ht="16.5" customHeight="1">
      <c r="A17" s="285"/>
      <c r="B17" s="308">
        <f>'F(Bridge)'!B18</f>
        <v>45</v>
      </c>
      <c r="C17" s="227">
        <f>'อำนวยการ(Bridge)'!E16</f>
        <v>19</v>
      </c>
      <c r="D17" s="320">
        <f t="shared" si="0"/>
        <v>0</v>
      </c>
      <c r="E17" s="320">
        <f t="shared" si="1"/>
        <v>0</v>
      </c>
      <c r="F17" s="227">
        <f t="shared" si="2"/>
        <v>5</v>
      </c>
      <c r="G17" s="321">
        <f t="shared" si="3"/>
        <v>0.83333333333333337</v>
      </c>
      <c r="J17" s="136"/>
    </row>
    <row r="18" spans="1:10" ht="16.5" customHeight="1">
      <c r="A18" s="285"/>
      <c r="B18" s="308">
        <f>'F(Bridge)'!B19</f>
        <v>50</v>
      </c>
      <c r="C18" s="227">
        <f>'อำนวยการ(Bridge)'!E17</f>
        <v>19</v>
      </c>
      <c r="D18" s="320">
        <f t="shared" si="0"/>
        <v>0</v>
      </c>
      <c r="E18" s="320">
        <f t="shared" si="1"/>
        <v>0</v>
      </c>
      <c r="F18" s="227">
        <f t="shared" si="2"/>
        <v>5</v>
      </c>
      <c r="G18" s="321">
        <f t="shared" si="3"/>
        <v>0.83333333333333337</v>
      </c>
      <c r="J18" s="136"/>
    </row>
    <row r="19" spans="1:10" ht="16.5" customHeight="1">
      <c r="A19" s="285"/>
      <c r="B19" s="308">
        <f>'F(Bridge)'!B20</f>
        <v>55</v>
      </c>
      <c r="C19" s="227">
        <f>'อำนวยการ(Bridge)'!E18</f>
        <v>19</v>
      </c>
      <c r="D19" s="320">
        <f t="shared" si="0"/>
        <v>0</v>
      </c>
      <c r="E19" s="320">
        <f t="shared" si="1"/>
        <v>0</v>
      </c>
      <c r="F19" s="227">
        <f t="shared" si="2"/>
        <v>5</v>
      </c>
      <c r="G19" s="321">
        <f t="shared" si="3"/>
        <v>0.83333333333333337</v>
      </c>
      <c r="J19" s="136"/>
    </row>
    <row r="20" spans="1:10" ht="16.5" customHeight="1">
      <c r="A20" s="285"/>
      <c r="B20" s="308">
        <f>'F(Bridge)'!B21</f>
        <v>60</v>
      </c>
      <c r="C20" s="227">
        <f>'อำนวยการ(Bridge)'!E19</f>
        <v>19</v>
      </c>
      <c r="D20" s="320">
        <f t="shared" si="0"/>
        <v>0</v>
      </c>
      <c r="E20" s="320">
        <f t="shared" si="1"/>
        <v>0</v>
      </c>
      <c r="F20" s="227">
        <f t="shared" si="2"/>
        <v>5</v>
      </c>
      <c r="G20" s="321">
        <f t="shared" si="3"/>
        <v>0.83333333333333337</v>
      </c>
      <c r="J20" s="136"/>
    </row>
    <row r="21" spans="1:10" ht="16.5" customHeight="1">
      <c r="A21" s="285"/>
      <c r="B21" s="308">
        <f>'F(Bridge)'!B22</f>
        <v>65</v>
      </c>
      <c r="C21" s="227">
        <f>'อำนวยการ(Bridge)'!E20</f>
        <v>21</v>
      </c>
      <c r="D21" s="320">
        <f t="shared" si="0"/>
        <v>0</v>
      </c>
      <c r="E21" s="320">
        <f t="shared" si="1"/>
        <v>0</v>
      </c>
      <c r="F21" s="227">
        <f t="shared" si="2"/>
        <v>5</v>
      </c>
      <c r="G21" s="321">
        <f t="shared" si="3"/>
        <v>0.83333333333333337</v>
      </c>
      <c r="J21" s="136"/>
    </row>
    <row r="22" spans="1:10" ht="16.5" customHeight="1">
      <c r="A22" s="285"/>
      <c r="B22" s="308">
        <f>'F(Bridge)'!B23</f>
        <v>70</v>
      </c>
      <c r="C22" s="227">
        <f>'อำนวยการ(Bridge)'!E21</f>
        <v>21</v>
      </c>
      <c r="D22" s="320">
        <f t="shared" si="0"/>
        <v>0</v>
      </c>
      <c r="E22" s="320">
        <f t="shared" si="1"/>
        <v>0</v>
      </c>
      <c r="F22" s="227">
        <f t="shared" si="2"/>
        <v>5</v>
      </c>
      <c r="G22" s="321">
        <f t="shared" si="3"/>
        <v>0.83333333333333337</v>
      </c>
      <c r="J22" s="136"/>
    </row>
    <row r="23" spans="1:10" ht="16.5" customHeight="1">
      <c r="A23" s="285"/>
      <c r="B23" s="308">
        <f>'F(Bridge)'!B24</f>
        <v>75</v>
      </c>
      <c r="C23" s="227">
        <f>'อำนวยการ(Bridge)'!E22</f>
        <v>21</v>
      </c>
      <c r="D23" s="320">
        <f t="shared" si="0"/>
        <v>0</v>
      </c>
      <c r="E23" s="320">
        <f t="shared" si="1"/>
        <v>0</v>
      </c>
      <c r="F23" s="227">
        <f t="shared" si="2"/>
        <v>5</v>
      </c>
      <c r="G23" s="321">
        <f t="shared" si="3"/>
        <v>0.83333333333333337</v>
      </c>
      <c r="J23" s="136"/>
    </row>
    <row r="24" spans="1:10" ht="16.5" customHeight="1">
      <c r="A24" s="285"/>
      <c r="B24" s="308">
        <f>'F(Bridge)'!B25</f>
        <v>80</v>
      </c>
      <c r="C24" s="227">
        <f>'อำนวยการ(Bridge)'!E23</f>
        <v>21</v>
      </c>
      <c r="D24" s="320">
        <f t="shared" si="0"/>
        <v>0</v>
      </c>
      <c r="E24" s="320">
        <f t="shared" si="1"/>
        <v>0</v>
      </c>
      <c r="F24" s="227">
        <f t="shared" si="2"/>
        <v>5</v>
      </c>
      <c r="G24" s="321">
        <f t="shared" si="3"/>
        <v>0.83333333333333337</v>
      </c>
      <c r="J24" s="136"/>
    </row>
    <row r="25" spans="1:10" ht="16.5" customHeight="1">
      <c r="A25" s="285"/>
      <c r="B25" s="308">
        <f>'F(Bridge)'!B26</f>
        <v>85</v>
      </c>
      <c r="C25" s="227">
        <f>'อำนวยการ(Bridge)'!E24</f>
        <v>21</v>
      </c>
      <c r="D25" s="320">
        <f t="shared" si="0"/>
        <v>0</v>
      </c>
      <c r="E25" s="320">
        <f t="shared" si="1"/>
        <v>0</v>
      </c>
      <c r="F25" s="227">
        <f t="shared" si="2"/>
        <v>5</v>
      </c>
      <c r="G25" s="321">
        <f t="shared" si="3"/>
        <v>0.83333333333333337</v>
      </c>
      <c r="J25" s="136"/>
    </row>
    <row r="26" spans="1:10" ht="16.5" customHeight="1">
      <c r="A26" s="285"/>
      <c r="B26" s="308">
        <f>'F(Bridge)'!B27</f>
        <v>90</v>
      </c>
      <c r="C26" s="227">
        <f>'อำนวยการ(Bridge)'!E25</f>
        <v>21</v>
      </c>
      <c r="D26" s="320">
        <f t="shared" si="0"/>
        <v>0</v>
      </c>
      <c r="E26" s="320">
        <f t="shared" si="1"/>
        <v>0</v>
      </c>
      <c r="F26" s="227">
        <f t="shared" si="2"/>
        <v>5</v>
      </c>
      <c r="G26" s="321">
        <f t="shared" si="3"/>
        <v>0.83333333333333337</v>
      </c>
      <c r="J26" s="136"/>
    </row>
    <row r="27" spans="1:10" ht="16.5" customHeight="1">
      <c r="A27" s="285"/>
      <c r="B27" s="308">
        <f>'F(Bridge)'!B28</f>
        <v>95</v>
      </c>
      <c r="C27" s="227">
        <f>'อำนวยการ(Bridge)'!E26</f>
        <v>21</v>
      </c>
      <c r="D27" s="320">
        <f t="shared" si="0"/>
        <v>0</v>
      </c>
      <c r="E27" s="320">
        <f t="shared" si="1"/>
        <v>0</v>
      </c>
      <c r="F27" s="227">
        <f t="shared" si="2"/>
        <v>5</v>
      </c>
      <c r="G27" s="321">
        <f t="shared" si="3"/>
        <v>0.83333333333333337</v>
      </c>
      <c r="J27" s="136"/>
    </row>
    <row r="28" spans="1:10" ht="16.5" customHeight="1">
      <c r="A28" s="285"/>
      <c r="B28" s="308">
        <f>'F(Bridge)'!B29</f>
        <v>100</v>
      </c>
      <c r="C28" s="227">
        <f>'อำนวยการ(Bridge)'!E27</f>
        <v>21</v>
      </c>
      <c r="D28" s="320">
        <f t="shared" si="0"/>
        <v>0</v>
      </c>
      <c r="E28" s="320">
        <f t="shared" si="1"/>
        <v>0</v>
      </c>
      <c r="F28" s="227">
        <f t="shared" si="2"/>
        <v>5</v>
      </c>
      <c r="G28" s="321">
        <f t="shared" si="3"/>
        <v>0.83333333333333337</v>
      </c>
      <c r="J28" s="136"/>
    </row>
    <row r="29" spans="1:10" ht="16.5" customHeight="1">
      <c r="A29" s="285"/>
      <c r="B29" s="308">
        <f>'F(Bridge)'!B30</f>
        <v>105</v>
      </c>
      <c r="C29" s="227">
        <f>'อำนวยการ(Bridge)'!E28</f>
        <v>21</v>
      </c>
      <c r="D29" s="320">
        <f t="shared" si="0"/>
        <v>0</v>
      </c>
      <c r="E29" s="320">
        <f t="shared" si="1"/>
        <v>0</v>
      </c>
      <c r="F29" s="227">
        <f t="shared" si="2"/>
        <v>5</v>
      </c>
      <c r="G29" s="321">
        <f t="shared" si="3"/>
        <v>0.83333333333333337</v>
      </c>
      <c r="J29" s="136"/>
    </row>
    <row r="30" spans="1:10" ht="16.5" customHeight="1">
      <c r="A30" s="285"/>
      <c r="B30" s="308">
        <f>'F(Bridge)'!B31</f>
        <v>110</v>
      </c>
      <c r="C30" s="227">
        <f>'อำนวยการ(Bridge)'!E29</f>
        <v>21</v>
      </c>
      <c r="D30" s="320">
        <f t="shared" si="0"/>
        <v>0</v>
      </c>
      <c r="E30" s="320">
        <f t="shared" si="1"/>
        <v>0</v>
      </c>
      <c r="F30" s="227">
        <f t="shared" si="2"/>
        <v>5</v>
      </c>
      <c r="G30" s="321">
        <f t="shared" si="3"/>
        <v>0.83333333333333337</v>
      </c>
      <c r="J30" s="136"/>
    </row>
    <row r="31" spans="1:10" ht="16.5" customHeight="1">
      <c r="A31" s="285"/>
      <c r="B31" s="308">
        <f>'F(Bridge)'!B32</f>
        <v>115</v>
      </c>
      <c r="C31" s="227">
        <f>'อำนวยการ(Bridge)'!E30</f>
        <v>21</v>
      </c>
      <c r="D31" s="320">
        <f t="shared" si="0"/>
        <v>0</v>
      </c>
      <c r="E31" s="320">
        <f t="shared" si="1"/>
        <v>0</v>
      </c>
      <c r="F31" s="227">
        <f t="shared" si="2"/>
        <v>5</v>
      </c>
      <c r="G31" s="321">
        <f t="shared" si="3"/>
        <v>0.83333333333333337</v>
      </c>
      <c r="J31" s="136"/>
    </row>
    <row r="32" spans="1:10" ht="16.5" customHeight="1">
      <c r="A32" s="285"/>
      <c r="B32" s="308">
        <f>'F(Bridge)'!B33</f>
        <v>120</v>
      </c>
      <c r="C32" s="227">
        <f>'อำนวยการ(Bridge)'!E31</f>
        <v>21</v>
      </c>
      <c r="D32" s="320">
        <f t="shared" si="0"/>
        <v>0</v>
      </c>
      <c r="E32" s="320">
        <f t="shared" si="1"/>
        <v>0</v>
      </c>
      <c r="F32" s="227">
        <f t="shared" si="2"/>
        <v>5</v>
      </c>
      <c r="G32" s="321">
        <f t="shared" si="3"/>
        <v>0.83333333333333337</v>
      </c>
      <c r="J32" s="136"/>
    </row>
    <row r="33" spans="1:10" ht="16.5" customHeight="1">
      <c r="A33" s="285"/>
      <c r="B33" s="308">
        <f>'F(Bridge)'!B34</f>
        <v>125</v>
      </c>
      <c r="C33" s="227">
        <f>'อำนวยการ(Bridge)'!E32</f>
        <v>21</v>
      </c>
      <c r="D33" s="320">
        <f t="shared" si="0"/>
        <v>0</v>
      </c>
      <c r="E33" s="320">
        <f t="shared" si="1"/>
        <v>0</v>
      </c>
      <c r="F33" s="227">
        <f t="shared" si="2"/>
        <v>5</v>
      </c>
      <c r="G33" s="321">
        <f t="shared" si="3"/>
        <v>0.83333333333333337</v>
      </c>
      <c r="J33" s="136"/>
    </row>
    <row r="34" spans="1:10" ht="16.5" customHeight="1">
      <c r="A34" s="285"/>
      <c r="B34" s="308">
        <f>'F(Bridge)'!B35</f>
        <v>130</v>
      </c>
      <c r="C34" s="227">
        <f>'อำนวยการ(Bridge)'!E33</f>
        <v>21</v>
      </c>
      <c r="D34" s="320">
        <f t="shared" si="0"/>
        <v>0</v>
      </c>
      <c r="E34" s="320">
        <f t="shared" si="1"/>
        <v>0</v>
      </c>
      <c r="F34" s="227">
        <f t="shared" si="2"/>
        <v>5</v>
      </c>
      <c r="G34" s="321">
        <f t="shared" si="3"/>
        <v>0.83333333333333337</v>
      </c>
      <c r="J34" s="136"/>
    </row>
    <row r="35" spans="1:10" ht="16.5" customHeight="1">
      <c r="A35" s="285"/>
      <c r="B35" s="308">
        <f>'F(Bridge)'!B36</f>
        <v>135</v>
      </c>
      <c r="C35" s="227">
        <f>'อำนวยการ(Bridge)'!E34</f>
        <v>21</v>
      </c>
      <c r="D35" s="320">
        <f t="shared" si="0"/>
        <v>0</v>
      </c>
      <c r="E35" s="320">
        <f t="shared" si="1"/>
        <v>0</v>
      </c>
      <c r="F35" s="227">
        <f t="shared" si="2"/>
        <v>5</v>
      </c>
      <c r="G35" s="321">
        <f t="shared" si="3"/>
        <v>0.83333333333333337</v>
      </c>
      <c r="J35" s="136"/>
    </row>
    <row r="36" spans="1:10" ht="16.5" customHeight="1">
      <c r="A36" s="285"/>
      <c r="B36" s="308">
        <f>'F(Bridge)'!B37</f>
        <v>140</v>
      </c>
      <c r="C36" s="227">
        <f>'อำนวยการ(Bridge)'!E35</f>
        <v>21</v>
      </c>
      <c r="D36" s="320">
        <f t="shared" si="0"/>
        <v>0</v>
      </c>
      <c r="E36" s="320">
        <f t="shared" si="1"/>
        <v>0</v>
      </c>
      <c r="F36" s="227">
        <f t="shared" si="2"/>
        <v>5</v>
      </c>
      <c r="G36" s="321">
        <f t="shared" si="3"/>
        <v>0.83333333333333337</v>
      </c>
      <c r="J36" s="136"/>
    </row>
    <row r="37" spans="1:10" ht="16.5" customHeight="1">
      <c r="A37" s="285"/>
      <c r="B37" s="308">
        <f>'F(Bridge)'!B38</f>
        <v>145</v>
      </c>
      <c r="C37" s="227">
        <f>'อำนวยการ(Bridge)'!E36</f>
        <v>21</v>
      </c>
      <c r="D37" s="320">
        <f t="shared" si="0"/>
        <v>0</v>
      </c>
      <c r="E37" s="320">
        <f t="shared" si="1"/>
        <v>0</v>
      </c>
      <c r="F37" s="227">
        <f t="shared" si="2"/>
        <v>5</v>
      </c>
      <c r="G37" s="321">
        <f t="shared" si="3"/>
        <v>0.83333333333333337</v>
      </c>
      <c r="J37" s="136"/>
    </row>
    <row r="38" spans="1:10" ht="16.5" customHeight="1">
      <c r="A38" s="285"/>
      <c r="B38" s="308">
        <f>'F(Bridge)'!B39</f>
        <v>150</v>
      </c>
      <c r="C38" s="227">
        <f>'อำนวยการ(Bridge)'!E37</f>
        <v>21</v>
      </c>
      <c r="D38" s="320">
        <f t="shared" si="0"/>
        <v>0</v>
      </c>
      <c r="E38" s="320">
        <f t="shared" si="1"/>
        <v>0</v>
      </c>
      <c r="F38" s="227">
        <f t="shared" si="2"/>
        <v>5</v>
      </c>
      <c r="G38" s="321">
        <f t="shared" si="3"/>
        <v>0.83333333333333337</v>
      </c>
      <c r="J38" s="136"/>
    </row>
    <row r="39" spans="1:10" ht="16.5" customHeight="1">
      <c r="A39" s="285"/>
      <c r="B39" s="308">
        <f>'F(Bridge)'!B40</f>
        <v>155</v>
      </c>
      <c r="C39" s="227">
        <f>'อำนวยการ(Bridge)'!E38</f>
        <v>21</v>
      </c>
      <c r="D39" s="320">
        <f t="shared" si="0"/>
        <v>0</v>
      </c>
      <c r="E39" s="320">
        <f t="shared" si="1"/>
        <v>0</v>
      </c>
      <c r="F39" s="227">
        <f t="shared" si="2"/>
        <v>5</v>
      </c>
      <c r="G39" s="321">
        <f t="shared" si="3"/>
        <v>0.83333333333333337</v>
      </c>
      <c r="J39" s="136"/>
    </row>
    <row r="40" spans="1:10" ht="16.5" customHeight="1">
      <c r="A40" s="285"/>
      <c r="B40" s="308">
        <f>'F(Bridge)'!B41</f>
        <v>160</v>
      </c>
      <c r="C40" s="227">
        <f>'อำนวยการ(Bridge)'!E39</f>
        <v>21</v>
      </c>
      <c r="D40" s="320">
        <f t="shared" si="0"/>
        <v>0</v>
      </c>
      <c r="E40" s="320">
        <f t="shared" si="1"/>
        <v>0</v>
      </c>
      <c r="F40" s="227">
        <f t="shared" si="2"/>
        <v>5</v>
      </c>
      <c r="G40" s="321">
        <f t="shared" si="3"/>
        <v>0.83333333333333337</v>
      </c>
      <c r="J40" s="136"/>
    </row>
    <row r="41" spans="1:10" ht="16.5" customHeight="1">
      <c r="A41" s="285"/>
      <c r="B41" s="308">
        <f>'F(Bridge)'!B42</f>
        <v>165</v>
      </c>
      <c r="C41" s="227">
        <f>'อำนวยการ(Bridge)'!E40</f>
        <v>21</v>
      </c>
      <c r="D41" s="320">
        <f t="shared" si="0"/>
        <v>0</v>
      </c>
      <c r="E41" s="320">
        <f t="shared" si="1"/>
        <v>0</v>
      </c>
      <c r="F41" s="227">
        <f t="shared" si="2"/>
        <v>5</v>
      </c>
      <c r="G41" s="321">
        <f t="shared" si="3"/>
        <v>0.83333333333333337</v>
      </c>
      <c r="J41" s="136"/>
    </row>
    <row r="42" spans="1:10" ht="16.5" customHeight="1">
      <c r="A42" s="285"/>
      <c r="B42" s="308">
        <f>'F(Bridge)'!B43</f>
        <v>170</v>
      </c>
      <c r="C42" s="227">
        <f>'อำนวยการ(Bridge)'!E41</f>
        <v>21</v>
      </c>
      <c r="D42" s="320">
        <f t="shared" si="0"/>
        <v>0</v>
      </c>
      <c r="E42" s="320">
        <f t="shared" si="1"/>
        <v>0</v>
      </c>
      <c r="F42" s="227">
        <f t="shared" si="2"/>
        <v>5</v>
      </c>
      <c r="G42" s="321">
        <f t="shared" si="3"/>
        <v>0.83333333333333337</v>
      </c>
      <c r="J42" s="136"/>
    </row>
    <row r="43" spans="1:10" ht="16.5" customHeight="1">
      <c r="A43" s="285"/>
      <c r="B43" s="308">
        <f>'F(Bridge)'!B44</f>
        <v>175</v>
      </c>
      <c r="C43" s="227">
        <f>'อำนวยการ(Bridge)'!E42</f>
        <v>21</v>
      </c>
      <c r="D43" s="320">
        <f t="shared" si="0"/>
        <v>0</v>
      </c>
      <c r="E43" s="320">
        <f t="shared" si="1"/>
        <v>0</v>
      </c>
      <c r="F43" s="227">
        <f t="shared" si="2"/>
        <v>5</v>
      </c>
      <c r="G43" s="321">
        <f t="shared" si="3"/>
        <v>0.83333333333333337</v>
      </c>
      <c r="J43" s="136"/>
    </row>
    <row r="44" spans="1:10" ht="16.5" customHeight="1">
      <c r="A44" s="285"/>
      <c r="B44" s="308">
        <f>'F(Bridge)'!B45</f>
        <v>180</v>
      </c>
      <c r="C44" s="227">
        <f>'อำนวยการ(Bridge)'!E43</f>
        <v>21</v>
      </c>
      <c r="D44" s="320">
        <f t="shared" si="0"/>
        <v>0</v>
      </c>
      <c r="E44" s="320">
        <f t="shared" si="1"/>
        <v>0</v>
      </c>
      <c r="F44" s="227">
        <f t="shared" si="2"/>
        <v>5</v>
      </c>
      <c r="G44" s="321">
        <f t="shared" si="3"/>
        <v>0.83333333333333337</v>
      </c>
      <c r="J44" s="136"/>
    </row>
    <row r="45" spans="1:10" ht="16.5" customHeight="1">
      <c r="A45" s="285"/>
      <c r="B45" s="308">
        <f>'F(Bridge)'!B46</f>
        <v>185</v>
      </c>
      <c r="C45" s="227">
        <f>'อำนวยการ(Bridge)'!E44</f>
        <v>21</v>
      </c>
      <c r="D45" s="320">
        <f t="shared" si="0"/>
        <v>0</v>
      </c>
      <c r="E45" s="320">
        <f t="shared" si="1"/>
        <v>0</v>
      </c>
      <c r="F45" s="227">
        <f t="shared" si="2"/>
        <v>5</v>
      </c>
      <c r="G45" s="321">
        <f t="shared" si="3"/>
        <v>0.83333333333333337</v>
      </c>
      <c r="J45" s="136"/>
    </row>
    <row r="46" spans="1:10" ht="16.5" customHeight="1">
      <c r="A46" s="285"/>
      <c r="B46" s="308">
        <f>'F(Bridge)'!B47</f>
        <v>190</v>
      </c>
      <c r="C46" s="227">
        <f>'อำนวยการ(Bridge)'!E45</f>
        <v>21</v>
      </c>
      <c r="D46" s="320">
        <f t="shared" si="0"/>
        <v>0</v>
      </c>
      <c r="E46" s="320">
        <f t="shared" si="1"/>
        <v>0</v>
      </c>
      <c r="F46" s="227">
        <f t="shared" si="2"/>
        <v>5</v>
      </c>
      <c r="G46" s="321">
        <f t="shared" si="3"/>
        <v>0.83333333333333337</v>
      </c>
      <c r="J46" s="136"/>
    </row>
    <row r="47" spans="1:10" ht="16.5" customHeight="1">
      <c r="A47" s="285"/>
      <c r="B47" s="308">
        <f>'F(Bridge)'!B48</f>
        <v>195</v>
      </c>
      <c r="C47" s="227">
        <f>'อำนวยการ(Bridge)'!E46</f>
        <v>21</v>
      </c>
      <c r="D47" s="320">
        <f t="shared" si="0"/>
        <v>0</v>
      </c>
      <c r="E47" s="320">
        <f t="shared" si="1"/>
        <v>0</v>
      </c>
      <c r="F47" s="227">
        <f t="shared" si="2"/>
        <v>5</v>
      </c>
      <c r="G47" s="321">
        <f t="shared" si="3"/>
        <v>0.83333333333333337</v>
      </c>
      <c r="J47" s="136"/>
    </row>
    <row r="48" spans="1:10" ht="16.5" customHeight="1">
      <c r="A48" s="231" t="s">
        <v>511</v>
      </c>
      <c r="B48" s="312">
        <f>'F(Bridge)'!B49</f>
        <v>200</v>
      </c>
      <c r="C48" s="232">
        <f>'อำนวยการ(Bridge)'!E47</f>
        <v>21</v>
      </c>
      <c r="D48" s="324">
        <f t="shared" si="0"/>
        <v>0</v>
      </c>
      <c r="E48" s="324">
        <f t="shared" si="1"/>
        <v>0</v>
      </c>
      <c r="F48" s="232">
        <f>$D$3</f>
        <v>5</v>
      </c>
      <c r="G48" s="325">
        <f t="shared" si="3"/>
        <v>0.83333333333333337</v>
      </c>
      <c r="H48" s="143"/>
      <c r="I48" s="82"/>
      <c r="J48" s="83"/>
    </row>
    <row r="49" spans="1:10" ht="16.5" customHeight="1">
      <c r="A49" s="224"/>
      <c r="B49" s="224"/>
      <c r="C49" s="224"/>
      <c r="D49" s="326"/>
      <c r="E49" s="326"/>
      <c r="F49" s="224"/>
      <c r="G49" s="327"/>
      <c r="H49" s="327"/>
      <c r="I49" s="327"/>
      <c r="J49" s="327"/>
    </row>
    <row r="50" spans="1:10" ht="23.25" customHeight="1">
      <c r="A50" s="2386" t="s">
        <v>668</v>
      </c>
      <c r="B50" s="2386"/>
      <c r="C50" s="2386"/>
      <c r="D50" s="2386"/>
      <c r="E50" s="2386"/>
      <c r="F50" s="2386"/>
      <c r="G50" s="2386"/>
      <c r="H50" s="2386"/>
      <c r="I50" s="2386"/>
      <c r="J50" s="2386"/>
    </row>
    <row r="51" spans="1:10" ht="23.25">
      <c r="A51" s="2375" t="s">
        <v>673</v>
      </c>
      <c r="B51" s="2375"/>
      <c r="C51" s="2375"/>
      <c r="D51" s="2375"/>
      <c r="E51" s="2375"/>
      <c r="F51" s="2375"/>
      <c r="G51" s="2375"/>
      <c r="H51" s="2375"/>
      <c r="I51" s="2375"/>
      <c r="J51" s="2375"/>
    </row>
    <row r="52" spans="1:10">
      <c r="B52" t="s">
        <v>674</v>
      </c>
      <c r="F52">
        <v>0</v>
      </c>
      <c r="G52" t="s">
        <v>178</v>
      </c>
    </row>
    <row r="53" spans="1:10">
      <c r="B53" t="s">
        <v>676</v>
      </c>
      <c r="F53">
        <v>0</v>
      </c>
      <c r="G53" t="s">
        <v>179</v>
      </c>
    </row>
    <row r="54" spans="1:10">
      <c r="A54" s="2387" t="s">
        <v>645</v>
      </c>
      <c r="B54" s="2388"/>
      <c r="C54" s="2387" t="s">
        <v>678</v>
      </c>
      <c r="D54" s="2388"/>
      <c r="E54" s="2387" t="s">
        <v>679</v>
      </c>
      <c r="F54" s="2388"/>
      <c r="G54" s="2387" t="s">
        <v>680</v>
      </c>
      <c r="H54" s="2388"/>
      <c r="I54" s="2389" t="s">
        <v>895</v>
      </c>
      <c r="J54" s="2390"/>
    </row>
    <row r="55" spans="1:10">
      <c r="A55" s="2393" t="s">
        <v>505</v>
      </c>
      <c r="B55" s="2394"/>
      <c r="C55" s="2393" t="s">
        <v>494</v>
      </c>
      <c r="D55" s="2394"/>
      <c r="E55" s="2393" t="s">
        <v>494</v>
      </c>
      <c r="F55" s="2394"/>
      <c r="G55" s="2393" t="s">
        <v>494</v>
      </c>
      <c r="H55" s="2394"/>
      <c r="I55" s="2391"/>
      <c r="J55" s="2392"/>
    </row>
    <row r="56" spans="1:10" ht="17.25" customHeight="1">
      <c r="A56" s="176" t="s">
        <v>510</v>
      </c>
      <c r="B56" s="226">
        <f>'F(Bridge)'!B10</f>
        <v>5</v>
      </c>
      <c r="C56" s="2371">
        <f>$F$52/4</f>
        <v>0</v>
      </c>
      <c r="D56" s="2372"/>
      <c r="E56" s="2371">
        <v>5.5</v>
      </c>
      <c r="F56" s="2372"/>
      <c r="G56" s="2373">
        <f>C56+E56</f>
        <v>5.5</v>
      </c>
      <c r="H56" s="2374"/>
      <c r="I56" s="328"/>
      <c r="J56" s="129"/>
    </row>
    <row r="57" spans="1:10" ht="17.25" customHeight="1">
      <c r="A57" s="147"/>
      <c r="B57" s="228">
        <f>'F(Bridge)'!B11</f>
        <v>10</v>
      </c>
      <c r="C57" s="2395">
        <f>$F$52/4</f>
        <v>0</v>
      </c>
      <c r="D57" s="2396"/>
      <c r="E57" s="2395">
        <v>5.5</v>
      </c>
      <c r="F57" s="2396"/>
      <c r="G57" s="2397">
        <f>C57+E56</f>
        <v>5.5</v>
      </c>
      <c r="H57" s="2398"/>
      <c r="I57" s="309"/>
      <c r="J57" s="136"/>
    </row>
    <row r="58" spans="1:10" ht="17.25" customHeight="1">
      <c r="A58" s="147"/>
      <c r="B58" s="228">
        <f>'F(Bridge)'!B12</f>
        <v>15</v>
      </c>
      <c r="C58" s="2395">
        <f t="shared" ref="C58:C95" si="4">$F$52/4</f>
        <v>0</v>
      </c>
      <c r="D58" s="2396"/>
      <c r="E58" s="2395">
        <v>5.5</v>
      </c>
      <c r="F58" s="2396"/>
      <c r="G58" s="2397">
        <f t="shared" ref="G58:G95" si="5">C58+E57</f>
        <v>5.5</v>
      </c>
      <c r="H58" s="2398"/>
      <c r="I58" s="309"/>
      <c r="J58" s="136"/>
    </row>
    <row r="59" spans="1:10" ht="17.25" customHeight="1">
      <c r="A59" s="147"/>
      <c r="B59" s="228">
        <f>'F(Bridge)'!B13</f>
        <v>20</v>
      </c>
      <c r="C59" s="2395">
        <f t="shared" si="4"/>
        <v>0</v>
      </c>
      <c r="D59" s="2396"/>
      <c r="E59" s="2395">
        <v>5.5</v>
      </c>
      <c r="F59" s="2396"/>
      <c r="G59" s="2397">
        <f t="shared" si="5"/>
        <v>5.5</v>
      </c>
      <c r="H59" s="2398"/>
      <c r="I59" s="309"/>
      <c r="J59" s="136"/>
    </row>
    <row r="60" spans="1:10" ht="17.25" customHeight="1">
      <c r="A60" s="147"/>
      <c r="B60" s="228">
        <f>'F(Bridge)'!B14</f>
        <v>25</v>
      </c>
      <c r="C60" s="2395">
        <f t="shared" si="4"/>
        <v>0</v>
      </c>
      <c r="D60" s="2396"/>
      <c r="E60" s="2395">
        <v>5</v>
      </c>
      <c r="F60" s="2396"/>
      <c r="G60" s="2397">
        <f t="shared" si="5"/>
        <v>5.5</v>
      </c>
      <c r="H60" s="2398"/>
      <c r="I60" s="309"/>
      <c r="J60" s="136"/>
    </row>
    <row r="61" spans="1:10" ht="17.25" customHeight="1">
      <c r="A61" s="147"/>
      <c r="B61" s="228">
        <f>'F(Bridge)'!B15</f>
        <v>30</v>
      </c>
      <c r="C61" s="2395">
        <f t="shared" si="4"/>
        <v>0</v>
      </c>
      <c r="D61" s="2396"/>
      <c r="E61" s="2395">
        <v>5</v>
      </c>
      <c r="F61" s="2396"/>
      <c r="G61" s="2397">
        <f t="shared" si="5"/>
        <v>5</v>
      </c>
      <c r="H61" s="2398"/>
      <c r="I61" s="309"/>
      <c r="J61" s="136"/>
    </row>
    <row r="62" spans="1:10" ht="17.25" customHeight="1">
      <c r="A62" s="147"/>
      <c r="B62" s="228">
        <f>'F(Bridge)'!B16</f>
        <v>35</v>
      </c>
      <c r="C62" s="2395">
        <f t="shared" si="4"/>
        <v>0</v>
      </c>
      <c r="D62" s="2396"/>
      <c r="E62" s="2395">
        <v>5</v>
      </c>
      <c r="F62" s="2396"/>
      <c r="G62" s="2397">
        <f t="shared" si="5"/>
        <v>5</v>
      </c>
      <c r="H62" s="2398"/>
      <c r="I62" s="309"/>
      <c r="J62" s="136"/>
    </row>
    <row r="63" spans="1:10" ht="17.25" customHeight="1">
      <c r="A63" s="147"/>
      <c r="B63" s="228">
        <f>'F(Bridge)'!B17</f>
        <v>40</v>
      </c>
      <c r="C63" s="2395">
        <f t="shared" si="4"/>
        <v>0</v>
      </c>
      <c r="D63" s="2396"/>
      <c r="E63" s="2395">
        <v>4.5</v>
      </c>
      <c r="F63" s="2396"/>
      <c r="G63" s="2397">
        <f t="shared" si="5"/>
        <v>5</v>
      </c>
      <c r="H63" s="2398"/>
      <c r="I63" s="309"/>
      <c r="J63" s="136"/>
    </row>
    <row r="64" spans="1:10" ht="17.25" customHeight="1">
      <c r="A64" s="147"/>
      <c r="B64" s="228">
        <f>'F(Bridge)'!B18</f>
        <v>45</v>
      </c>
      <c r="C64" s="2395">
        <f t="shared" si="4"/>
        <v>0</v>
      </c>
      <c r="D64" s="2396"/>
      <c r="E64" s="2395">
        <v>4.5</v>
      </c>
      <c r="F64" s="2396"/>
      <c r="G64" s="2397">
        <f t="shared" si="5"/>
        <v>4.5</v>
      </c>
      <c r="H64" s="2398"/>
      <c r="I64" s="309"/>
      <c r="J64" s="136"/>
    </row>
    <row r="65" spans="1:10" ht="17.25" customHeight="1">
      <c r="A65" s="147"/>
      <c r="B65" s="228">
        <f>'F(Bridge)'!B19</f>
        <v>50</v>
      </c>
      <c r="C65" s="2395">
        <f t="shared" si="4"/>
        <v>0</v>
      </c>
      <c r="D65" s="2396"/>
      <c r="E65" s="2395">
        <v>4.5</v>
      </c>
      <c r="F65" s="2396"/>
      <c r="G65" s="2397">
        <f t="shared" si="5"/>
        <v>4.5</v>
      </c>
      <c r="H65" s="2398"/>
      <c r="I65" s="309"/>
      <c r="J65" s="136"/>
    </row>
    <row r="66" spans="1:10" ht="17.25" customHeight="1">
      <c r="A66" s="147"/>
      <c r="B66" s="228">
        <f>'F(Bridge)'!B20</f>
        <v>55</v>
      </c>
      <c r="C66" s="2395">
        <f t="shared" si="4"/>
        <v>0</v>
      </c>
      <c r="D66" s="2396"/>
      <c r="E66" s="2395">
        <v>4.5</v>
      </c>
      <c r="F66" s="2396"/>
      <c r="G66" s="2397">
        <f t="shared" si="5"/>
        <v>4.5</v>
      </c>
      <c r="H66" s="2398"/>
      <c r="I66" s="309"/>
      <c r="J66" s="136"/>
    </row>
    <row r="67" spans="1:10" ht="17.25" customHeight="1">
      <c r="A67" s="147"/>
      <c r="B67" s="228">
        <f>'F(Bridge)'!B21</f>
        <v>60</v>
      </c>
      <c r="C67" s="2395">
        <f t="shared" si="4"/>
        <v>0</v>
      </c>
      <c r="D67" s="2396"/>
      <c r="E67" s="2395">
        <v>4</v>
      </c>
      <c r="F67" s="2396"/>
      <c r="G67" s="2397">
        <f t="shared" si="5"/>
        <v>4.5</v>
      </c>
      <c r="H67" s="2398"/>
      <c r="I67" s="309"/>
      <c r="J67" s="136"/>
    </row>
    <row r="68" spans="1:10" ht="17.25" customHeight="1">
      <c r="A68" s="147"/>
      <c r="B68" s="228">
        <f>'F(Bridge)'!B22</f>
        <v>65</v>
      </c>
      <c r="C68" s="2395">
        <f t="shared" si="4"/>
        <v>0</v>
      </c>
      <c r="D68" s="2396"/>
      <c r="E68" s="2395">
        <v>4</v>
      </c>
      <c r="F68" s="2396"/>
      <c r="G68" s="2397">
        <f t="shared" si="5"/>
        <v>4</v>
      </c>
      <c r="H68" s="2398"/>
      <c r="I68" s="309"/>
      <c r="J68" s="136"/>
    </row>
    <row r="69" spans="1:10" ht="17.25" customHeight="1">
      <c r="A69" s="147"/>
      <c r="B69" s="228">
        <f>'F(Bridge)'!B23</f>
        <v>70</v>
      </c>
      <c r="C69" s="2395">
        <f t="shared" si="4"/>
        <v>0</v>
      </c>
      <c r="D69" s="2396"/>
      <c r="E69" s="2395">
        <v>4</v>
      </c>
      <c r="F69" s="2396"/>
      <c r="G69" s="2397">
        <f t="shared" si="5"/>
        <v>4</v>
      </c>
      <c r="H69" s="2398"/>
      <c r="I69" s="309"/>
      <c r="J69" s="136"/>
    </row>
    <row r="70" spans="1:10" ht="17.25" customHeight="1">
      <c r="A70" s="147"/>
      <c r="B70" s="228">
        <f>'F(Bridge)'!B24</f>
        <v>75</v>
      </c>
      <c r="C70" s="2395">
        <f t="shared" si="4"/>
        <v>0</v>
      </c>
      <c r="D70" s="2396"/>
      <c r="E70" s="2395">
        <v>4</v>
      </c>
      <c r="F70" s="2396"/>
      <c r="G70" s="2397">
        <f t="shared" si="5"/>
        <v>4</v>
      </c>
      <c r="H70" s="2398"/>
      <c r="I70" s="309"/>
      <c r="J70" s="136"/>
    </row>
    <row r="71" spans="1:10" ht="17.25" customHeight="1">
      <c r="A71" s="147"/>
      <c r="B71" s="228">
        <f>'F(Bridge)'!B25</f>
        <v>80</v>
      </c>
      <c r="C71" s="2395">
        <f t="shared" si="4"/>
        <v>0</v>
      </c>
      <c r="D71" s="2396"/>
      <c r="E71" s="2395">
        <v>4</v>
      </c>
      <c r="F71" s="2396"/>
      <c r="G71" s="2397">
        <f t="shared" si="5"/>
        <v>4</v>
      </c>
      <c r="H71" s="2398"/>
      <c r="I71" s="309"/>
      <c r="J71" s="136"/>
    </row>
    <row r="72" spans="1:10" ht="17.25" customHeight="1">
      <c r="A72" s="147"/>
      <c r="B72" s="228">
        <f>'F(Bridge)'!B26</f>
        <v>85</v>
      </c>
      <c r="C72" s="2395">
        <f t="shared" si="4"/>
        <v>0</v>
      </c>
      <c r="D72" s="2396"/>
      <c r="E72" s="2395">
        <v>4</v>
      </c>
      <c r="F72" s="2396"/>
      <c r="G72" s="2397">
        <f t="shared" si="5"/>
        <v>4</v>
      </c>
      <c r="H72" s="2398"/>
      <c r="I72" s="309"/>
      <c r="J72" s="136"/>
    </row>
    <row r="73" spans="1:10" ht="17.25" customHeight="1">
      <c r="A73" s="147"/>
      <c r="B73" s="228">
        <f>'F(Bridge)'!B27</f>
        <v>90</v>
      </c>
      <c r="C73" s="2395">
        <f t="shared" si="4"/>
        <v>0</v>
      </c>
      <c r="D73" s="2396"/>
      <c r="E73" s="2395">
        <v>4</v>
      </c>
      <c r="F73" s="2396"/>
      <c r="G73" s="2397">
        <f t="shared" si="5"/>
        <v>4</v>
      </c>
      <c r="H73" s="2398"/>
      <c r="I73" s="309"/>
      <c r="J73" s="136"/>
    </row>
    <row r="74" spans="1:10" ht="17.25" customHeight="1">
      <c r="A74" s="147"/>
      <c r="B74" s="228">
        <f>'F(Bridge)'!B28</f>
        <v>95</v>
      </c>
      <c r="C74" s="2395">
        <f t="shared" si="4"/>
        <v>0</v>
      </c>
      <c r="D74" s="2396"/>
      <c r="E74" s="2395">
        <v>4</v>
      </c>
      <c r="F74" s="2396"/>
      <c r="G74" s="2397">
        <f t="shared" si="5"/>
        <v>4</v>
      </c>
      <c r="H74" s="2398"/>
      <c r="I74" s="309"/>
      <c r="J74" s="136"/>
    </row>
    <row r="75" spans="1:10" ht="17.25" customHeight="1">
      <c r="A75" s="147"/>
      <c r="B75" s="228">
        <f>'F(Bridge)'!B29</f>
        <v>100</v>
      </c>
      <c r="C75" s="2395">
        <f t="shared" si="4"/>
        <v>0</v>
      </c>
      <c r="D75" s="2396"/>
      <c r="E75" s="2395">
        <v>3.5</v>
      </c>
      <c r="F75" s="2396"/>
      <c r="G75" s="2397">
        <f t="shared" si="5"/>
        <v>4</v>
      </c>
      <c r="H75" s="2398"/>
      <c r="I75" s="309"/>
      <c r="J75" s="136"/>
    </row>
    <row r="76" spans="1:10" ht="17.25" customHeight="1">
      <c r="A76" s="147"/>
      <c r="B76" s="228">
        <f>'F(Bridge)'!B30</f>
        <v>105</v>
      </c>
      <c r="C76" s="2395">
        <f t="shared" si="4"/>
        <v>0</v>
      </c>
      <c r="D76" s="2396"/>
      <c r="E76" s="2395">
        <v>3.5</v>
      </c>
      <c r="F76" s="2396"/>
      <c r="G76" s="2397">
        <f t="shared" si="5"/>
        <v>3.5</v>
      </c>
      <c r="H76" s="2398"/>
      <c r="I76" s="309"/>
      <c r="J76" s="136"/>
    </row>
    <row r="77" spans="1:10" ht="17.25" customHeight="1">
      <c r="A77" s="147"/>
      <c r="B77" s="228">
        <f>'F(Bridge)'!B31</f>
        <v>110</v>
      </c>
      <c r="C77" s="2395">
        <f t="shared" si="4"/>
        <v>0</v>
      </c>
      <c r="D77" s="2396"/>
      <c r="E77" s="2395">
        <v>3.5</v>
      </c>
      <c r="F77" s="2396"/>
      <c r="G77" s="2397">
        <f t="shared" si="5"/>
        <v>3.5</v>
      </c>
      <c r="H77" s="2398"/>
      <c r="I77" s="309"/>
      <c r="J77" s="136"/>
    </row>
    <row r="78" spans="1:10" ht="17.25" customHeight="1">
      <c r="A78" s="147"/>
      <c r="B78" s="228">
        <f>'F(Bridge)'!B32</f>
        <v>115</v>
      </c>
      <c r="C78" s="2395">
        <f t="shared" si="4"/>
        <v>0</v>
      </c>
      <c r="D78" s="2396"/>
      <c r="E78" s="2395">
        <v>3.5</v>
      </c>
      <c r="F78" s="2396"/>
      <c r="G78" s="2397">
        <f t="shared" si="5"/>
        <v>3.5</v>
      </c>
      <c r="H78" s="2398"/>
      <c r="I78" s="309"/>
      <c r="J78" s="136"/>
    </row>
    <row r="79" spans="1:10" ht="17.25" customHeight="1">
      <c r="A79" s="147"/>
      <c r="B79" s="228">
        <f>'F(Bridge)'!B33</f>
        <v>120</v>
      </c>
      <c r="C79" s="2395">
        <f t="shared" si="4"/>
        <v>0</v>
      </c>
      <c r="D79" s="2396"/>
      <c r="E79" s="2395">
        <v>3.5</v>
      </c>
      <c r="F79" s="2396"/>
      <c r="G79" s="2397">
        <f t="shared" si="5"/>
        <v>3.5</v>
      </c>
      <c r="H79" s="2398"/>
      <c r="I79" s="309"/>
      <c r="J79" s="136"/>
    </row>
    <row r="80" spans="1:10" ht="17.25" customHeight="1">
      <c r="A80" s="147"/>
      <c r="B80" s="228">
        <f>'F(Bridge)'!B34</f>
        <v>125</v>
      </c>
      <c r="C80" s="2395">
        <f t="shared" si="4"/>
        <v>0</v>
      </c>
      <c r="D80" s="2396"/>
      <c r="E80" s="2395">
        <v>3.5</v>
      </c>
      <c r="F80" s="2396"/>
      <c r="G80" s="2397">
        <f t="shared" si="5"/>
        <v>3.5</v>
      </c>
      <c r="H80" s="2398"/>
      <c r="I80" s="309"/>
      <c r="J80" s="136"/>
    </row>
    <row r="81" spans="1:10" ht="17.25" customHeight="1">
      <c r="A81" s="147"/>
      <c r="B81" s="228">
        <f>'F(Bridge)'!B35</f>
        <v>130</v>
      </c>
      <c r="C81" s="2395">
        <f t="shared" si="4"/>
        <v>0</v>
      </c>
      <c r="D81" s="2396"/>
      <c r="E81" s="2395">
        <v>3.5</v>
      </c>
      <c r="F81" s="2396"/>
      <c r="G81" s="2397">
        <f t="shared" si="5"/>
        <v>3.5</v>
      </c>
      <c r="H81" s="2398"/>
      <c r="I81" s="309"/>
      <c r="J81" s="136"/>
    </row>
    <row r="82" spans="1:10" ht="17.25" customHeight="1">
      <c r="A82" s="147"/>
      <c r="B82" s="228">
        <f>'F(Bridge)'!B36</f>
        <v>135</v>
      </c>
      <c r="C82" s="2395">
        <f t="shared" si="4"/>
        <v>0</v>
      </c>
      <c r="D82" s="2396"/>
      <c r="E82" s="2395">
        <v>3.5</v>
      </c>
      <c r="F82" s="2396"/>
      <c r="G82" s="2397">
        <f t="shared" si="5"/>
        <v>3.5</v>
      </c>
      <c r="H82" s="2398"/>
      <c r="I82" s="309"/>
      <c r="J82" s="136"/>
    </row>
    <row r="83" spans="1:10" ht="17.25" customHeight="1">
      <c r="A83" s="147"/>
      <c r="B83" s="228">
        <f>'F(Bridge)'!B37</f>
        <v>140</v>
      </c>
      <c r="C83" s="2395">
        <f t="shared" si="4"/>
        <v>0</v>
      </c>
      <c r="D83" s="2396"/>
      <c r="E83" s="2395">
        <v>3.5</v>
      </c>
      <c r="F83" s="2396"/>
      <c r="G83" s="2397">
        <f t="shared" si="5"/>
        <v>3.5</v>
      </c>
      <c r="H83" s="2398"/>
      <c r="I83" s="309"/>
      <c r="J83" s="136"/>
    </row>
    <row r="84" spans="1:10" ht="17.25" customHeight="1">
      <c r="A84" s="147"/>
      <c r="B84" s="228">
        <f>'F(Bridge)'!B38</f>
        <v>145</v>
      </c>
      <c r="C84" s="2395">
        <f t="shared" si="4"/>
        <v>0</v>
      </c>
      <c r="D84" s="2396"/>
      <c r="E84" s="2395">
        <v>3.5</v>
      </c>
      <c r="F84" s="2396"/>
      <c r="G84" s="2397">
        <f t="shared" si="5"/>
        <v>3.5</v>
      </c>
      <c r="H84" s="2398"/>
      <c r="I84" s="309"/>
      <c r="J84" s="136"/>
    </row>
    <row r="85" spans="1:10" ht="17.25" customHeight="1">
      <c r="A85" s="147"/>
      <c r="B85" s="228">
        <f>'F(Bridge)'!B39</f>
        <v>150</v>
      </c>
      <c r="C85" s="2395">
        <f t="shared" si="4"/>
        <v>0</v>
      </c>
      <c r="D85" s="2396"/>
      <c r="E85" s="2395">
        <v>3.5</v>
      </c>
      <c r="F85" s="2396"/>
      <c r="G85" s="2397">
        <f t="shared" si="5"/>
        <v>3.5</v>
      </c>
      <c r="H85" s="2398"/>
      <c r="I85" s="309"/>
      <c r="J85" s="136"/>
    </row>
    <row r="86" spans="1:10" ht="17.25" customHeight="1">
      <c r="A86" s="147"/>
      <c r="B86" s="228">
        <f>'F(Bridge)'!B40</f>
        <v>155</v>
      </c>
      <c r="C86" s="2395">
        <f t="shared" si="4"/>
        <v>0</v>
      </c>
      <c r="D86" s="2396"/>
      <c r="E86" s="2395">
        <v>3.5</v>
      </c>
      <c r="F86" s="2396"/>
      <c r="G86" s="2397">
        <f t="shared" si="5"/>
        <v>3.5</v>
      </c>
      <c r="H86" s="2398"/>
      <c r="I86" s="309"/>
      <c r="J86" s="136"/>
    </row>
    <row r="87" spans="1:10" ht="17.25" customHeight="1">
      <c r="A87" s="147"/>
      <c r="B87" s="228">
        <f>'F(Bridge)'!B41</f>
        <v>160</v>
      </c>
      <c r="C87" s="2395">
        <f t="shared" si="4"/>
        <v>0</v>
      </c>
      <c r="D87" s="2396"/>
      <c r="E87" s="2395">
        <v>3.5</v>
      </c>
      <c r="F87" s="2396"/>
      <c r="G87" s="2397">
        <f t="shared" si="5"/>
        <v>3.5</v>
      </c>
      <c r="H87" s="2398"/>
      <c r="I87" s="309"/>
      <c r="J87" s="136"/>
    </row>
    <row r="88" spans="1:10" ht="17.25" customHeight="1">
      <c r="A88" s="147"/>
      <c r="B88" s="228">
        <f>'F(Bridge)'!B42</f>
        <v>165</v>
      </c>
      <c r="C88" s="2395">
        <f t="shared" si="4"/>
        <v>0</v>
      </c>
      <c r="D88" s="2396"/>
      <c r="E88" s="2395">
        <v>3.5</v>
      </c>
      <c r="F88" s="2396"/>
      <c r="G88" s="2397">
        <f t="shared" si="5"/>
        <v>3.5</v>
      </c>
      <c r="H88" s="2398"/>
      <c r="I88" s="309"/>
      <c r="J88" s="136"/>
    </row>
    <row r="89" spans="1:10" ht="17.25" customHeight="1">
      <c r="A89" s="147"/>
      <c r="B89" s="228">
        <f>'F(Bridge)'!B43</f>
        <v>170</v>
      </c>
      <c r="C89" s="2395">
        <f t="shared" si="4"/>
        <v>0</v>
      </c>
      <c r="D89" s="2396"/>
      <c r="E89" s="2395">
        <v>3.5</v>
      </c>
      <c r="F89" s="2396"/>
      <c r="G89" s="2397">
        <f t="shared" si="5"/>
        <v>3.5</v>
      </c>
      <c r="H89" s="2398"/>
      <c r="I89" s="309"/>
      <c r="J89" s="136"/>
    </row>
    <row r="90" spans="1:10" ht="17.25" customHeight="1">
      <c r="A90" s="147"/>
      <c r="B90" s="228">
        <f>'F(Bridge)'!B44</f>
        <v>175</v>
      </c>
      <c r="C90" s="2395">
        <f t="shared" si="4"/>
        <v>0</v>
      </c>
      <c r="D90" s="2396"/>
      <c r="E90" s="2395">
        <v>3.5</v>
      </c>
      <c r="F90" s="2396"/>
      <c r="G90" s="2397">
        <f t="shared" si="5"/>
        <v>3.5</v>
      </c>
      <c r="H90" s="2398"/>
      <c r="I90" s="309"/>
      <c r="J90" s="136"/>
    </row>
    <row r="91" spans="1:10" ht="17.25" customHeight="1">
      <c r="A91" s="147"/>
      <c r="B91" s="228">
        <f>'F(Bridge)'!B45</f>
        <v>180</v>
      </c>
      <c r="C91" s="2395">
        <f t="shared" si="4"/>
        <v>0</v>
      </c>
      <c r="D91" s="2396"/>
      <c r="E91" s="2395">
        <v>3.5</v>
      </c>
      <c r="F91" s="2396"/>
      <c r="G91" s="2397">
        <f t="shared" si="5"/>
        <v>3.5</v>
      </c>
      <c r="H91" s="2398"/>
      <c r="I91" s="309"/>
      <c r="J91" s="136"/>
    </row>
    <row r="92" spans="1:10" ht="17.25" customHeight="1">
      <c r="A92" s="147"/>
      <c r="B92" s="228">
        <f>'F(Bridge)'!B46</f>
        <v>185</v>
      </c>
      <c r="C92" s="2395">
        <f t="shared" si="4"/>
        <v>0</v>
      </c>
      <c r="D92" s="2396"/>
      <c r="E92" s="2395">
        <v>3.5</v>
      </c>
      <c r="F92" s="2396"/>
      <c r="G92" s="2397">
        <f t="shared" si="5"/>
        <v>3.5</v>
      </c>
      <c r="H92" s="2398"/>
      <c r="I92" s="309"/>
      <c r="J92" s="136"/>
    </row>
    <row r="93" spans="1:10" ht="17.25" customHeight="1">
      <c r="A93" s="147"/>
      <c r="B93" s="228">
        <f>'F(Bridge)'!B47</f>
        <v>190</v>
      </c>
      <c r="C93" s="2395">
        <f t="shared" si="4"/>
        <v>0</v>
      </c>
      <c r="D93" s="2396"/>
      <c r="E93" s="2395">
        <v>3.5</v>
      </c>
      <c r="F93" s="2396"/>
      <c r="G93" s="2397">
        <f t="shared" si="5"/>
        <v>3.5</v>
      </c>
      <c r="H93" s="2398"/>
      <c r="I93" s="309"/>
      <c r="J93" s="136"/>
    </row>
    <row r="94" spans="1:10" ht="17.25" customHeight="1">
      <c r="A94" s="147"/>
      <c r="B94" s="228">
        <f>'F(Bridge)'!B48</f>
        <v>195</v>
      </c>
      <c r="C94" s="2395">
        <f t="shared" si="4"/>
        <v>0</v>
      </c>
      <c r="D94" s="2396"/>
      <c r="E94" s="2395">
        <v>3.5</v>
      </c>
      <c r="F94" s="2396"/>
      <c r="G94" s="2397">
        <f t="shared" si="5"/>
        <v>3.5</v>
      </c>
      <c r="H94" s="2398"/>
      <c r="I94" s="309"/>
      <c r="J94" s="136"/>
    </row>
    <row r="95" spans="1:10" ht="17.25" customHeight="1">
      <c r="A95" s="206" t="s">
        <v>511</v>
      </c>
      <c r="B95" s="329">
        <f>'F(Bridge)'!B49</f>
        <v>200</v>
      </c>
      <c r="C95" s="2399">
        <f t="shared" si="4"/>
        <v>0</v>
      </c>
      <c r="D95" s="2400"/>
      <c r="E95" s="2399">
        <v>3.5</v>
      </c>
      <c r="F95" s="2400"/>
      <c r="G95" s="2401">
        <f t="shared" si="5"/>
        <v>3.5</v>
      </c>
      <c r="H95" s="2402"/>
      <c r="I95" s="143"/>
      <c r="J95" s="83"/>
    </row>
    <row r="96" spans="1:10" ht="17.25" customHeight="1"/>
  </sheetData>
  <mergeCells count="137">
    <mergeCell ref="G94:H94"/>
    <mergeCell ref="C92:D92"/>
    <mergeCell ref="G93:H93"/>
    <mergeCell ref="E91:F91"/>
    <mergeCell ref="G91:H91"/>
    <mergeCell ref="C95:D95"/>
    <mergeCell ref="E95:F95"/>
    <mergeCell ref="G95:H95"/>
    <mergeCell ref="C93:D93"/>
    <mergeCell ref="E93:F93"/>
    <mergeCell ref="C94:D94"/>
    <mergeCell ref="E94:F94"/>
    <mergeCell ref="C89:D89"/>
    <mergeCell ref="E89:F89"/>
    <mergeCell ref="G89:H89"/>
    <mergeCell ref="E92:F92"/>
    <mergeCell ref="G92:H92"/>
    <mergeCell ref="C90:D90"/>
    <mergeCell ref="E90:F90"/>
    <mergeCell ref="G90:H90"/>
    <mergeCell ref="C91:D91"/>
    <mergeCell ref="C88:D88"/>
    <mergeCell ref="E88:F88"/>
    <mergeCell ref="G88:H88"/>
    <mergeCell ref="C81:D81"/>
    <mergeCell ref="E81:F81"/>
    <mergeCell ref="G81:H81"/>
    <mergeCell ref="C82:D82"/>
    <mergeCell ref="E82:F82"/>
    <mergeCell ref="G82:H82"/>
    <mergeCell ref="C83:D83"/>
    <mergeCell ref="E83:F83"/>
    <mergeCell ref="G83:H83"/>
    <mergeCell ref="C84:D84"/>
    <mergeCell ref="E84:F84"/>
    <mergeCell ref="G84:H84"/>
    <mergeCell ref="C85:D85"/>
    <mergeCell ref="E85:F85"/>
    <mergeCell ref="G85:H85"/>
    <mergeCell ref="C86:D86"/>
    <mergeCell ref="E86:F86"/>
    <mergeCell ref="G86:H86"/>
    <mergeCell ref="C87:D87"/>
    <mergeCell ref="E87:F87"/>
    <mergeCell ref="G87:H87"/>
    <mergeCell ref="C80:D80"/>
    <mergeCell ref="E80:F80"/>
    <mergeCell ref="G80:H80"/>
    <mergeCell ref="C73:D73"/>
    <mergeCell ref="E73:F73"/>
    <mergeCell ref="G73:H73"/>
    <mergeCell ref="C74:D74"/>
    <mergeCell ref="E74:F74"/>
    <mergeCell ref="G74:H74"/>
    <mergeCell ref="C75:D75"/>
    <mergeCell ref="E75:F75"/>
    <mergeCell ref="G75:H75"/>
    <mergeCell ref="C76:D76"/>
    <mergeCell ref="E76:F76"/>
    <mergeCell ref="G76:H76"/>
    <mergeCell ref="C77:D77"/>
    <mergeCell ref="E77:F77"/>
    <mergeCell ref="G77:H77"/>
    <mergeCell ref="C78:D78"/>
    <mergeCell ref="E78:F78"/>
    <mergeCell ref="G78:H78"/>
    <mergeCell ref="C79:D79"/>
    <mergeCell ref="E79:F79"/>
    <mergeCell ref="G79:H79"/>
    <mergeCell ref="C72:D72"/>
    <mergeCell ref="E72:F72"/>
    <mergeCell ref="G72:H72"/>
    <mergeCell ref="C65:D65"/>
    <mergeCell ref="E65:F65"/>
    <mergeCell ref="G65:H65"/>
    <mergeCell ref="C66:D66"/>
    <mergeCell ref="E66:F66"/>
    <mergeCell ref="G66:H66"/>
    <mergeCell ref="C67:D67"/>
    <mergeCell ref="E67:F67"/>
    <mergeCell ref="G67:H67"/>
    <mergeCell ref="C68:D68"/>
    <mergeCell ref="E68:F68"/>
    <mergeCell ref="G68:H68"/>
    <mergeCell ref="C69:D69"/>
    <mergeCell ref="E69:F69"/>
    <mergeCell ref="G69:H69"/>
    <mergeCell ref="C70:D70"/>
    <mergeCell ref="E70:F70"/>
    <mergeCell ref="G70:H70"/>
    <mergeCell ref="C71:D71"/>
    <mergeCell ref="E71:F71"/>
    <mergeCell ref="G71:H71"/>
    <mergeCell ref="C64:D64"/>
    <mergeCell ref="E64:F64"/>
    <mergeCell ref="G64:H64"/>
    <mergeCell ref="C57:D57"/>
    <mergeCell ref="E57:F57"/>
    <mergeCell ref="G57:H57"/>
    <mergeCell ref="C58:D58"/>
    <mergeCell ref="E58:F58"/>
    <mergeCell ref="G58:H58"/>
    <mergeCell ref="C59:D59"/>
    <mergeCell ref="E59:F59"/>
    <mergeCell ref="G59:H59"/>
    <mergeCell ref="C60:D60"/>
    <mergeCell ref="E60:F60"/>
    <mergeCell ref="G60:H60"/>
    <mergeCell ref="C61:D61"/>
    <mergeCell ref="E61:F61"/>
    <mergeCell ref="G61:H61"/>
    <mergeCell ref="C62:D62"/>
    <mergeCell ref="E62:F62"/>
    <mergeCell ref="G62:H62"/>
    <mergeCell ref="C63:D63"/>
    <mergeCell ref="E63:F63"/>
    <mergeCell ref="G63:H63"/>
    <mergeCell ref="C56:D56"/>
    <mergeCell ref="E56:F56"/>
    <mergeCell ref="G56:H56"/>
    <mergeCell ref="A1:J1"/>
    <mergeCell ref="A2:J2"/>
    <mergeCell ref="A6:B6"/>
    <mergeCell ref="H6:J8"/>
    <mergeCell ref="A7:B7"/>
    <mergeCell ref="A8:B8"/>
    <mergeCell ref="A50:J50"/>
    <mergeCell ref="A51:J51"/>
    <mergeCell ref="A54:B54"/>
    <mergeCell ref="C54:D54"/>
    <mergeCell ref="E54:F54"/>
    <mergeCell ref="G54:H54"/>
    <mergeCell ref="I54:J55"/>
    <mergeCell ref="A55:B55"/>
    <mergeCell ref="C55:D55"/>
    <mergeCell ref="E55:F55"/>
    <mergeCell ref="G55:H55"/>
  </mergeCells>
  <phoneticPr fontId="31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>
    <tabColor rgb="FF92D050"/>
  </sheetPr>
  <dimension ref="A1:J101"/>
  <sheetViews>
    <sheetView workbookViewId="0">
      <selection activeCell="N12" sqref="N12"/>
    </sheetView>
  </sheetViews>
  <sheetFormatPr defaultRowHeight="21"/>
  <cols>
    <col min="1" max="1" width="4.33203125" customWidth="1"/>
    <col min="2" max="2" width="7.33203125" customWidth="1"/>
    <col min="3" max="6" width="12.5" customWidth="1"/>
    <col min="7" max="7" width="19.5" customWidth="1"/>
    <col min="10" max="10" width="12.5" customWidth="1"/>
  </cols>
  <sheetData>
    <row r="1" spans="1:10">
      <c r="A1" s="2336" t="s">
        <v>635</v>
      </c>
      <c r="B1" s="2336"/>
      <c r="C1" s="2336"/>
      <c r="D1" s="2336"/>
      <c r="E1" s="2336"/>
      <c r="F1" s="2336"/>
      <c r="G1" s="2336"/>
      <c r="H1" s="2336"/>
      <c r="I1" s="2336"/>
      <c r="J1" s="2336"/>
    </row>
    <row r="2" spans="1:10" ht="26.25">
      <c r="A2" s="2403" t="s">
        <v>636</v>
      </c>
      <c r="B2" s="2403"/>
      <c r="C2" s="2403"/>
      <c r="D2" s="2403"/>
      <c r="E2" s="2403"/>
      <c r="F2" s="2403"/>
      <c r="G2" s="2403"/>
      <c r="H2" s="2403"/>
      <c r="I2" s="2403"/>
      <c r="J2" s="2403"/>
    </row>
    <row r="3" spans="1:10">
      <c r="B3" t="s">
        <v>495</v>
      </c>
      <c r="D3">
        <f>'(F Road)'!I3</f>
        <v>5</v>
      </c>
      <c r="E3" t="s">
        <v>637</v>
      </c>
      <c r="G3" t="s">
        <v>638</v>
      </c>
      <c r="H3">
        <f>'(F Road)'!D3</f>
        <v>0</v>
      </c>
      <c r="I3" t="s">
        <v>639</v>
      </c>
    </row>
    <row r="4" spans="1:10">
      <c r="B4" t="s">
        <v>640</v>
      </c>
      <c r="D4">
        <v>3</v>
      </c>
      <c r="E4" t="s">
        <v>641</v>
      </c>
      <c r="G4" t="s">
        <v>642</v>
      </c>
      <c r="H4">
        <f>'(F Road)'!D4</f>
        <v>0</v>
      </c>
      <c r="I4" t="s">
        <v>639</v>
      </c>
    </row>
    <row r="5" spans="1:10">
      <c r="B5" s="117" t="s">
        <v>643</v>
      </c>
      <c r="C5" s="118" t="s">
        <v>644</v>
      </c>
    </row>
    <row r="6" spans="1:10">
      <c r="A6" s="2404" t="s">
        <v>645</v>
      </c>
      <c r="B6" s="2405"/>
      <c r="C6" s="119" t="s">
        <v>646</v>
      </c>
      <c r="D6" s="119" t="s">
        <v>647</v>
      </c>
      <c r="E6" s="119" t="s">
        <v>648</v>
      </c>
      <c r="F6" s="119" t="s">
        <v>649</v>
      </c>
      <c r="G6" s="119" t="s">
        <v>650</v>
      </c>
      <c r="H6" s="2378" t="s">
        <v>895</v>
      </c>
      <c r="I6" s="2406"/>
      <c r="J6" s="2407"/>
    </row>
    <row r="7" spans="1:10">
      <c r="A7" s="120"/>
      <c r="B7" s="121"/>
      <c r="C7" s="122"/>
      <c r="D7" s="122" t="s">
        <v>651</v>
      </c>
      <c r="E7" s="122" t="s">
        <v>652</v>
      </c>
      <c r="F7" s="122" t="s">
        <v>495</v>
      </c>
      <c r="G7" s="122" t="s">
        <v>653</v>
      </c>
      <c r="H7" s="2408"/>
      <c r="I7" s="2409"/>
      <c r="J7" s="2410"/>
    </row>
    <row r="8" spans="1:10">
      <c r="A8" s="2414" t="s">
        <v>505</v>
      </c>
      <c r="B8" s="2415"/>
      <c r="C8" s="123" t="s">
        <v>654</v>
      </c>
      <c r="D8" s="123" t="s">
        <v>494</v>
      </c>
      <c r="E8" s="123" t="s">
        <v>494</v>
      </c>
      <c r="F8" s="123" t="s">
        <v>496</v>
      </c>
      <c r="G8" s="123" t="s">
        <v>494</v>
      </c>
      <c r="H8" s="2411"/>
      <c r="I8" s="2412"/>
      <c r="J8" s="2413"/>
    </row>
    <row r="9" spans="1:10" ht="18" customHeight="1">
      <c r="A9" s="124" t="s">
        <v>510</v>
      </c>
      <c r="B9" s="125">
        <f>'(F Road)'!B10</f>
        <v>5</v>
      </c>
      <c r="C9" s="126">
        <f>'อำนวยการ(Road)'!E8</f>
        <v>6</v>
      </c>
      <c r="D9" s="127">
        <f>$H$3</f>
        <v>0</v>
      </c>
      <c r="E9" s="127">
        <f>$H$4</f>
        <v>0</v>
      </c>
      <c r="F9" s="126">
        <f>$D$3</f>
        <v>5</v>
      </c>
      <c r="G9" s="128">
        <f>-F9/12*(E9/100+(C9+$D$4-1)*D9/100-(D9+E9)/100*(C9+1)/2-($D$4-1))</f>
        <v>0.83333333333333337</v>
      </c>
      <c r="J9" s="129"/>
    </row>
    <row r="10" spans="1:10" ht="18" customHeight="1">
      <c r="A10" s="130"/>
      <c r="B10" s="131">
        <f>'(F Road)'!B11</f>
        <v>10</v>
      </c>
      <c r="C10" s="132">
        <f>'อำนวยการ(Road)'!E9</f>
        <v>9</v>
      </c>
      <c r="D10" s="133">
        <f>$H$3</f>
        <v>0</v>
      </c>
      <c r="E10" s="133">
        <f>$H$4</f>
        <v>0</v>
      </c>
      <c r="F10" s="132">
        <f>$D$3</f>
        <v>5</v>
      </c>
      <c r="G10" s="134">
        <f>-F10/12*(E10/100+(C10+$D$4-1)*D10/100-(D10+E10)/100*(C10+1)/2-($D$4-1))</f>
        <v>0.83333333333333337</v>
      </c>
      <c r="H10" s="135" t="s">
        <v>655</v>
      </c>
      <c r="J10" s="136"/>
    </row>
    <row r="11" spans="1:10" ht="18" customHeight="1">
      <c r="A11" s="130"/>
      <c r="B11" s="131">
        <f>'(F Road)'!B12</f>
        <v>20</v>
      </c>
      <c r="C11" s="132">
        <f>'อำนวยการ(Road)'!E10</f>
        <v>12</v>
      </c>
      <c r="D11" s="133">
        <f t="shared" ref="D11:D44" si="0">$H$3</f>
        <v>0</v>
      </c>
      <c r="E11" s="133">
        <f t="shared" ref="E11:E44" si="1">$H$4</f>
        <v>0</v>
      </c>
      <c r="F11" s="132">
        <f t="shared" ref="F11:F44" si="2">$D$3</f>
        <v>5</v>
      </c>
      <c r="G11" s="134">
        <f t="shared" ref="G11:G44" si="3">-F11/12*(E11/100+(C11+$D$4-1)*D11/100-(D11+E11)/100*(C11+1)/2-($D$4-1))</f>
        <v>0.83333333333333337</v>
      </c>
      <c r="H11" s="137" t="s">
        <v>656</v>
      </c>
      <c r="I11" s="138" t="s">
        <v>657</v>
      </c>
      <c r="J11" s="136"/>
    </row>
    <row r="12" spans="1:10" ht="18" customHeight="1">
      <c r="A12" s="130"/>
      <c r="B12" s="131">
        <f>'(F Road)'!B13</f>
        <v>30</v>
      </c>
      <c r="C12" s="132">
        <f>'อำนวยการ(Road)'!E11</f>
        <v>12</v>
      </c>
      <c r="D12" s="133">
        <f t="shared" si="0"/>
        <v>0</v>
      </c>
      <c r="E12" s="133">
        <f t="shared" si="1"/>
        <v>0</v>
      </c>
      <c r="F12" s="132">
        <f t="shared" si="2"/>
        <v>5</v>
      </c>
      <c r="G12" s="134">
        <f t="shared" si="3"/>
        <v>0.83333333333333337</v>
      </c>
      <c r="H12" s="137" t="s">
        <v>658</v>
      </c>
      <c r="I12" s="138" t="s">
        <v>659</v>
      </c>
      <c r="J12" s="136"/>
    </row>
    <row r="13" spans="1:10" ht="18" customHeight="1">
      <c r="A13" s="130"/>
      <c r="B13" s="131">
        <f>'(F Road)'!B14</f>
        <v>40</v>
      </c>
      <c r="C13" s="132">
        <f>'อำนวยการ(Road)'!E12</f>
        <v>16</v>
      </c>
      <c r="D13" s="133">
        <f t="shared" si="0"/>
        <v>0</v>
      </c>
      <c r="E13" s="133">
        <f t="shared" si="1"/>
        <v>0</v>
      </c>
      <c r="F13" s="132">
        <f t="shared" si="2"/>
        <v>5</v>
      </c>
      <c r="G13" s="134">
        <f t="shared" si="3"/>
        <v>0.83333333333333337</v>
      </c>
      <c r="H13" s="137" t="s">
        <v>660</v>
      </c>
      <c r="I13" s="138" t="s">
        <v>661</v>
      </c>
      <c r="J13" s="136"/>
    </row>
    <row r="14" spans="1:10" ht="18" customHeight="1">
      <c r="A14" s="130"/>
      <c r="B14" s="131">
        <f>'(F Road)'!B15</f>
        <v>50</v>
      </c>
      <c r="C14" s="132">
        <f>'อำนวยการ(Road)'!E13</f>
        <v>18</v>
      </c>
      <c r="D14" s="133">
        <f t="shared" si="0"/>
        <v>0</v>
      </c>
      <c r="E14" s="133">
        <f t="shared" si="1"/>
        <v>0</v>
      </c>
      <c r="F14" s="132">
        <f t="shared" si="2"/>
        <v>5</v>
      </c>
      <c r="G14" s="134">
        <f t="shared" si="3"/>
        <v>0.83333333333333337</v>
      </c>
      <c r="H14" s="137" t="s">
        <v>662</v>
      </c>
      <c r="I14" s="138" t="s">
        <v>663</v>
      </c>
      <c r="J14" s="136"/>
    </row>
    <row r="15" spans="1:10" ht="18" customHeight="1">
      <c r="A15" s="130"/>
      <c r="B15" s="131">
        <f>'(F Road)'!B16</f>
        <v>60</v>
      </c>
      <c r="C15" s="132">
        <f>'อำนวยการ(Road)'!E14</f>
        <v>18</v>
      </c>
      <c r="D15" s="133">
        <f t="shared" si="0"/>
        <v>0</v>
      </c>
      <c r="E15" s="133">
        <f t="shared" si="1"/>
        <v>0</v>
      </c>
      <c r="F15" s="132">
        <f t="shared" si="2"/>
        <v>5</v>
      </c>
      <c r="G15" s="134">
        <f t="shared" si="3"/>
        <v>0.83333333333333337</v>
      </c>
      <c r="H15" s="137" t="s">
        <v>664</v>
      </c>
      <c r="I15" s="138" t="s">
        <v>665</v>
      </c>
      <c r="J15" s="136"/>
    </row>
    <row r="16" spans="1:10" ht="18" customHeight="1">
      <c r="A16" s="130"/>
      <c r="B16" s="131">
        <f>'(F Road)'!B17</f>
        <v>70</v>
      </c>
      <c r="C16" s="132">
        <f>'อำนวยการ(Road)'!E15</f>
        <v>19</v>
      </c>
      <c r="D16" s="133">
        <f t="shared" si="0"/>
        <v>0</v>
      </c>
      <c r="E16" s="133">
        <f t="shared" si="1"/>
        <v>0</v>
      </c>
      <c r="F16" s="132">
        <f t="shared" si="2"/>
        <v>5</v>
      </c>
      <c r="G16" s="134">
        <f t="shared" si="3"/>
        <v>0.83333333333333337</v>
      </c>
      <c r="H16" s="137" t="s">
        <v>666</v>
      </c>
      <c r="I16" s="138" t="s">
        <v>667</v>
      </c>
      <c r="J16" s="136"/>
    </row>
    <row r="17" spans="1:10" ht="18" customHeight="1">
      <c r="A17" s="130"/>
      <c r="B17" s="131">
        <f>'(F Road)'!B18</f>
        <v>80</v>
      </c>
      <c r="C17" s="132">
        <f>'อำนวยการ(Road)'!E16</f>
        <v>20</v>
      </c>
      <c r="D17" s="133">
        <f t="shared" si="0"/>
        <v>0</v>
      </c>
      <c r="E17" s="133">
        <f t="shared" si="1"/>
        <v>0</v>
      </c>
      <c r="F17" s="132">
        <f t="shared" si="2"/>
        <v>5</v>
      </c>
      <c r="G17" s="134">
        <f t="shared" si="3"/>
        <v>0.83333333333333337</v>
      </c>
      <c r="J17" s="136"/>
    </row>
    <row r="18" spans="1:10" ht="18" customHeight="1">
      <c r="A18" s="130"/>
      <c r="B18" s="131">
        <f>'(F Road)'!B19</f>
        <v>90</v>
      </c>
      <c r="C18" s="132">
        <f>'อำนวยการ(Road)'!E17</f>
        <v>20</v>
      </c>
      <c r="D18" s="133">
        <f t="shared" si="0"/>
        <v>0</v>
      </c>
      <c r="E18" s="133">
        <f t="shared" si="1"/>
        <v>0</v>
      </c>
      <c r="F18" s="132">
        <f t="shared" si="2"/>
        <v>5</v>
      </c>
      <c r="G18" s="134">
        <f t="shared" si="3"/>
        <v>0.83333333333333337</v>
      </c>
      <c r="J18" s="136"/>
    </row>
    <row r="19" spans="1:10" ht="18" customHeight="1">
      <c r="A19" s="130"/>
      <c r="B19" s="131">
        <f>'(F Road)'!B20</f>
        <v>100</v>
      </c>
      <c r="C19" s="132">
        <f>'อำนวยการ(Road)'!E18</f>
        <v>20</v>
      </c>
      <c r="D19" s="133">
        <f t="shared" si="0"/>
        <v>0</v>
      </c>
      <c r="E19" s="133">
        <f t="shared" si="1"/>
        <v>0</v>
      </c>
      <c r="F19" s="132">
        <f t="shared" si="2"/>
        <v>5</v>
      </c>
      <c r="G19" s="134">
        <f t="shared" si="3"/>
        <v>0.83333333333333337</v>
      </c>
      <c r="J19" s="136"/>
    </row>
    <row r="20" spans="1:10" ht="18" customHeight="1">
      <c r="A20" s="130"/>
      <c r="B20" s="131">
        <f>'(F Road)'!B21</f>
        <v>110</v>
      </c>
      <c r="C20" s="132">
        <f>'อำนวยการ(Road)'!E19</f>
        <v>21</v>
      </c>
      <c r="D20" s="133">
        <f t="shared" si="0"/>
        <v>0</v>
      </c>
      <c r="E20" s="133">
        <f t="shared" si="1"/>
        <v>0</v>
      </c>
      <c r="F20" s="132">
        <f t="shared" si="2"/>
        <v>5</v>
      </c>
      <c r="G20" s="134">
        <f t="shared" si="3"/>
        <v>0.83333333333333337</v>
      </c>
      <c r="J20" s="136"/>
    </row>
    <row r="21" spans="1:10" ht="18" customHeight="1">
      <c r="A21" s="130"/>
      <c r="B21" s="131">
        <f>'(F Road)'!B22</f>
        <v>120</v>
      </c>
      <c r="C21" s="132">
        <f>'อำนวยการ(Road)'!E20</f>
        <v>22</v>
      </c>
      <c r="D21" s="133">
        <f t="shared" si="0"/>
        <v>0</v>
      </c>
      <c r="E21" s="133">
        <f t="shared" si="1"/>
        <v>0</v>
      </c>
      <c r="F21" s="132">
        <f t="shared" si="2"/>
        <v>5</v>
      </c>
      <c r="G21" s="134">
        <f t="shared" si="3"/>
        <v>0.83333333333333337</v>
      </c>
      <c r="J21" s="136"/>
    </row>
    <row r="22" spans="1:10" ht="18" customHeight="1">
      <c r="A22" s="130"/>
      <c r="B22" s="131">
        <f>'(F Road)'!B23</f>
        <v>130</v>
      </c>
      <c r="C22" s="132">
        <f>'อำนวยการ(Road)'!E21</f>
        <v>22</v>
      </c>
      <c r="D22" s="133">
        <f t="shared" si="0"/>
        <v>0</v>
      </c>
      <c r="E22" s="133">
        <f t="shared" si="1"/>
        <v>0</v>
      </c>
      <c r="F22" s="132">
        <f t="shared" si="2"/>
        <v>5</v>
      </c>
      <c r="G22" s="134">
        <f t="shared" si="3"/>
        <v>0.83333333333333337</v>
      </c>
      <c r="J22" s="136"/>
    </row>
    <row r="23" spans="1:10" ht="18" customHeight="1">
      <c r="A23" s="130"/>
      <c r="B23" s="131">
        <f>'(F Road)'!B24</f>
        <v>140</v>
      </c>
      <c r="C23" s="132">
        <f>'อำนวยการ(Road)'!E22</f>
        <v>22</v>
      </c>
      <c r="D23" s="133">
        <f t="shared" si="0"/>
        <v>0</v>
      </c>
      <c r="E23" s="133">
        <f t="shared" si="1"/>
        <v>0</v>
      </c>
      <c r="F23" s="132">
        <f t="shared" si="2"/>
        <v>5</v>
      </c>
      <c r="G23" s="134">
        <f t="shared" si="3"/>
        <v>0.83333333333333337</v>
      </c>
      <c r="J23" s="136"/>
    </row>
    <row r="24" spans="1:10" ht="18" customHeight="1">
      <c r="A24" s="130"/>
      <c r="B24" s="131">
        <f>'(F Road)'!B25</f>
        <v>150</v>
      </c>
      <c r="C24" s="132">
        <f>'อำนวยการ(Road)'!E23</f>
        <v>22</v>
      </c>
      <c r="D24" s="133">
        <f t="shared" si="0"/>
        <v>0</v>
      </c>
      <c r="E24" s="133">
        <f t="shared" si="1"/>
        <v>0</v>
      </c>
      <c r="F24" s="132">
        <f t="shared" si="2"/>
        <v>5</v>
      </c>
      <c r="G24" s="134">
        <f t="shared" si="3"/>
        <v>0.83333333333333337</v>
      </c>
      <c r="J24" s="136"/>
    </row>
    <row r="25" spans="1:10" ht="18" customHeight="1">
      <c r="A25" s="130"/>
      <c r="B25" s="131">
        <f>'(F Road)'!B26</f>
        <v>160</v>
      </c>
      <c r="C25" s="132">
        <f>'อำนวยการ(Road)'!E24</f>
        <v>22</v>
      </c>
      <c r="D25" s="133">
        <f t="shared" si="0"/>
        <v>0</v>
      </c>
      <c r="E25" s="133">
        <f t="shared" si="1"/>
        <v>0</v>
      </c>
      <c r="F25" s="132">
        <f t="shared" si="2"/>
        <v>5</v>
      </c>
      <c r="G25" s="134">
        <f t="shared" si="3"/>
        <v>0.83333333333333337</v>
      </c>
      <c r="J25" s="136"/>
    </row>
    <row r="26" spans="1:10" ht="18" customHeight="1">
      <c r="A26" s="130"/>
      <c r="B26" s="131">
        <f>'(F Road)'!B27</f>
        <v>170</v>
      </c>
      <c r="C26" s="132">
        <f>'อำนวยการ(Road)'!E25</f>
        <v>22</v>
      </c>
      <c r="D26" s="133">
        <f t="shared" si="0"/>
        <v>0</v>
      </c>
      <c r="E26" s="133">
        <f t="shared" si="1"/>
        <v>0</v>
      </c>
      <c r="F26" s="132">
        <f t="shared" si="2"/>
        <v>5</v>
      </c>
      <c r="G26" s="134">
        <f t="shared" si="3"/>
        <v>0.83333333333333337</v>
      </c>
      <c r="J26" s="136"/>
    </row>
    <row r="27" spans="1:10" ht="18" customHeight="1">
      <c r="A27" s="130"/>
      <c r="B27" s="131">
        <f>'(F Road)'!B28</f>
        <v>180</v>
      </c>
      <c r="C27" s="132">
        <f>'อำนวยการ(Road)'!E26</f>
        <v>22</v>
      </c>
      <c r="D27" s="133">
        <f t="shared" si="0"/>
        <v>0</v>
      </c>
      <c r="E27" s="133">
        <f t="shared" si="1"/>
        <v>0</v>
      </c>
      <c r="F27" s="132">
        <f t="shared" si="2"/>
        <v>5</v>
      </c>
      <c r="G27" s="134">
        <f t="shared" si="3"/>
        <v>0.83333333333333337</v>
      </c>
      <c r="J27" s="136"/>
    </row>
    <row r="28" spans="1:10" ht="18" customHeight="1">
      <c r="A28" s="130"/>
      <c r="B28" s="131">
        <f>'(F Road)'!B29</f>
        <v>190</v>
      </c>
      <c r="C28" s="132">
        <f>'อำนวยการ(Road)'!E27</f>
        <v>23</v>
      </c>
      <c r="D28" s="133">
        <f t="shared" si="0"/>
        <v>0</v>
      </c>
      <c r="E28" s="133">
        <f t="shared" si="1"/>
        <v>0</v>
      </c>
      <c r="F28" s="132">
        <f t="shared" si="2"/>
        <v>5</v>
      </c>
      <c r="G28" s="134">
        <f t="shared" si="3"/>
        <v>0.83333333333333337</v>
      </c>
      <c r="J28" s="136"/>
    </row>
    <row r="29" spans="1:10" ht="18" customHeight="1">
      <c r="A29" s="130"/>
      <c r="B29" s="131">
        <f>'(F Road)'!B30</f>
        <v>200</v>
      </c>
      <c r="C29" s="132">
        <f>'อำนวยการ(Road)'!E28</f>
        <v>23</v>
      </c>
      <c r="D29" s="133">
        <f t="shared" si="0"/>
        <v>0</v>
      </c>
      <c r="E29" s="133">
        <f t="shared" si="1"/>
        <v>0</v>
      </c>
      <c r="F29" s="132">
        <f t="shared" si="2"/>
        <v>5</v>
      </c>
      <c r="G29" s="134">
        <f t="shared" si="3"/>
        <v>0.83333333333333337</v>
      </c>
      <c r="J29" s="136"/>
    </row>
    <row r="30" spans="1:10" ht="18" customHeight="1">
      <c r="A30" s="130"/>
      <c r="B30" s="131">
        <f>'(F Road)'!B31</f>
        <v>210</v>
      </c>
      <c r="C30" s="132">
        <f>'อำนวยการ(Road)'!E29</f>
        <v>23</v>
      </c>
      <c r="D30" s="133">
        <f t="shared" si="0"/>
        <v>0</v>
      </c>
      <c r="E30" s="133">
        <f t="shared" si="1"/>
        <v>0</v>
      </c>
      <c r="F30" s="132">
        <f t="shared" si="2"/>
        <v>5</v>
      </c>
      <c r="G30" s="134">
        <f t="shared" si="3"/>
        <v>0.83333333333333337</v>
      </c>
      <c r="J30" s="136"/>
    </row>
    <row r="31" spans="1:10" ht="18" customHeight="1">
      <c r="A31" s="130"/>
      <c r="B31" s="131">
        <f>'(F Road)'!B32</f>
        <v>220</v>
      </c>
      <c r="C31" s="132">
        <f>'อำนวยการ(Road)'!E30</f>
        <v>23</v>
      </c>
      <c r="D31" s="133">
        <f t="shared" si="0"/>
        <v>0</v>
      </c>
      <c r="E31" s="133">
        <f t="shared" si="1"/>
        <v>0</v>
      </c>
      <c r="F31" s="132">
        <f t="shared" si="2"/>
        <v>5</v>
      </c>
      <c r="G31" s="134">
        <f t="shared" si="3"/>
        <v>0.83333333333333337</v>
      </c>
      <c r="J31" s="136"/>
    </row>
    <row r="32" spans="1:10" ht="18" customHeight="1">
      <c r="A32" s="130"/>
      <c r="B32" s="131">
        <f>'(F Road)'!B33</f>
        <v>230</v>
      </c>
      <c r="C32" s="132">
        <f>'อำนวยการ(Road)'!E31</f>
        <v>23</v>
      </c>
      <c r="D32" s="133">
        <f t="shared" si="0"/>
        <v>0</v>
      </c>
      <c r="E32" s="133">
        <f t="shared" si="1"/>
        <v>0</v>
      </c>
      <c r="F32" s="132">
        <f t="shared" si="2"/>
        <v>5</v>
      </c>
      <c r="G32" s="134">
        <f t="shared" si="3"/>
        <v>0.83333333333333337</v>
      </c>
      <c r="J32" s="136"/>
    </row>
    <row r="33" spans="1:10" ht="18" customHeight="1">
      <c r="A33" s="130"/>
      <c r="B33" s="131">
        <f>'(F Road)'!B34</f>
        <v>240</v>
      </c>
      <c r="C33" s="132">
        <f>'อำนวยการ(Road)'!E32</f>
        <v>23</v>
      </c>
      <c r="D33" s="133">
        <f t="shared" si="0"/>
        <v>0</v>
      </c>
      <c r="E33" s="133">
        <f t="shared" si="1"/>
        <v>0</v>
      </c>
      <c r="F33" s="132">
        <f t="shared" si="2"/>
        <v>5</v>
      </c>
      <c r="G33" s="134">
        <f t="shared" si="3"/>
        <v>0.83333333333333337</v>
      </c>
      <c r="J33" s="136"/>
    </row>
    <row r="34" spans="1:10" ht="18" customHeight="1">
      <c r="A34" s="130"/>
      <c r="B34" s="131">
        <f>'(F Road)'!B35</f>
        <v>250</v>
      </c>
      <c r="C34" s="132">
        <f>'อำนวยการ(Road)'!E33</f>
        <v>23</v>
      </c>
      <c r="D34" s="133">
        <f t="shared" si="0"/>
        <v>0</v>
      </c>
      <c r="E34" s="133">
        <f t="shared" si="1"/>
        <v>0</v>
      </c>
      <c r="F34" s="132">
        <f t="shared" si="2"/>
        <v>5</v>
      </c>
      <c r="G34" s="134">
        <f t="shared" si="3"/>
        <v>0.83333333333333337</v>
      </c>
      <c r="J34" s="136"/>
    </row>
    <row r="35" spans="1:10" ht="18" customHeight="1">
      <c r="A35" s="130"/>
      <c r="B35" s="131">
        <f>'(F Road)'!B36</f>
        <v>260</v>
      </c>
      <c r="C35" s="132">
        <f>'อำนวยการ(Road)'!E34</f>
        <v>23</v>
      </c>
      <c r="D35" s="133">
        <f t="shared" si="0"/>
        <v>0</v>
      </c>
      <c r="E35" s="133">
        <f t="shared" si="1"/>
        <v>0</v>
      </c>
      <c r="F35" s="132">
        <f t="shared" si="2"/>
        <v>5</v>
      </c>
      <c r="G35" s="134">
        <f t="shared" si="3"/>
        <v>0.83333333333333337</v>
      </c>
      <c r="J35" s="136"/>
    </row>
    <row r="36" spans="1:10" ht="18" customHeight="1">
      <c r="A36" s="130"/>
      <c r="B36" s="131">
        <f>'(F Road)'!B37</f>
        <v>270</v>
      </c>
      <c r="C36" s="132">
        <f>'อำนวยการ(Road)'!E35</f>
        <v>23</v>
      </c>
      <c r="D36" s="133">
        <f t="shared" si="0"/>
        <v>0</v>
      </c>
      <c r="E36" s="133">
        <f t="shared" si="1"/>
        <v>0</v>
      </c>
      <c r="F36" s="132">
        <f t="shared" si="2"/>
        <v>5</v>
      </c>
      <c r="G36" s="134">
        <f t="shared" si="3"/>
        <v>0.83333333333333337</v>
      </c>
      <c r="J36" s="136"/>
    </row>
    <row r="37" spans="1:10" ht="18" customHeight="1">
      <c r="A37" s="130"/>
      <c r="B37" s="131">
        <f>'(F Road)'!B38</f>
        <v>280</v>
      </c>
      <c r="C37" s="132">
        <f>'อำนวยการ(Road)'!E36</f>
        <v>23</v>
      </c>
      <c r="D37" s="133">
        <f t="shared" si="0"/>
        <v>0</v>
      </c>
      <c r="E37" s="133">
        <f t="shared" si="1"/>
        <v>0</v>
      </c>
      <c r="F37" s="132">
        <f t="shared" si="2"/>
        <v>5</v>
      </c>
      <c r="G37" s="134">
        <f t="shared" si="3"/>
        <v>0.83333333333333337</v>
      </c>
      <c r="J37" s="136"/>
    </row>
    <row r="38" spans="1:10" ht="18" customHeight="1">
      <c r="A38" s="130"/>
      <c r="B38" s="131">
        <f>'(F Road)'!B39</f>
        <v>290</v>
      </c>
      <c r="C38" s="132">
        <f>'อำนวยการ(Road)'!E37</f>
        <v>23</v>
      </c>
      <c r="D38" s="133">
        <f t="shared" si="0"/>
        <v>0</v>
      </c>
      <c r="E38" s="133">
        <f t="shared" si="1"/>
        <v>0</v>
      </c>
      <c r="F38" s="132">
        <f t="shared" si="2"/>
        <v>5</v>
      </c>
      <c r="G38" s="134">
        <f t="shared" si="3"/>
        <v>0.83333333333333337</v>
      </c>
      <c r="J38" s="136"/>
    </row>
    <row r="39" spans="1:10" ht="18" customHeight="1">
      <c r="A39" s="130"/>
      <c r="B39" s="131">
        <f>'(F Road)'!B40</f>
        <v>300</v>
      </c>
      <c r="C39" s="132">
        <f>'อำนวยการ(Road)'!E38</f>
        <v>23</v>
      </c>
      <c r="D39" s="133">
        <f t="shared" si="0"/>
        <v>0</v>
      </c>
      <c r="E39" s="133">
        <f t="shared" si="1"/>
        <v>0</v>
      </c>
      <c r="F39" s="132">
        <f t="shared" si="2"/>
        <v>5</v>
      </c>
      <c r="G39" s="134">
        <f t="shared" si="3"/>
        <v>0.83333333333333337</v>
      </c>
      <c r="J39" s="136"/>
    </row>
    <row r="40" spans="1:10" ht="18" customHeight="1">
      <c r="A40" s="130"/>
      <c r="B40" s="131">
        <f>'(F Road)'!B41</f>
        <v>350</v>
      </c>
      <c r="C40" s="132">
        <f>'อำนวยการ(Road)'!E39</f>
        <v>24</v>
      </c>
      <c r="D40" s="133">
        <f t="shared" si="0"/>
        <v>0</v>
      </c>
      <c r="E40" s="133">
        <f t="shared" si="1"/>
        <v>0</v>
      </c>
      <c r="F40" s="132">
        <f t="shared" si="2"/>
        <v>5</v>
      </c>
      <c r="G40" s="134">
        <f t="shared" si="3"/>
        <v>0.83333333333333337</v>
      </c>
      <c r="J40" s="136"/>
    </row>
    <row r="41" spans="1:10" ht="18" customHeight="1">
      <c r="A41" s="130"/>
      <c r="B41" s="131">
        <f>'(F Road)'!B42</f>
        <v>400</v>
      </c>
      <c r="C41" s="132">
        <f>'อำนวยการ(Road)'!E40</f>
        <v>24</v>
      </c>
      <c r="D41" s="133">
        <f t="shared" si="0"/>
        <v>0</v>
      </c>
      <c r="E41" s="133">
        <f t="shared" si="1"/>
        <v>0</v>
      </c>
      <c r="F41" s="132">
        <f t="shared" si="2"/>
        <v>5</v>
      </c>
      <c r="G41" s="134">
        <f t="shared" si="3"/>
        <v>0.83333333333333337</v>
      </c>
      <c r="J41" s="136"/>
    </row>
    <row r="42" spans="1:10" ht="18" customHeight="1">
      <c r="A42" s="130"/>
      <c r="B42" s="131">
        <f>'(F Road)'!B43</f>
        <v>450</v>
      </c>
      <c r="C42" s="132">
        <f>'อำนวยการ(Road)'!E41</f>
        <v>24</v>
      </c>
      <c r="D42" s="133">
        <f t="shared" si="0"/>
        <v>0</v>
      </c>
      <c r="E42" s="133">
        <f t="shared" si="1"/>
        <v>0</v>
      </c>
      <c r="F42" s="132">
        <f t="shared" si="2"/>
        <v>5</v>
      </c>
      <c r="G42" s="134">
        <f t="shared" si="3"/>
        <v>0.83333333333333337</v>
      </c>
      <c r="J42" s="136"/>
    </row>
    <row r="43" spans="1:10" ht="18" customHeight="1">
      <c r="A43" s="130"/>
      <c r="B43" s="131">
        <f>'(F Road)'!B44</f>
        <v>500</v>
      </c>
      <c r="C43" s="132">
        <f>'อำนวยการ(Road)'!E42</f>
        <v>24</v>
      </c>
      <c r="D43" s="133">
        <f t="shared" si="0"/>
        <v>0</v>
      </c>
      <c r="E43" s="133">
        <f t="shared" si="1"/>
        <v>0</v>
      </c>
      <c r="F43" s="132">
        <f t="shared" si="2"/>
        <v>5</v>
      </c>
      <c r="G43" s="134">
        <f t="shared" si="3"/>
        <v>0.83333333333333337</v>
      </c>
      <c r="J43" s="136"/>
    </row>
    <row r="44" spans="1:10" ht="18" customHeight="1">
      <c r="A44" s="139" t="s">
        <v>511</v>
      </c>
      <c r="B44" s="131">
        <f>'(F Road)'!B45</f>
        <v>700</v>
      </c>
      <c r="C44" s="132">
        <f>'อำนวยการ(Road)'!E43</f>
        <v>24</v>
      </c>
      <c r="D44" s="141">
        <f t="shared" si="0"/>
        <v>0</v>
      </c>
      <c r="E44" s="141">
        <f t="shared" si="1"/>
        <v>0</v>
      </c>
      <c r="F44" s="140">
        <f t="shared" si="2"/>
        <v>5</v>
      </c>
      <c r="G44" s="142">
        <f t="shared" si="3"/>
        <v>0.83333333333333337</v>
      </c>
      <c r="H44" s="143"/>
      <c r="I44" s="82"/>
      <c r="J44" s="83"/>
    </row>
    <row r="45" spans="1:10" ht="21.75" customHeight="1">
      <c r="A45" s="2336" t="s">
        <v>668</v>
      </c>
      <c r="B45" s="2336"/>
      <c r="C45" s="2336"/>
      <c r="D45" s="2336"/>
      <c r="E45" s="2336"/>
      <c r="F45" s="2336"/>
      <c r="G45" s="2336"/>
      <c r="H45" s="2336"/>
      <c r="I45" s="2336"/>
      <c r="J45" s="2336"/>
    </row>
    <row r="46" spans="1:10" ht="21.7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</row>
    <row r="47" spans="1:10" ht="26.25">
      <c r="A47" s="2403" t="s">
        <v>673</v>
      </c>
      <c r="B47" s="2403"/>
      <c r="C47" s="2403"/>
      <c r="D47" s="2403"/>
      <c r="E47" s="2403"/>
      <c r="F47" s="2403"/>
      <c r="G47" s="2403"/>
      <c r="H47" s="2403"/>
      <c r="I47" s="2403"/>
      <c r="J47" s="2403"/>
    </row>
    <row r="48" spans="1:10">
      <c r="B48" t="s">
        <v>674</v>
      </c>
      <c r="F48">
        <v>0</v>
      </c>
      <c r="G48" t="s">
        <v>675</v>
      </c>
    </row>
    <row r="49" spans="1:10">
      <c r="B49" t="s">
        <v>676</v>
      </c>
      <c r="F49">
        <v>0</v>
      </c>
      <c r="G49" t="s">
        <v>677</v>
      </c>
    </row>
    <row r="50" spans="1:10">
      <c r="A50" s="2404" t="s">
        <v>653</v>
      </c>
      <c r="B50" s="2405"/>
      <c r="C50" s="2404" t="s">
        <v>678</v>
      </c>
      <c r="D50" s="2405"/>
      <c r="E50" s="2404" t="s">
        <v>679</v>
      </c>
      <c r="F50" s="2405"/>
      <c r="G50" s="2404" t="s">
        <v>680</v>
      </c>
      <c r="H50" s="2405"/>
      <c r="I50" s="2378" t="s">
        <v>895</v>
      </c>
      <c r="J50" s="2407"/>
    </row>
    <row r="51" spans="1:10">
      <c r="A51" s="2414" t="s">
        <v>505</v>
      </c>
      <c r="B51" s="2415"/>
      <c r="C51" s="2414" t="s">
        <v>494</v>
      </c>
      <c r="D51" s="2415"/>
      <c r="E51" s="2414" t="s">
        <v>494</v>
      </c>
      <c r="F51" s="2415"/>
      <c r="G51" s="2414" t="s">
        <v>494</v>
      </c>
      <c r="H51" s="2415"/>
      <c r="I51" s="2411"/>
      <c r="J51" s="2413"/>
    </row>
    <row r="52" spans="1:10" ht="18" customHeight="1">
      <c r="A52" s="144" t="s">
        <v>510</v>
      </c>
      <c r="B52" s="125">
        <f>'(F Road)'!B10</f>
        <v>5</v>
      </c>
      <c r="C52" s="2420">
        <f>$F$48/4</f>
        <v>0</v>
      </c>
      <c r="D52" s="2421"/>
      <c r="E52" s="2420">
        <v>5.5</v>
      </c>
      <c r="F52" s="2421"/>
      <c r="G52" s="2422">
        <f>C52+E52</f>
        <v>5.5</v>
      </c>
      <c r="H52" s="2423"/>
      <c r="I52" s="145"/>
      <c r="J52" s="146"/>
    </row>
    <row r="53" spans="1:10" ht="18" customHeight="1">
      <c r="A53" s="130"/>
      <c r="B53" s="131">
        <f>'(F Road)'!B11</f>
        <v>10</v>
      </c>
      <c r="C53" s="2416">
        <f t="shared" ref="C53:C87" si="4">$F$48/4</f>
        <v>0</v>
      </c>
      <c r="D53" s="2417"/>
      <c r="E53" s="2416">
        <v>5.5</v>
      </c>
      <c r="F53" s="2417"/>
      <c r="G53" s="2418">
        <f>C53+E53</f>
        <v>5.5</v>
      </c>
      <c r="H53" s="2419"/>
      <c r="I53" s="147"/>
      <c r="J53" s="148"/>
    </row>
    <row r="54" spans="1:10" ht="18" customHeight="1">
      <c r="A54" s="130"/>
      <c r="B54" s="131">
        <f>'(F Road)'!B12</f>
        <v>20</v>
      </c>
      <c r="C54" s="2416">
        <f t="shared" si="4"/>
        <v>0</v>
      </c>
      <c r="D54" s="2417"/>
      <c r="E54" s="2416">
        <v>5.5</v>
      </c>
      <c r="F54" s="2417"/>
      <c r="G54" s="2418">
        <f t="shared" ref="G54:G87" si="5">C54+E54</f>
        <v>5.5</v>
      </c>
      <c r="H54" s="2419"/>
      <c r="I54" s="147"/>
      <c r="J54" s="148"/>
    </row>
    <row r="55" spans="1:10" ht="18" customHeight="1">
      <c r="A55" s="130"/>
      <c r="B55" s="131">
        <f>'(F Road)'!B13</f>
        <v>30</v>
      </c>
      <c r="C55" s="2416">
        <f t="shared" si="4"/>
        <v>0</v>
      </c>
      <c r="D55" s="2417"/>
      <c r="E55" s="2416">
        <v>5.5</v>
      </c>
      <c r="F55" s="2417"/>
      <c r="G55" s="2418">
        <f t="shared" si="5"/>
        <v>5.5</v>
      </c>
      <c r="H55" s="2419"/>
      <c r="I55" s="147"/>
      <c r="J55" s="148"/>
    </row>
    <row r="56" spans="1:10" ht="18" customHeight="1">
      <c r="A56" s="130"/>
      <c r="B56" s="131">
        <f>'(F Road)'!B14</f>
        <v>40</v>
      </c>
      <c r="C56" s="2416">
        <f t="shared" si="4"/>
        <v>0</v>
      </c>
      <c r="D56" s="2417"/>
      <c r="E56" s="2416">
        <v>5</v>
      </c>
      <c r="F56" s="2417"/>
      <c r="G56" s="2418">
        <f t="shared" si="5"/>
        <v>5</v>
      </c>
      <c r="H56" s="2419"/>
      <c r="I56" s="147"/>
      <c r="J56" s="148"/>
    </row>
    <row r="57" spans="1:10" ht="18" customHeight="1">
      <c r="A57" s="130"/>
      <c r="B57" s="131">
        <f>'(F Road)'!B15</f>
        <v>50</v>
      </c>
      <c r="C57" s="2416">
        <f t="shared" si="4"/>
        <v>0</v>
      </c>
      <c r="D57" s="2417"/>
      <c r="E57" s="2416">
        <v>5</v>
      </c>
      <c r="F57" s="2417"/>
      <c r="G57" s="2418">
        <f t="shared" si="5"/>
        <v>5</v>
      </c>
      <c r="H57" s="2419"/>
      <c r="I57" s="147"/>
      <c r="J57" s="148"/>
    </row>
    <row r="58" spans="1:10" ht="18" customHeight="1">
      <c r="A58" s="130"/>
      <c r="B58" s="131">
        <f>'(F Road)'!B16</f>
        <v>60</v>
      </c>
      <c r="C58" s="2416">
        <f t="shared" si="4"/>
        <v>0</v>
      </c>
      <c r="D58" s="2417"/>
      <c r="E58" s="2416">
        <v>5</v>
      </c>
      <c r="F58" s="2417"/>
      <c r="G58" s="2418">
        <f t="shared" si="5"/>
        <v>5</v>
      </c>
      <c r="H58" s="2419"/>
      <c r="I58" s="147"/>
      <c r="J58" s="148"/>
    </row>
    <row r="59" spans="1:10" ht="18" customHeight="1">
      <c r="A59" s="130"/>
      <c r="B59" s="131">
        <f>'(F Road)'!B17</f>
        <v>70</v>
      </c>
      <c r="C59" s="2416">
        <f t="shared" si="4"/>
        <v>0</v>
      </c>
      <c r="D59" s="2417"/>
      <c r="E59" s="2416">
        <v>4.5</v>
      </c>
      <c r="F59" s="2417"/>
      <c r="G59" s="2418">
        <f t="shared" si="5"/>
        <v>4.5</v>
      </c>
      <c r="H59" s="2419"/>
      <c r="I59" s="147"/>
      <c r="J59" s="148"/>
    </row>
    <row r="60" spans="1:10" ht="18" customHeight="1">
      <c r="A60" s="130"/>
      <c r="B60" s="131">
        <f>'(F Road)'!B18</f>
        <v>80</v>
      </c>
      <c r="C60" s="2416">
        <f t="shared" si="4"/>
        <v>0</v>
      </c>
      <c r="D60" s="2417"/>
      <c r="E60" s="2416">
        <v>4.5</v>
      </c>
      <c r="F60" s="2417"/>
      <c r="G60" s="2418">
        <f t="shared" si="5"/>
        <v>4.5</v>
      </c>
      <c r="H60" s="2419"/>
      <c r="I60" s="147"/>
      <c r="J60" s="148"/>
    </row>
    <row r="61" spans="1:10" ht="18" customHeight="1">
      <c r="A61" s="130"/>
      <c r="B61" s="131">
        <f>'(F Road)'!B19</f>
        <v>90</v>
      </c>
      <c r="C61" s="2416">
        <f t="shared" si="4"/>
        <v>0</v>
      </c>
      <c r="D61" s="2417"/>
      <c r="E61" s="2416">
        <v>4.5</v>
      </c>
      <c r="F61" s="2417"/>
      <c r="G61" s="2418">
        <f t="shared" si="5"/>
        <v>4.5</v>
      </c>
      <c r="H61" s="2419"/>
      <c r="I61" s="147"/>
      <c r="J61" s="148"/>
    </row>
    <row r="62" spans="1:10" ht="18" customHeight="1">
      <c r="A62" s="130"/>
      <c r="B62" s="131">
        <f>'(F Road)'!B20</f>
        <v>100</v>
      </c>
      <c r="C62" s="2416">
        <f t="shared" si="4"/>
        <v>0</v>
      </c>
      <c r="D62" s="2417"/>
      <c r="E62" s="2416">
        <v>4.5</v>
      </c>
      <c r="F62" s="2417"/>
      <c r="G62" s="2418">
        <f t="shared" si="5"/>
        <v>4.5</v>
      </c>
      <c r="H62" s="2419"/>
      <c r="I62" s="147"/>
      <c r="J62" s="148"/>
    </row>
    <row r="63" spans="1:10" ht="18" customHeight="1">
      <c r="A63" s="130"/>
      <c r="B63" s="131">
        <f>'(F Road)'!B21</f>
        <v>110</v>
      </c>
      <c r="C63" s="2416">
        <f t="shared" si="4"/>
        <v>0</v>
      </c>
      <c r="D63" s="2417"/>
      <c r="E63" s="2416">
        <v>4</v>
      </c>
      <c r="F63" s="2417"/>
      <c r="G63" s="2418">
        <f t="shared" si="5"/>
        <v>4</v>
      </c>
      <c r="H63" s="2419"/>
      <c r="I63" s="147"/>
      <c r="J63" s="148"/>
    </row>
    <row r="64" spans="1:10" ht="18" customHeight="1">
      <c r="A64" s="130"/>
      <c r="B64" s="131">
        <f>'(F Road)'!B22</f>
        <v>120</v>
      </c>
      <c r="C64" s="2416">
        <f t="shared" si="4"/>
        <v>0</v>
      </c>
      <c r="D64" s="2417"/>
      <c r="E64" s="2416">
        <v>4</v>
      </c>
      <c r="F64" s="2417"/>
      <c r="G64" s="2418">
        <f t="shared" si="5"/>
        <v>4</v>
      </c>
      <c r="H64" s="2419"/>
      <c r="I64" s="147"/>
      <c r="J64" s="148"/>
    </row>
    <row r="65" spans="1:10" ht="18" customHeight="1">
      <c r="A65" s="130"/>
      <c r="B65" s="131">
        <f>'(F Road)'!B23</f>
        <v>130</v>
      </c>
      <c r="C65" s="2416">
        <f t="shared" si="4"/>
        <v>0</v>
      </c>
      <c r="D65" s="2417"/>
      <c r="E65" s="2416">
        <v>4</v>
      </c>
      <c r="F65" s="2417"/>
      <c r="G65" s="2418">
        <f t="shared" si="5"/>
        <v>4</v>
      </c>
      <c r="H65" s="2419"/>
      <c r="I65" s="147"/>
      <c r="J65" s="148"/>
    </row>
    <row r="66" spans="1:10" ht="18" customHeight="1">
      <c r="A66" s="130"/>
      <c r="B66" s="131">
        <f>'(F Road)'!B24</f>
        <v>140</v>
      </c>
      <c r="C66" s="2416">
        <f t="shared" si="4"/>
        <v>0</v>
      </c>
      <c r="D66" s="2417"/>
      <c r="E66" s="2416">
        <v>4</v>
      </c>
      <c r="F66" s="2417"/>
      <c r="G66" s="2418">
        <f t="shared" si="5"/>
        <v>4</v>
      </c>
      <c r="H66" s="2419"/>
      <c r="I66" s="147"/>
      <c r="J66" s="148"/>
    </row>
    <row r="67" spans="1:10" ht="18" customHeight="1">
      <c r="A67" s="130"/>
      <c r="B67" s="131">
        <f>'(F Road)'!B25</f>
        <v>150</v>
      </c>
      <c r="C67" s="2416">
        <f t="shared" si="4"/>
        <v>0</v>
      </c>
      <c r="D67" s="2417"/>
      <c r="E67" s="2416">
        <v>4</v>
      </c>
      <c r="F67" s="2417"/>
      <c r="G67" s="2418">
        <f t="shared" si="5"/>
        <v>4</v>
      </c>
      <c r="H67" s="2419"/>
      <c r="I67" s="147"/>
      <c r="J67" s="148"/>
    </row>
    <row r="68" spans="1:10" ht="18" customHeight="1">
      <c r="A68" s="130"/>
      <c r="B68" s="131">
        <f>'(F Road)'!B26</f>
        <v>160</v>
      </c>
      <c r="C68" s="2416">
        <f t="shared" si="4"/>
        <v>0</v>
      </c>
      <c r="D68" s="2417"/>
      <c r="E68" s="2416">
        <v>4</v>
      </c>
      <c r="F68" s="2417"/>
      <c r="G68" s="2418">
        <f t="shared" si="5"/>
        <v>4</v>
      </c>
      <c r="H68" s="2419"/>
      <c r="I68" s="147"/>
      <c r="J68" s="148"/>
    </row>
    <row r="69" spans="1:10" ht="18" customHeight="1">
      <c r="A69" s="130"/>
      <c r="B69" s="131">
        <f>'(F Road)'!B27</f>
        <v>170</v>
      </c>
      <c r="C69" s="2416">
        <f t="shared" si="4"/>
        <v>0</v>
      </c>
      <c r="D69" s="2417"/>
      <c r="E69" s="2416">
        <v>4</v>
      </c>
      <c r="F69" s="2417"/>
      <c r="G69" s="2418">
        <f t="shared" si="5"/>
        <v>4</v>
      </c>
      <c r="H69" s="2419"/>
      <c r="I69" s="147"/>
      <c r="J69" s="148"/>
    </row>
    <row r="70" spans="1:10" ht="18" customHeight="1">
      <c r="A70" s="130"/>
      <c r="B70" s="131">
        <f>'(F Road)'!B28</f>
        <v>180</v>
      </c>
      <c r="C70" s="2416">
        <f t="shared" si="4"/>
        <v>0</v>
      </c>
      <c r="D70" s="2417"/>
      <c r="E70" s="2416">
        <v>4</v>
      </c>
      <c r="F70" s="2417"/>
      <c r="G70" s="2418">
        <f t="shared" si="5"/>
        <v>4</v>
      </c>
      <c r="H70" s="2419"/>
      <c r="I70" s="147"/>
      <c r="J70" s="148"/>
    </row>
    <row r="71" spans="1:10" ht="18" customHeight="1">
      <c r="A71" s="130"/>
      <c r="B71" s="131">
        <f>'(F Road)'!B29</f>
        <v>190</v>
      </c>
      <c r="C71" s="2416">
        <f t="shared" si="4"/>
        <v>0</v>
      </c>
      <c r="D71" s="2417"/>
      <c r="E71" s="2416">
        <v>3.5</v>
      </c>
      <c r="F71" s="2417"/>
      <c r="G71" s="2418">
        <f t="shared" si="5"/>
        <v>3.5</v>
      </c>
      <c r="H71" s="2419"/>
      <c r="I71" s="147"/>
      <c r="J71" s="148"/>
    </row>
    <row r="72" spans="1:10" ht="18" customHeight="1">
      <c r="A72" s="130"/>
      <c r="B72" s="131">
        <f>'(F Road)'!B30</f>
        <v>200</v>
      </c>
      <c r="C72" s="2416">
        <f t="shared" si="4"/>
        <v>0</v>
      </c>
      <c r="D72" s="2417"/>
      <c r="E72" s="2416">
        <v>3.5</v>
      </c>
      <c r="F72" s="2417"/>
      <c r="G72" s="2418">
        <f t="shared" si="5"/>
        <v>3.5</v>
      </c>
      <c r="H72" s="2419"/>
      <c r="I72" s="147"/>
      <c r="J72" s="148"/>
    </row>
    <row r="73" spans="1:10" ht="18" customHeight="1">
      <c r="A73" s="130"/>
      <c r="B73" s="131">
        <f>'(F Road)'!B31</f>
        <v>210</v>
      </c>
      <c r="C73" s="2416">
        <f t="shared" si="4"/>
        <v>0</v>
      </c>
      <c r="D73" s="2417"/>
      <c r="E73" s="2416">
        <v>3.5</v>
      </c>
      <c r="F73" s="2417"/>
      <c r="G73" s="2418">
        <f t="shared" si="5"/>
        <v>3.5</v>
      </c>
      <c r="H73" s="2419"/>
      <c r="I73" s="147"/>
      <c r="J73" s="148"/>
    </row>
    <row r="74" spans="1:10" ht="18" customHeight="1">
      <c r="A74" s="130"/>
      <c r="B74" s="131">
        <f>'(F Road)'!B32</f>
        <v>220</v>
      </c>
      <c r="C74" s="2416">
        <f t="shared" si="4"/>
        <v>0</v>
      </c>
      <c r="D74" s="2417"/>
      <c r="E74" s="2416">
        <v>3.5</v>
      </c>
      <c r="F74" s="2417"/>
      <c r="G74" s="2418">
        <f t="shared" si="5"/>
        <v>3.5</v>
      </c>
      <c r="H74" s="2419"/>
      <c r="I74" s="147"/>
      <c r="J74" s="148"/>
    </row>
    <row r="75" spans="1:10" ht="18" customHeight="1">
      <c r="A75" s="130"/>
      <c r="B75" s="131">
        <f>'(F Road)'!B33</f>
        <v>230</v>
      </c>
      <c r="C75" s="2416">
        <f t="shared" si="4"/>
        <v>0</v>
      </c>
      <c r="D75" s="2417"/>
      <c r="E75" s="2416">
        <v>3.5</v>
      </c>
      <c r="F75" s="2417"/>
      <c r="G75" s="2418">
        <f t="shared" si="5"/>
        <v>3.5</v>
      </c>
      <c r="H75" s="2419"/>
      <c r="I75" s="147"/>
      <c r="J75" s="148"/>
    </row>
    <row r="76" spans="1:10" ht="18" customHeight="1">
      <c r="A76" s="130"/>
      <c r="B76" s="131">
        <f>'(F Road)'!B34</f>
        <v>240</v>
      </c>
      <c r="C76" s="2416">
        <f t="shared" si="4"/>
        <v>0</v>
      </c>
      <c r="D76" s="2417"/>
      <c r="E76" s="2416">
        <v>3.5</v>
      </c>
      <c r="F76" s="2417"/>
      <c r="G76" s="2418">
        <f t="shared" si="5"/>
        <v>3.5</v>
      </c>
      <c r="H76" s="2419"/>
      <c r="I76" s="147"/>
      <c r="J76" s="148"/>
    </row>
    <row r="77" spans="1:10" ht="18" customHeight="1">
      <c r="A77" s="130"/>
      <c r="B77" s="131">
        <f>'(F Road)'!B35</f>
        <v>250</v>
      </c>
      <c r="C77" s="2416">
        <f t="shared" si="4"/>
        <v>0</v>
      </c>
      <c r="D77" s="2417"/>
      <c r="E77" s="2416">
        <v>3.5</v>
      </c>
      <c r="F77" s="2417"/>
      <c r="G77" s="2418">
        <f t="shared" si="5"/>
        <v>3.5</v>
      </c>
      <c r="H77" s="2419"/>
      <c r="I77" s="147"/>
      <c r="J77" s="148"/>
    </row>
    <row r="78" spans="1:10" ht="18" customHeight="1">
      <c r="A78" s="130"/>
      <c r="B78" s="131">
        <f>'(F Road)'!B36</f>
        <v>260</v>
      </c>
      <c r="C78" s="2416">
        <f t="shared" si="4"/>
        <v>0</v>
      </c>
      <c r="D78" s="2417"/>
      <c r="E78" s="2416">
        <v>3.5</v>
      </c>
      <c r="F78" s="2417"/>
      <c r="G78" s="2418">
        <f t="shared" si="5"/>
        <v>3.5</v>
      </c>
      <c r="H78" s="2419"/>
      <c r="I78" s="147"/>
      <c r="J78" s="148"/>
    </row>
    <row r="79" spans="1:10" ht="18" customHeight="1">
      <c r="A79" s="130"/>
      <c r="B79" s="131">
        <f>'(F Road)'!B37</f>
        <v>270</v>
      </c>
      <c r="C79" s="2416">
        <f t="shared" si="4"/>
        <v>0</v>
      </c>
      <c r="D79" s="2417"/>
      <c r="E79" s="2416">
        <v>3.5</v>
      </c>
      <c r="F79" s="2417"/>
      <c r="G79" s="2418">
        <f t="shared" si="5"/>
        <v>3.5</v>
      </c>
      <c r="H79" s="2419"/>
      <c r="I79" s="147"/>
      <c r="J79" s="148"/>
    </row>
    <row r="80" spans="1:10" ht="18" customHeight="1">
      <c r="A80" s="130"/>
      <c r="B80" s="131">
        <f>'(F Road)'!B38</f>
        <v>280</v>
      </c>
      <c r="C80" s="2416">
        <f t="shared" si="4"/>
        <v>0</v>
      </c>
      <c r="D80" s="2417"/>
      <c r="E80" s="2416">
        <v>3.5</v>
      </c>
      <c r="F80" s="2417"/>
      <c r="G80" s="2418">
        <f t="shared" si="5"/>
        <v>3.5</v>
      </c>
      <c r="H80" s="2419"/>
      <c r="I80" s="147"/>
      <c r="J80" s="148"/>
    </row>
    <row r="81" spans="1:10" ht="18" customHeight="1">
      <c r="A81" s="130"/>
      <c r="B81" s="131">
        <f>'(F Road)'!B39</f>
        <v>290</v>
      </c>
      <c r="C81" s="2416">
        <f t="shared" si="4"/>
        <v>0</v>
      </c>
      <c r="D81" s="2417"/>
      <c r="E81" s="2416">
        <v>3.5</v>
      </c>
      <c r="F81" s="2417"/>
      <c r="G81" s="2418">
        <f t="shared" si="5"/>
        <v>3.5</v>
      </c>
      <c r="H81" s="2419"/>
      <c r="I81" s="147"/>
      <c r="J81" s="148"/>
    </row>
    <row r="82" spans="1:10" ht="18" customHeight="1">
      <c r="A82" s="130"/>
      <c r="B82" s="131">
        <f>'(F Road)'!B40</f>
        <v>300</v>
      </c>
      <c r="C82" s="2416">
        <f t="shared" si="4"/>
        <v>0</v>
      </c>
      <c r="D82" s="2417"/>
      <c r="E82" s="2416">
        <v>3.5</v>
      </c>
      <c r="F82" s="2417"/>
      <c r="G82" s="2418">
        <f t="shared" si="5"/>
        <v>3.5</v>
      </c>
      <c r="H82" s="2419"/>
      <c r="I82" s="147"/>
      <c r="J82" s="148"/>
    </row>
    <row r="83" spans="1:10" ht="18" customHeight="1">
      <c r="A83" s="130"/>
      <c r="B83" s="131">
        <f>'(F Road)'!B41</f>
        <v>350</v>
      </c>
      <c r="C83" s="2416">
        <f t="shared" si="4"/>
        <v>0</v>
      </c>
      <c r="D83" s="2417"/>
      <c r="E83" s="2416">
        <v>3.5</v>
      </c>
      <c r="F83" s="2417"/>
      <c r="G83" s="2418">
        <f t="shared" si="5"/>
        <v>3.5</v>
      </c>
      <c r="H83" s="2419"/>
      <c r="I83" s="147"/>
      <c r="J83" s="148"/>
    </row>
    <row r="84" spans="1:10" ht="18" customHeight="1">
      <c r="A84" s="130"/>
      <c r="B84" s="131">
        <f>'(F Road)'!B42</f>
        <v>400</v>
      </c>
      <c r="C84" s="2416">
        <f t="shared" si="4"/>
        <v>0</v>
      </c>
      <c r="D84" s="2417"/>
      <c r="E84" s="2416">
        <v>3.5</v>
      </c>
      <c r="F84" s="2417"/>
      <c r="G84" s="2418">
        <f t="shared" si="5"/>
        <v>3.5</v>
      </c>
      <c r="H84" s="2419"/>
      <c r="I84" s="147"/>
      <c r="J84" s="148"/>
    </row>
    <row r="85" spans="1:10" ht="18" customHeight="1">
      <c r="A85" s="130"/>
      <c r="B85" s="131">
        <f>'(F Road)'!B43</f>
        <v>450</v>
      </c>
      <c r="C85" s="2416">
        <f t="shared" si="4"/>
        <v>0</v>
      </c>
      <c r="D85" s="2417"/>
      <c r="E85" s="2416">
        <v>3.5</v>
      </c>
      <c r="F85" s="2417"/>
      <c r="G85" s="2418">
        <f t="shared" si="5"/>
        <v>3.5</v>
      </c>
      <c r="H85" s="2419"/>
      <c r="I85" s="147"/>
      <c r="J85" s="148"/>
    </row>
    <row r="86" spans="1:10" ht="18" customHeight="1">
      <c r="A86" s="130"/>
      <c r="B86" s="131">
        <f>'(F Road)'!B44</f>
        <v>500</v>
      </c>
      <c r="C86" s="2416">
        <f t="shared" si="4"/>
        <v>0</v>
      </c>
      <c r="D86" s="2417"/>
      <c r="E86" s="2416">
        <v>3.5</v>
      </c>
      <c r="F86" s="2417"/>
      <c r="G86" s="2418">
        <f t="shared" si="5"/>
        <v>3.5</v>
      </c>
      <c r="H86" s="2419"/>
      <c r="I86" s="147"/>
      <c r="J86" s="148"/>
    </row>
    <row r="87" spans="1:10" ht="18" customHeight="1">
      <c r="A87" s="139" t="s">
        <v>511</v>
      </c>
      <c r="B87" s="131">
        <f>'(F Road)'!B45</f>
        <v>700</v>
      </c>
      <c r="C87" s="2424">
        <f t="shared" si="4"/>
        <v>0</v>
      </c>
      <c r="D87" s="2425"/>
      <c r="E87" s="2424">
        <v>3.5</v>
      </c>
      <c r="F87" s="2425"/>
      <c r="G87" s="2426">
        <f t="shared" si="5"/>
        <v>3.5</v>
      </c>
      <c r="H87" s="2427"/>
      <c r="I87" s="149"/>
      <c r="J87" s="150"/>
    </row>
    <row r="88" spans="1:10">
      <c r="B88" s="151"/>
    </row>
    <row r="89" spans="1:10">
      <c r="B89" s="151"/>
    </row>
    <row r="90" spans="1:10">
      <c r="B90" s="151"/>
    </row>
    <row r="91" spans="1:10">
      <c r="B91" s="151"/>
    </row>
    <row r="92" spans="1:10">
      <c r="B92" s="151"/>
    </row>
    <row r="93" spans="1:10">
      <c r="B93" s="151"/>
    </row>
    <row r="94" spans="1:10">
      <c r="B94" s="151"/>
    </row>
    <row r="95" spans="1:10">
      <c r="B95" s="151"/>
    </row>
    <row r="96" spans="1:10">
      <c r="B96" s="151"/>
    </row>
    <row r="97" spans="2:2">
      <c r="B97" s="151"/>
    </row>
    <row r="98" spans="2:2">
      <c r="B98" s="151"/>
    </row>
    <row r="99" spans="2:2">
      <c r="B99" s="151"/>
    </row>
    <row r="100" spans="2:2">
      <c r="B100" s="151"/>
    </row>
    <row r="101" spans="2:2">
      <c r="B101" s="151"/>
    </row>
  </sheetData>
  <mergeCells count="124">
    <mergeCell ref="G86:H86"/>
    <mergeCell ref="C84:D84"/>
    <mergeCell ref="G85:H85"/>
    <mergeCell ref="E83:F83"/>
    <mergeCell ref="G83:H83"/>
    <mergeCell ref="C87:D87"/>
    <mergeCell ref="E87:F87"/>
    <mergeCell ref="G87:H87"/>
    <mergeCell ref="C85:D85"/>
    <mergeCell ref="E85:F85"/>
    <mergeCell ref="C86:D86"/>
    <mergeCell ref="E86:F86"/>
    <mergeCell ref="C81:D81"/>
    <mergeCell ref="E81:F81"/>
    <mergeCell ref="G81:H81"/>
    <mergeCell ref="E84:F84"/>
    <mergeCell ref="G84:H84"/>
    <mergeCell ref="C82:D82"/>
    <mergeCell ref="E82:F82"/>
    <mergeCell ref="G82:H82"/>
    <mergeCell ref="C83:D83"/>
    <mergeCell ref="C80:D80"/>
    <mergeCell ref="E80:F80"/>
    <mergeCell ref="G80:H80"/>
    <mergeCell ref="C73:D73"/>
    <mergeCell ref="E73:F73"/>
    <mergeCell ref="G73:H73"/>
    <mergeCell ref="C74:D74"/>
    <mergeCell ref="E74:F74"/>
    <mergeCell ref="G74:H74"/>
    <mergeCell ref="C75:D75"/>
    <mergeCell ref="E75:F75"/>
    <mergeCell ref="G75:H75"/>
    <mergeCell ref="C76:D76"/>
    <mergeCell ref="E76:F76"/>
    <mergeCell ref="G76:H76"/>
    <mergeCell ref="C77:D77"/>
    <mergeCell ref="E77:F77"/>
    <mergeCell ref="G77:H77"/>
    <mergeCell ref="C78:D78"/>
    <mergeCell ref="E78:F78"/>
    <mergeCell ref="G78:H78"/>
    <mergeCell ref="C79:D79"/>
    <mergeCell ref="E79:F79"/>
    <mergeCell ref="G79:H79"/>
    <mergeCell ref="C72:D72"/>
    <mergeCell ref="E72:F72"/>
    <mergeCell ref="G72:H72"/>
    <mergeCell ref="C65:D65"/>
    <mergeCell ref="E65:F65"/>
    <mergeCell ref="G65:H65"/>
    <mergeCell ref="C66:D66"/>
    <mergeCell ref="E66:F66"/>
    <mergeCell ref="G66:H66"/>
    <mergeCell ref="C67:D67"/>
    <mergeCell ref="E67:F67"/>
    <mergeCell ref="G67:H67"/>
    <mergeCell ref="C68:D68"/>
    <mergeCell ref="E68:F68"/>
    <mergeCell ref="G68:H68"/>
    <mergeCell ref="C69:D69"/>
    <mergeCell ref="E69:F69"/>
    <mergeCell ref="G69:H69"/>
    <mergeCell ref="C70:D70"/>
    <mergeCell ref="E70:F70"/>
    <mergeCell ref="G70:H70"/>
    <mergeCell ref="C71:D71"/>
    <mergeCell ref="E71:F71"/>
    <mergeCell ref="G71:H71"/>
    <mergeCell ref="C64:D64"/>
    <mergeCell ref="E64:F64"/>
    <mergeCell ref="G64:H64"/>
    <mergeCell ref="C57:D57"/>
    <mergeCell ref="E57:F57"/>
    <mergeCell ref="G57:H57"/>
    <mergeCell ref="C58:D58"/>
    <mergeCell ref="E58:F58"/>
    <mergeCell ref="G58:H58"/>
    <mergeCell ref="C59:D59"/>
    <mergeCell ref="E59:F59"/>
    <mergeCell ref="G59:H59"/>
    <mergeCell ref="C60:D60"/>
    <mergeCell ref="E60:F60"/>
    <mergeCell ref="G60:H60"/>
    <mergeCell ref="C61:D61"/>
    <mergeCell ref="E61:F61"/>
    <mergeCell ref="G61:H61"/>
    <mergeCell ref="C62:D62"/>
    <mergeCell ref="E62:F62"/>
    <mergeCell ref="G62:H62"/>
    <mergeCell ref="C63:D63"/>
    <mergeCell ref="E63:F63"/>
    <mergeCell ref="G63:H63"/>
    <mergeCell ref="C56:D56"/>
    <mergeCell ref="E56:F56"/>
    <mergeCell ref="G56:H56"/>
    <mergeCell ref="C52:D52"/>
    <mergeCell ref="E52:F52"/>
    <mergeCell ref="G52:H52"/>
    <mergeCell ref="A45:J45"/>
    <mergeCell ref="A47:J47"/>
    <mergeCell ref="A50:B50"/>
    <mergeCell ref="C50:D50"/>
    <mergeCell ref="E50:F50"/>
    <mergeCell ref="G50:H50"/>
    <mergeCell ref="I50:J51"/>
    <mergeCell ref="C53:D53"/>
    <mergeCell ref="E53:F53"/>
    <mergeCell ref="G53:H53"/>
    <mergeCell ref="C54:D54"/>
    <mergeCell ref="E54:F54"/>
    <mergeCell ref="G54:H54"/>
    <mergeCell ref="C55:D55"/>
    <mergeCell ref="E55:F55"/>
    <mergeCell ref="G55:H55"/>
    <mergeCell ref="A1:J1"/>
    <mergeCell ref="A2:J2"/>
    <mergeCell ref="A6:B6"/>
    <mergeCell ref="H6:J8"/>
    <mergeCell ref="A8:B8"/>
    <mergeCell ref="A51:B51"/>
    <mergeCell ref="C51:D51"/>
    <mergeCell ref="E51:F51"/>
    <mergeCell ref="G51:H51"/>
  </mergeCells>
  <phoneticPr fontId="31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>
    <tabColor rgb="FFFF0000"/>
  </sheetPr>
  <dimension ref="A1:O47"/>
  <sheetViews>
    <sheetView workbookViewId="0">
      <selection activeCell="B4" sqref="B4"/>
    </sheetView>
  </sheetViews>
  <sheetFormatPr defaultRowHeight="21"/>
  <cols>
    <col min="1" max="1" width="7" customWidth="1"/>
    <col min="2" max="2" width="25.33203125" customWidth="1"/>
    <col min="3" max="3" width="9.5" customWidth="1"/>
    <col min="4" max="4" width="10.5" customWidth="1"/>
    <col min="5" max="6" width="13" customWidth="1"/>
    <col min="7" max="8" width="14" customWidth="1"/>
    <col min="9" max="9" width="8.5" bestFit="1" customWidth="1"/>
    <col min="11" max="12" width="9.33203125" customWidth="1"/>
  </cols>
  <sheetData>
    <row r="1" spans="1:15" ht="29.25">
      <c r="A1" s="19" t="s">
        <v>193</v>
      </c>
      <c r="B1" s="19"/>
      <c r="C1" s="19"/>
      <c r="D1" s="19"/>
      <c r="E1" s="19"/>
      <c r="F1" s="19"/>
      <c r="G1" s="19"/>
      <c r="H1" s="19"/>
      <c r="I1" s="19"/>
      <c r="J1" s="2"/>
      <c r="K1" s="2"/>
      <c r="L1" s="2"/>
      <c r="M1" s="249"/>
      <c r="N1" s="2"/>
      <c r="O1" s="2"/>
    </row>
    <row r="2" spans="1:15" ht="21.75">
      <c r="A2" s="1"/>
      <c r="B2" s="16"/>
      <c r="C2" s="1"/>
      <c r="D2" s="1"/>
      <c r="E2" s="1"/>
      <c r="F2" s="1"/>
      <c r="G2" s="1"/>
      <c r="H2" s="1"/>
      <c r="I2" s="1"/>
      <c r="J2" s="1"/>
      <c r="K2" s="1"/>
      <c r="L2" s="1"/>
      <c r="M2" s="14"/>
      <c r="N2" s="1"/>
      <c r="O2" s="1"/>
    </row>
    <row r="3" spans="1:15" ht="21.75">
      <c r="A3" s="1"/>
      <c r="B3" s="16" t="s">
        <v>194</v>
      </c>
      <c r="C3" s="2325"/>
      <c r="D3" s="2325"/>
      <c r="E3" s="1" t="str">
        <f>กรอกราคาวัสดุ!D2</f>
        <v xml:space="preserve">ชื่อสายทาง         </v>
      </c>
      <c r="F3" s="1" t="str">
        <f>กรอกราคาวัสดุ!E2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</v>
      </c>
      <c r="G3" s="1"/>
      <c r="H3" s="1"/>
      <c r="I3" s="1"/>
      <c r="J3" s="1"/>
      <c r="K3" s="1"/>
      <c r="L3" s="1"/>
      <c r="M3" s="14"/>
      <c r="N3" s="1"/>
      <c r="O3" s="1"/>
    </row>
    <row r="4" spans="1:15" ht="21.75">
      <c r="A4" s="1"/>
      <c r="B4" s="1"/>
      <c r="C4" s="1"/>
      <c r="D4" s="1"/>
      <c r="E4" s="1"/>
      <c r="F4" s="1" t="str">
        <f>กรอกราคาวัสดุ!A3</f>
        <v>สถานที่ตั้ง   ตำบลคลองเมือง   อำเภอจักราช   จังหวัดนครราชสีมา</v>
      </c>
      <c r="G4" s="1"/>
      <c r="H4" s="1"/>
      <c r="I4" s="1"/>
      <c r="J4" s="1"/>
      <c r="K4" s="1"/>
      <c r="L4" s="1"/>
      <c r="M4" s="14"/>
      <c r="N4" s="1"/>
      <c r="O4" s="1"/>
    </row>
    <row r="5" spans="1:15">
      <c r="A5" s="2330" t="s">
        <v>195</v>
      </c>
      <c r="B5" s="2330" t="s">
        <v>182</v>
      </c>
      <c r="C5" s="2328" t="s">
        <v>183</v>
      </c>
      <c r="D5" s="2332" t="s">
        <v>915</v>
      </c>
      <c r="E5" s="2332"/>
      <c r="F5" s="2332"/>
      <c r="G5" s="2328" t="s">
        <v>186</v>
      </c>
      <c r="H5" s="6" t="s">
        <v>196</v>
      </c>
      <c r="I5" s="2328" t="s">
        <v>895</v>
      </c>
      <c r="J5" s="4"/>
      <c r="K5" s="4"/>
      <c r="L5" s="4"/>
      <c r="M5" s="250"/>
      <c r="N5" s="4"/>
      <c r="O5" s="4"/>
    </row>
    <row r="6" spans="1:15">
      <c r="A6" s="2331"/>
      <c r="B6" s="2331"/>
      <c r="C6" s="2329"/>
      <c r="D6" s="7" t="s">
        <v>184</v>
      </c>
      <c r="E6" s="7" t="s">
        <v>197</v>
      </c>
      <c r="F6" s="7" t="s">
        <v>185</v>
      </c>
      <c r="G6" s="2329"/>
      <c r="H6" s="7" t="s">
        <v>185</v>
      </c>
      <c r="I6" s="2329"/>
      <c r="J6" s="4"/>
      <c r="K6" s="4">
        <v>1</v>
      </c>
      <c r="L6" s="251">
        <v>100</v>
      </c>
      <c r="M6" s="250" t="s">
        <v>889</v>
      </c>
      <c r="N6" s="4"/>
      <c r="O6" s="4"/>
    </row>
    <row r="7" spans="1:15">
      <c r="A7" s="239">
        <v>1</v>
      </c>
      <c r="B7" s="252" t="s">
        <v>198</v>
      </c>
      <c r="C7" s="253">
        <f>TRUNC(L7,0)</f>
        <v>55</v>
      </c>
      <c r="D7" s="254" t="s">
        <v>870</v>
      </c>
      <c r="E7" s="240">
        <f>IF(C7&lt;=0,0,0)</f>
        <v>0</v>
      </c>
      <c r="F7" s="240">
        <f>IF(C7&lt;=0,0,IF(กรอกราคาวัสดุ!$C$6=2,'ค่าเสื่อมราคา(แก้ไข26ธค.60)'!H11,'ค่าเสื่อมราคา(แก้ไข26ธค.60)'!G11))</f>
        <v>23.060000000000002</v>
      </c>
      <c r="G7" s="240">
        <f>E7+F7</f>
        <v>23.060000000000002</v>
      </c>
      <c r="H7" s="240">
        <f>IF(C7&gt;=0,ROUND(C7*G7,2),"")</f>
        <v>1268.3</v>
      </c>
      <c r="I7" s="241"/>
      <c r="J7" s="4"/>
      <c r="K7" s="255">
        <v>0.55000000000000004</v>
      </c>
      <c r="L7" s="256">
        <f>($L$6/$K$6)*K7</f>
        <v>55.000000000000007</v>
      </c>
      <c r="M7" s="250"/>
      <c r="N7" s="4"/>
      <c r="O7" s="4"/>
    </row>
    <row r="8" spans="1:15">
      <c r="A8" s="242">
        <v>2</v>
      </c>
      <c r="B8" s="257" t="s">
        <v>920</v>
      </c>
      <c r="C8" s="253">
        <f>TRUNC(L8,0)</f>
        <v>28</v>
      </c>
      <c r="D8" s="258" t="s">
        <v>870</v>
      </c>
      <c r="E8" s="245">
        <f>ROUND(IF(C8&lt;=0,0,ค่างานต้นทุน!I319),2)</f>
        <v>338.73</v>
      </c>
      <c r="F8" s="245">
        <f>IF(C8&lt;=0,0,กรอกราคาวัสดุ!D68)</f>
        <v>99</v>
      </c>
      <c r="G8" s="245">
        <f>E8+F8</f>
        <v>437.73</v>
      </c>
      <c r="H8" s="245">
        <f>IF(C8&gt;=0,ROUND(C8*G8,2),"")</f>
        <v>12256.44</v>
      </c>
      <c r="I8" s="246"/>
      <c r="J8" s="4"/>
      <c r="K8" s="253">
        <v>0.28000000000000003</v>
      </c>
      <c r="L8" s="256">
        <f t="shared" ref="L8:L28" si="0">($L$6/$K$6)*K8</f>
        <v>28.000000000000004</v>
      </c>
      <c r="M8" s="250"/>
      <c r="N8" s="4"/>
      <c r="O8" s="4"/>
    </row>
    <row r="9" spans="1:15">
      <c r="A9" s="242">
        <v>3</v>
      </c>
      <c r="B9" s="257" t="s">
        <v>199</v>
      </c>
      <c r="C9" s="253">
        <f>L9</f>
        <v>4</v>
      </c>
      <c r="D9" s="258" t="s">
        <v>870</v>
      </c>
      <c r="E9" s="245">
        <f>ROUND(IF(C9&lt;=0,0,ค่างานต้นทุน!I324),2)</f>
        <v>1625.06</v>
      </c>
      <c r="F9" s="245">
        <f>IF(C9&lt;=0,0,กรอกราคาวัสดุ!D66)</f>
        <v>436</v>
      </c>
      <c r="G9" s="245">
        <f t="shared" ref="G9:G22" si="1">E9+F9</f>
        <v>2061.06</v>
      </c>
      <c r="H9" s="245">
        <f t="shared" ref="H9:H22" si="2">IF(C9&gt;=0,ROUND(C9*G9,2),"")</f>
        <v>8244.24</v>
      </c>
      <c r="I9" s="246"/>
      <c r="J9" s="4"/>
      <c r="K9" s="253">
        <v>0.04</v>
      </c>
      <c r="L9" s="256">
        <f t="shared" si="0"/>
        <v>4</v>
      </c>
      <c r="M9" s="250"/>
      <c r="N9" s="4"/>
      <c r="O9" s="4"/>
    </row>
    <row r="10" spans="1:15">
      <c r="A10" s="242">
        <v>4</v>
      </c>
      <c r="B10" s="257" t="s">
        <v>200</v>
      </c>
      <c r="C10" s="253">
        <f>TRUNC(L10,0)</f>
        <v>16</v>
      </c>
      <c r="D10" s="258" t="s">
        <v>870</v>
      </c>
      <c r="E10" s="245">
        <f>ROUND(IF(C10&lt;=0,0,ค่างานต้นทุน!I326),2)</f>
        <v>1788.28</v>
      </c>
      <c r="F10" s="245">
        <f>IF(C10&lt;=0,0,กรอกราคาวัสดุ!D66)</f>
        <v>436</v>
      </c>
      <c r="G10" s="245">
        <f t="shared" si="1"/>
        <v>2224.2799999999997</v>
      </c>
      <c r="H10" s="245">
        <f t="shared" si="2"/>
        <v>35588.480000000003</v>
      </c>
      <c r="I10" s="246"/>
      <c r="J10" s="4"/>
      <c r="K10" s="253">
        <v>0.16</v>
      </c>
      <c r="L10" s="256">
        <f t="shared" si="0"/>
        <v>16</v>
      </c>
      <c r="M10" s="250"/>
      <c r="N10" s="4"/>
      <c r="O10" s="4"/>
    </row>
    <row r="11" spans="1:15">
      <c r="A11" s="242">
        <v>5</v>
      </c>
      <c r="B11" s="257" t="s">
        <v>885</v>
      </c>
      <c r="C11" s="253">
        <f>TRUNC(L11,0)</f>
        <v>200</v>
      </c>
      <c r="D11" s="258" t="s">
        <v>890</v>
      </c>
      <c r="E11" s="245"/>
      <c r="F11" s="245">
        <f>IF(C11&lt;=0,0,กรอกราคาวัสดุ!D70)</f>
        <v>133</v>
      </c>
      <c r="G11" s="245">
        <f t="shared" si="1"/>
        <v>133</v>
      </c>
      <c r="H11" s="245">
        <f t="shared" si="2"/>
        <v>26600</v>
      </c>
      <c r="I11" s="246"/>
      <c r="J11" s="4"/>
      <c r="K11" s="253">
        <v>2</v>
      </c>
      <c r="L11" s="256">
        <f t="shared" si="0"/>
        <v>200</v>
      </c>
      <c r="M11" s="250"/>
      <c r="N11" s="4"/>
      <c r="O11" s="4"/>
    </row>
    <row r="12" spans="1:15">
      <c r="A12" s="242">
        <v>6</v>
      </c>
      <c r="B12" s="247" t="s">
        <v>524</v>
      </c>
      <c r="C12" s="253">
        <f>TRUNC(C11/3)</f>
        <v>66</v>
      </c>
      <c r="D12" s="258" t="s">
        <v>890</v>
      </c>
      <c r="E12" s="245">
        <f>IF(C12&lt;=0,0,กรอกราคาวัสดุ!D58)</f>
        <v>657.9</v>
      </c>
      <c r="F12" s="245"/>
      <c r="G12" s="245">
        <f t="shared" si="1"/>
        <v>657.9</v>
      </c>
      <c r="H12" s="245">
        <f t="shared" si="2"/>
        <v>43421.4</v>
      </c>
      <c r="I12" s="246"/>
      <c r="J12" s="4"/>
      <c r="K12" s="253">
        <f>TRUNC(K11*0.25)</f>
        <v>0</v>
      </c>
      <c r="L12" s="269">
        <f t="shared" si="0"/>
        <v>0</v>
      </c>
      <c r="M12" s="250"/>
      <c r="N12" s="4"/>
      <c r="O12" s="4"/>
    </row>
    <row r="13" spans="1:15">
      <c r="A13" s="242">
        <v>7</v>
      </c>
      <c r="B13" s="247" t="s">
        <v>525</v>
      </c>
      <c r="C13" s="243">
        <f>TRUNC(C11/3)/2.88</f>
        <v>22.916666666666668</v>
      </c>
      <c r="D13" s="244" t="s">
        <v>891</v>
      </c>
      <c r="E13" s="245">
        <f>IF(C13&lt;=0,0,กรอกราคาวัสดุ!D59)</f>
        <v>250</v>
      </c>
      <c r="F13" s="245"/>
      <c r="G13" s="245">
        <f>E13+F13</f>
        <v>250</v>
      </c>
      <c r="H13" s="245">
        <f>IF(C13&gt;=0,ROUND(C13*G13,2),"")</f>
        <v>5729.17</v>
      </c>
      <c r="I13" s="246"/>
      <c r="J13" s="4"/>
      <c r="K13" s="253"/>
      <c r="L13" s="269"/>
      <c r="M13" s="250"/>
      <c r="N13" s="4"/>
      <c r="O13" s="4"/>
    </row>
    <row r="14" spans="1:15">
      <c r="A14" s="242">
        <v>8</v>
      </c>
      <c r="B14" s="247" t="s">
        <v>523</v>
      </c>
      <c r="C14" s="253">
        <f>TRUNC(C12/3)</f>
        <v>22</v>
      </c>
      <c r="D14" s="258" t="s">
        <v>890</v>
      </c>
      <c r="E14" s="245">
        <f>IF(C14&lt;=0,0,กรอกราคาวัสดุ!D60)</f>
        <v>623.79</v>
      </c>
      <c r="F14" s="245"/>
      <c r="G14" s="245">
        <f t="shared" si="1"/>
        <v>623.79</v>
      </c>
      <c r="H14" s="245">
        <f t="shared" si="2"/>
        <v>13723.38</v>
      </c>
      <c r="I14" s="246"/>
      <c r="J14" s="4"/>
      <c r="K14" s="253">
        <f>TRUNC(K12*0.3)</f>
        <v>0</v>
      </c>
      <c r="L14" s="269">
        <f t="shared" si="0"/>
        <v>0</v>
      </c>
      <c r="M14" s="250"/>
      <c r="N14" s="4"/>
      <c r="O14" s="4"/>
    </row>
    <row r="15" spans="1:15">
      <c r="A15" s="242">
        <v>9</v>
      </c>
      <c r="B15" s="257" t="s">
        <v>886</v>
      </c>
      <c r="C15" s="253">
        <f>TRUNC(C11*0.25)</f>
        <v>50</v>
      </c>
      <c r="D15" s="258" t="s">
        <v>887</v>
      </c>
      <c r="E15" s="245">
        <f>IF(C15&lt;=0,0,กรอกราคาวัสดุ!D65)</f>
        <v>60</v>
      </c>
      <c r="F15" s="245">
        <f>IF(C15&lt;=0,0,0)</f>
        <v>0</v>
      </c>
      <c r="G15" s="245">
        <f t="shared" si="1"/>
        <v>60</v>
      </c>
      <c r="H15" s="245">
        <f t="shared" si="2"/>
        <v>3000</v>
      </c>
      <c r="I15" s="246"/>
      <c r="J15" s="4"/>
      <c r="K15" s="253">
        <f>TRUNC(K11*0.25)</f>
        <v>0</v>
      </c>
      <c r="L15" s="269">
        <f t="shared" si="0"/>
        <v>0</v>
      </c>
      <c r="M15" s="250"/>
      <c r="N15" s="4"/>
      <c r="O15" s="4"/>
    </row>
    <row r="16" spans="1:15">
      <c r="A16" s="242">
        <v>10</v>
      </c>
      <c r="B16" s="257" t="s">
        <v>151</v>
      </c>
      <c r="C16" s="259">
        <f>L16</f>
        <v>0.55999999999999994</v>
      </c>
      <c r="D16" s="258" t="s">
        <v>187</v>
      </c>
      <c r="E16" s="245">
        <f>ROUND(IF(C16&lt;=0,0,ค่างานต้นทุน!I328),2)</f>
        <v>26850.82</v>
      </c>
      <c r="F16" s="245">
        <f>IF(C16&lt;=0,0,กรอกราคาวัสดุ!D69)</f>
        <v>3300</v>
      </c>
      <c r="G16" s="245">
        <f t="shared" si="1"/>
        <v>30150.82</v>
      </c>
      <c r="H16" s="245">
        <f t="shared" si="2"/>
        <v>16884.46</v>
      </c>
      <c r="I16" s="246"/>
      <c r="J16" s="4"/>
      <c r="K16" s="259">
        <v>5.5999999999999999E-3</v>
      </c>
      <c r="L16" s="256">
        <f t="shared" si="0"/>
        <v>0.55999999999999994</v>
      </c>
      <c r="M16" s="250"/>
      <c r="N16" s="4"/>
      <c r="O16" s="4"/>
    </row>
    <row r="17" spans="1:15">
      <c r="A17" s="242">
        <v>11</v>
      </c>
      <c r="B17" s="257" t="s">
        <v>921</v>
      </c>
      <c r="C17" s="259">
        <f>L17</f>
        <v>1.7500000000000002</v>
      </c>
      <c r="D17" s="258" t="s">
        <v>187</v>
      </c>
      <c r="E17" s="245">
        <f>ROUND(IF(C17&lt;=0,0,ค่างานต้นทุน!I329),2)</f>
        <v>25215.4</v>
      </c>
      <c r="F17" s="245">
        <f>IF(C17&lt;=0,0,กรอกราคาวัสดุ!D69)</f>
        <v>3300</v>
      </c>
      <c r="G17" s="245">
        <f t="shared" si="1"/>
        <v>28515.4</v>
      </c>
      <c r="H17" s="245">
        <f t="shared" si="2"/>
        <v>49901.95</v>
      </c>
      <c r="I17" s="246"/>
      <c r="J17" s="4"/>
      <c r="K17" s="259">
        <v>1.7500000000000002E-2</v>
      </c>
      <c r="L17" s="256">
        <f t="shared" si="0"/>
        <v>1.7500000000000002</v>
      </c>
      <c r="M17" s="250"/>
      <c r="N17" s="4"/>
      <c r="O17" s="4"/>
    </row>
    <row r="18" spans="1:15">
      <c r="A18" s="242">
        <v>12</v>
      </c>
      <c r="B18" s="257" t="s">
        <v>932</v>
      </c>
      <c r="C18" s="259">
        <v>1</v>
      </c>
      <c r="D18" s="258" t="s">
        <v>187</v>
      </c>
      <c r="E18" s="245">
        <f>ROUND(IF(C18&lt;=0,0,ค่างานต้นทุน!I334),2)</f>
        <v>24851.16</v>
      </c>
      <c r="F18" s="245">
        <f>IF(C18&lt;=0,0,กรอกราคาวัสดุ!D69)</f>
        <v>3300</v>
      </c>
      <c r="G18" s="245">
        <f t="shared" si="1"/>
        <v>28151.16</v>
      </c>
      <c r="H18" s="245">
        <f t="shared" si="2"/>
        <v>28151.16</v>
      </c>
      <c r="I18" s="246"/>
      <c r="J18" s="4"/>
      <c r="K18" s="259"/>
      <c r="L18" s="256">
        <f t="shared" si="0"/>
        <v>0</v>
      </c>
      <c r="M18" s="250"/>
      <c r="N18" s="4"/>
      <c r="O18" s="4"/>
    </row>
    <row r="19" spans="1:15">
      <c r="A19" s="242">
        <v>13</v>
      </c>
      <c r="B19" s="257" t="s">
        <v>933</v>
      </c>
      <c r="C19" s="259">
        <v>1</v>
      </c>
      <c r="D19" s="258" t="s">
        <v>187</v>
      </c>
      <c r="E19" s="245">
        <f>ROUND(IF(C19&lt;=0,0,ค่างานต้นทุน!I335),2)</f>
        <v>24637.87</v>
      </c>
      <c r="F19" s="245">
        <f>IF(C19&lt;=0,0,กรอกราคาวัสดุ!D69)</f>
        <v>3300</v>
      </c>
      <c r="G19" s="245">
        <f t="shared" si="1"/>
        <v>27937.87</v>
      </c>
      <c r="H19" s="245">
        <f t="shared" si="2"/>
        <v>27937.87</v>
      </c>
      <c r="I19" s="246"/>
      <c r="J19" s="4"/>
      <c r="K19" s="259"/>
      <c r="L19" s="256">
        <f t="shared" si="0"/>
        <v>0</v>
      </c>
      <c r="M19" s="250"/>
      <c r="N19" s="4"/>
      <c r="O19" s="4"/>
    </row>
    <row r="20" spans="1:15">
      <c r="A20" s="242">
        <v>14</v>
      </c>
      <c r="B20" s="257" t="s">
        <v>934</v>
      </c>
      <c r="C20" s="259">
        <v>1</v>
      </c>
      <c r="D20" s="258" t="s">
        <v>187</v>
      </c>
      <c r="E20" s="245">
        <f>ROUND(IF(C20&lt;=0,0,ค่างานต้นทุน!I336),2)</f>
        <v>25245.25</v>
      </c>
      <c r="F20" s="245">
        <f>IF(C20&lt;=0,0,กรอกราคาวัสดุ!D69)</f>
        <v>3300</v>
      </c>
      <c r="G20" s="245">
        <f t="shared" si="1"/>
        <v>28545.25</v>
      </c>
      <c r="H20" s="245">
        <f t="shared" si="2"/>
        <v>28545.25</v>
      </c>
      <c r="I20" s="246"/>
      <c r="J20" s="4"/>
      <c r="K20" s="259"/>
      <c r="L20" s="256">
        <f t="shared" si="0"/>
        <v>0</v>
      </c>
      <c r="M20" s="250"/>
      <c r="N20" s="4"/>
      <c r="O20" s="4"/>
    </row>
    <row r="21" spans="1:15">
      <c r="A21" s="242">
        <v>15</v>
      </c>
      <c r="B21" s="260" t="s">
        <v>892</v>
      </c>
      <c r="C21" s="261">
        <f>TRUNC(SUM(C16:C20)*25)</f>
        <v>132</v>
      </c>
      <c r="D21" s="258" t="s">
        <v>887</v>
      </c>
      <c r="E21" s="248">
        <f>IF(C21&lt;=0,0,กรอกราคาวัสดุ!D57)</f>
        <v>86.92</v>
      </c>
      <c r="F21" s="245">
        <f t="shared" ref="F21:F27" si="3">IF(C21&lt;=0,0,0)</f>
        <v>0</v>
      </c>
      <c r="G21" s="245">
        <f t="shared" si="1"/>
        <v>86.92</v>
      </c>
      <c r="H21" s="245">
        <f t="shared" si="2"/>
        <v>11473.44</v>
      </c>
      <c r="I21" s="246"/>
      <c r="J21" s="4"/>
      <c r="K21" s="261">
        <f>TRUNC(SUM(K16:K20)*25)</f>
        <v>0</v>
      </c>
      <c r="L21" s="256">
        <f t="shared" si="0"/>
        <v>0</v>
      </c>
      <c r="M21" s="250"/>
      <c r="N21" s="4"/>
      <c r="O21" s="4"/>
    </row>
    <row r="22" spans="1:15">
      <c r="A22" s="242">
        <v>16</v>
      </c>
      <c r="B22" s="257" t="s">
        <v>201</v>
      </c>
      <c r="C22" s="253">
        <f>L22</f>
        <v>1.5</v>
      </c>
      <c r="D22" s="258" t="s">
        <v>891</v>
      </c>
      <c r="E22" s="248">
        <f>IF(C22&lt;=0,0,กรอกราคาวัสดุ!D73)</f>
        <v>300</v>
      </c>
      <c r="F22" s="245">
        <f t="shared" si="3"/>
        <v>0</v>
      </c>
      <c r="G22" s="245">
        <f t="shared" si="1"/>
        <v>300</v>
      </c>
      <c r="H22" s="245">
        <f t="shared" si="2"/>
        <v>450</v>
      </c>
      <c r="I22" s="246"/>
      <c r="J22" s="4"/>
      <c r="K22" s="253">
        <v>1.4999999999999999E-2</v>
      </c>
      <c r="L22" s="256">
        <f t="shared" si="0"/>
        <v>1.5</v>
      </c>
      <c r="M22" s="250"/>
      <c r="N22" s="4"/>
      <c r="O22" s="4"/>
    </row>
    <row r="23" spans="1:15">
      <c r="A23" s="242">
        <v>17</v>
      </c>
      <c r="B23" s="257" t="s">
        <v>935</v>
      </c>
      <c r="C23" s="262">
        <f>L23-1</f>
        <v>69</v>
      </c>
      <c r="D23" s="258" t="s">
        <v>375</v>
      </c>
      <c r="E23" s="248">
        <f>IF(C23&lt;=0,0,576)</f>
        <v>576</v>
      </c>
      <c r="F23" s="245">
        <f t="shared" si="3"/>
        <v>0</v>
      </c>
      <c r="G23" s="245">
        <f>E23+F23</f>
        <v>576</v>
      </c>
      <c r="H23" s="245">
        <f>IF(C23&gt;=0,ROUND(C23*G23,2),"")</f>
        <v>39744</v>
      </c>
      <c r="I23" s="246"/>
      <c r="J23" s="4"/>
      <c r="K23" s="253">
        <v>0.7</v>
      </c>
      <c r="L23" s="256">
        <f t="shared" si="0"/>
        <v>70</v>
      </c>
      <c r="M23" s="250"/>
      <c r="N23" s="4"/>
      <c r="O23" s="4"/>
    </row>
    <row r="24" spans="1:15">
      <c r="A24" s="242">
        <v>18</v>
      </c>
      <c r="B24" s="247" t="s">
        <v>957</v>
      </c>
      <c r="C24" s="262">
        <f>L24</f>
        <v>40</v>
      </c>
      <c r="D24" s="253" t="s">
        <v>890</v>
      </c>
      <c r="E24" s="248">
        <f>ROUND(IF(C24&lt;=0,0,ค่างานต้นทุน!I261),2)</f>
        <v>213</v>
      </c>
      <c r="F24" s="245">
        <f t="shared" si="3"/>
        <v>0</v>
      </c>
      <c r="G24" s="245">
        <f>E24+F24</f>
        <v>213</v>
      </c>
      <c r="H24" s="245">
        <f>IF(C24&gt;=0,ROUND(C24*G24,2),"")</f>
        <v>8520</v>
      </c>
      <c r="I24" s="246"/>
      <c r="J24" s="4"/>
      <c r="K24" s="253">
        <v>0.4</v>
      </c>
      <c r="L24" s="256">
        <f t="shared" si="0"/>
        <v>40</v>
      </c>
      <c r="M24" s="250"/>
      <c r="N24" s="4"/>
      <c r="O24" s="4"/>
    </row>
    <row r="25" spans="1:15">
      <c r="A25" s="242">
        <v>19</v>
      </c>
      <c r="B25" s="247" t="s">
        <v>862</v>
      </c>
      <c r="C25" s="253">
        <v>3</v>
      </c>
      <c r="D25" s="258" t="s">
        <v>379</v>
      </c>
      <c r="E25" s="248">
        <f>IF(C25&lt;=0,0,4280)</f>
        <v>4280</v>
      </c>
      <c r="F25" s="245">
        <f t="shared" si="3"/>
        <v>0</v>
      </c>
      <c r="G25" s="245">
        <f>E25+F25</f>
        <v>4280</v>
      </c>
      <c r="H25" s="245">
        <f>IF(C25&gt;=0,ROUND(C25*G25,2),"")</f>
        <v>12840</v>
      </c>
      <c r="I25" s="246"/>
      <c r="J25" s="4"/>
      <c r="K25" s="253"/>
      <c r="L25" s="256">
        <f t="shared" si="0"/>
        <v>0</v>
      </c>
      <c r="M25" s="250"/>
      <c r="N25" s="4"/>
      <c r="O25" s="4"/>
    </row>
    <row r="26" spans="1:15">
      <c r="A26" s="242">
        <v>20</v>
      </c>
      <c r="B26" s="247" t="s">
        <v>864</v>
      </c>
      <c r="C26" s="253">
        <v>4</v>
      </c>
      <c r="D26" s="258" t="s">
        <v>379</v>
      </c>
      <c r="E26" s="248">
        <f>IF(C26&lt;=0,0,10120)</f>
        <v>10120</v>
      </c>
      <c r="F26" s="245">
        <f t="shared" si="3"/>
        <v>0</v>
      </c>
      <c r="G26" s="245">
        <f>E26+F26</f>
        <v>10120</v>
      </c>
      <c r="H26" s="245">
        <f>IF(C26&gt;=0,ROUND(C26*G26,2),"")</f>
        <v>40480</v>
      </c>
      <c r="I26" s="246"/>
      <c r="J26" s="4"/>
      <c r="K26" s="253"/>
      <c r="L26" s="256">
        <f t="shared" si="0"/>
        <v>0</v>
      </c>
      <c r="M26" s="250"/>
      <c r="N26" s="4"/>
      <c r="O26" s="4"/>
    </row>
    <row r="27" spans="1:15">
      <c r="A27" s="242">
        <v>21</v>
      </c>
      <c r="B27" s="247" t="s">
        <v>863</v>
      </c>
      <c r="C27" s="253">
        <v>4</v>
      </c>
      <c r="D27" s="258" t="s">
        <v>382</v>
      </c>
      <c r="E27" s="248">
        <f>IF(C27&lt;=0,0,3075)</f>
        <v>3075</v>
      </c>
      <c r="F27" s="245">
        <f t="shared" si="3"/>
        <v>0</v>
      </c>
      <c r="G27" s="245">
        <f>E27+F27</f>
        <v>3075</v>
      </c>
      <c r="H27" s="245">
        <f>IF(C27&gt;=0,ROUND(C27*G27,2),"")</f>
        <v>12300</v>
      </c>
      <c r="I27" s="246"/>
      <c r="J27" s="4"/>
      <c r="K27" s="253"/>
      <c r="L27" s="256">
        <f t="shared" si="0"/>
        <v>0</v>
      </c>
      <c r="M27" s="250"/>
      <c r="N27" s="4"/>
      <c r="O27" s="4"/>
    </row>
    <row r="28" spans="1:15">
      <c r="A28" s="7"/>
      <c r="B28" s="263"/>
      <c r="C28" s="264"/>
      <c r="D28" s="265"/>
      <c r="E28" s="266"/>
      <c r="F28" s="267"/>
      <c r="G28" s="267"/>
      <c r="H28" s="267"/>
      <c r="I28" s="268"/>
      <c r="J28" s="4"/>
      <c r="K28" s="253"/>
      <c r="L28" s="256">
        <f t="shared" si="0"/>
        <v>0</v>
      </c>
      <c r="M28" s="250"/>
      <c r="N28" s="4"/>
      <c r="O28" s="4"/>
    </row>
    <row r="29" spans="1:15">
      <c r="A29" s="8"/>
      <c r="B29" s="2326" t="s">
        <v>202</v>
      </c>
      <c r="C29" s="2326"/>
      <c r="D29" s="2326"/>
      <c r="E29" s="2326"/>
      <c r="F29" s="2326"/>
      <c r="G29" s="2327"/>
      <c r="H29" s="9">
        <f>SUM(H7:H28)</f>
        <v>427059.54000000004</v>
      </c>
      <c r="I29" s="10"/>
      <c r="J29" s="4"/>
      <c r="K29" s="4"/>
      <c r="L29" s="4"/>
      <c r="M29" s="250"/>
      <c r="N29" s="4"/>
      <c r="O29" s="4"/>
    </row>
    <row r="30" spans="1:15">
      <c r="A30" s="8"/>
      <c r="B30" s="2326" t="s">
        <v>930</v>
      </c>
      <c r="C30" s="2326"/>
      <c r="D30" s="2326"/>
      <c r="E30" s="2326"/>
      <c r="F30" s="2326"/>
      <c r="G30" s="2327"/>
      <c r="H30" s="9" t="e">
        <f>H29/#REF!</f>
        <v>#REF!</v>
      </c>
      <c r="I30" s="10"/>
      <c r="J30" s="4"/>
      <c r="K30" s="4"/>
      <c r="L30" s="4"/>
      <c r="M30" s="250"/>
      <c r="N30" s="4"/>
      <c r="O30" s="4"/>
    </row>
    <row r="31" spans="1:1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250"/>
      <c r="N31" s="4"/>
      <c r="O31" s="4"/>
    </row>
    <row r="32" spans="1:1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250"/>
      <c r="N32" s="4"/>
      <c r="O32" s="4"/>
    </row>
    <row r="33" spans="1:1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250"/>
      <c r="N33" s="4"/>
      <c r="O33" s="4"/>
    </row>
    <row r="34" spans="1:15">
      <c r="A34" s="4"/>
      <c r="B34" s="4"/>
      <c r="C34" s="5"/>
      <c r="D34" s="5" t="str">
        <f>"ผู้ประมาณราคา………...…………….……………."&amp;กรอกข้อมูล!D20</f>
        <v>ผู้ประมาณราคา………...…………….…………….ผู้อำนวยการกองช่าง</v>
      </c>
      <c r="E34" s="5"/>
      <c r="F34" s="5"/>
      <c r="G34" s="5"/>
      <c r="H34" s="5"/>
      <c r="I34" s="5"/>
      <c r="J34" s="4"/>
      <c r="K34" s="4"/>
      <c r="L34" s="4"/>
      <c r="M34" s="250"/>
      <c r="N34" s="4"/>
      <c r="O34" s="4"/>
    </row>
    <row r="35" spans="1:15">
      <c r="A35" s="4"/>
      <c r="B35" s="4"/>
      <c r="C35" s="5"/>
      <c r="D35" s="5"/>
      <c r="E35" s="2333" t="str">
        <f>"(  "&amp;กรอกข้อมูล!B20&amp;"  )"</f>
        <v>(  นายวัชระ  คำแดง  )</v>
      </c>
      <c r="F35" s="2333"/>
      <c r="G35" s="11"/>
      <c r="H35" s="5"/>
      <c r="I35" s="5"/>
      <c r="J35" s="4"/>
      <c r="K35" s="4"/>
      <c r="L35" s="4"/>
      <c r="M35" s="250"/>
      <c r="N35" s="4"/>
      <c r="O35" s="4"/>
    </row>
    <row r="36" spans="1:15" ht="2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49"/>
      <c r="N36" s="2"/>
      <c r="O36" s="2"/>
    </row>
    <row r="37" spans="1:15" ht="2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49"/>
      <c r="N37" s="2"/>
      <c r="O37" s="2"/>
    </row>
    <row r="38" spans="1:15" ht="2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49"/>
      <c r="N38" s="2"/>
      <c r="O38" s="2"/>
    </row>
    <row r="39" spans="1:15" ht="2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49"/>
      <c r="N39" s="2"/>
      <c r="O39" s="2"/>
    </row>
    <row r="40" spans="1:15" ht="2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49"/>
      <c r="N40" s="2"/>
      <c r="O40" s="2"/>
    </row>
    <row r="41" spans="1:15" ht="2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49"/>
      <c r="N41" s="2"/>
      <c r="O41" s="2"/>
    </row>
    <row r="42" spans="1:15" ht="2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49"/>
      <c r="N42" s="2"/>
      <c r="O42" s="2"/>
    </row>
    <row r="43" spans="1:15" ht="2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49"/>
      <c r="N43" s="2"/>
      <c r="O43" s="2"/>
    </row>
    <row r="44" spans="1:15" ht="2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49"/>
      <c r="N44" s="2"/>
      <c r="O44" s="2"/>
    </row>
    <row r="45" spans="1:15" ht="2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49"/>
      <c r="N45" s="2"/>
      <c r="O45" s="2"/>
    </row>
    <row r="46" spans="1:15" ht="2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49"/>
      <c r="N46" s="2"/>
      <c r="O46" s="2"/>
    </row>
    <row r="47" spans="1:15" ht="2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49"/>
      <c r="N47" s="2"/>
      <c r="O47" s="2"/>
    </row>
  </sheetData>
  <mergeCells count="10">
    <mergeCell ref="A5:A6"/>
    <mergeCell ref="B5:B6"/>
    <mergeCell ref="C5:C6"/>
    <mergeCell ref="D5:F5"/>
    <mergeCell ref="E35:F35"/>
    <mergeCell ref="C3:D3"/>
    <mergeCell ref="B30:G30"/>
    <mergeCell ref="G5:G6"/>
    <mergeCell ref="I5:I6"/>
    <mergeCell ref="B29:G29"/>
  </mergeCells>
  <phoneticPr fontId="31" type="noConversion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Y335"/>
  <sheetViews>
    <sheetView view="pageBreakPreview" topLeftCell="A4" zoomScale="130" zoomScaleNormal="130" zoomScaleSheetLayoutView="130" workbookViewId="0">
      <selection activeCell="O8" sqref="O8"/>
    </sheetView>
  </sheetViews>
  <sheetFormatPr defaultColWidth="9.33203125" defaultRowHeight="15.75"/>
  <cols>
    <col min="1" max="1" width="6" style="1208" customWidth="1"/>
    <col min="2" max="2" width="24.83203125" style="1208" customWidth="1"/>
    <col min="3" max="3" width="26.33203125" style="1208" customWidth="1"/>
    <col min="4" max="4" width="10.83203125" style="1263" customWidth="1"/>
    <col min="5" max="6" width="7.33203125" style="1208" customWidth="1"/>
    <col min="7" max="7" width="6" style="1211" customWidth="1"/>
    <col min="8" max="8" width="4.1640625" style="1208" customWidth="1"/>
    <col min="9" max="9" width="2.5" style="1208" customWidth="1"/>
    <col min="10" max="10" width="8.6640625" style="1208" customWidth="1"/>
    <col min="11" max="11" width="10.33203125" style="1208" customWidth="1"/>
    <col min="12" max="12" width="13.1640625" style="1228" customWidth="1"/>
    <col min="13" max="13" width="2.83203125" style="1208" customWidth="1"/>
    <col min="14" max="14" width="20.83203125" style="1208" customWidth="1"/>
    <col min="15" max="24" width="14.33203125" style="1208" customWidth="1"/>
    <col min="25" max="25" width="11.6640625" style="1208" customWidth="1"/>
    <col min="26" max="16384" width="9.33203125" style="1208"/>
  </cols>
  <sheetData>
    <row r="1" spans="1:25" s="1204" customFormat="1" ht="21">
      <c r="A1" s="2191" t="s">
        <v>917</v>
      </c>
      <c r="B1" s="2191"/>
      <c r="C1" s="2191"/>
      <c r="D1" s="2191"/>
      <c r="E1" s="2191"/>
      <c r="F1" s="2191"/>
      <c r="G1" s="2191"/>
      <c r="H1" s="2191"/>
      <c r="I1" s="2191"/>
      <c r="J1" s="2191"/>
      <c r="K1" s="2191"/>
      <c r="L1" s="2191"/>
      <c r="N1" s="2187" t="s">
        <v>956</v>
      </c>
      <c r="O1" s="2188"/>
      <c r="P1" s="2188"/>
      <c r="Q1" s="2188"/>
      <c r="R1" s="2188"/>
      <c r="S1" s="2188"/>
      <c r="T1" s="2188"/>
      <c r="U1" s="2188"/>
      <c r="V1" s="2189"/>
      <c r="W1" s="2185"/>
      <c r="X1" s="2186"/>
      <c r="Y1" s="2186"/>
    </row>
    <row r="2" spans="1:25" s="1204" customFormat="1" ht="36" customHeight="1">
      <c r="A2" s="1205"/>
      <c r="B2" s="1206"/>
      <c r="C2" s="1207"/>
      <c r="D2" s="1851" t="s">
        <v>376</v>
      </c>
      <c r="E2" s="2190" t="str">
        <f>กรอกข้อมูล!B10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</v>
      </c>
      <c r="F2" s="2190"/>
      <c r="G2" s="2190"/>
      <c r="H2" s="2190"/>
      <c r="I2" s="2190"/>
      <c r="J2" s="2190"/>
      <c r="K2" s="2190"/>
      <c r="L2" s="1209" t="s">
        <v>785</v>
      </c>
      <c r="N2" s="1212"/>
      <c r="O2" s="1213" t="s">
        <v>922</v>
      </c>
      <c r="P2" s="1213" t="s">
        <v>1820</v>
      </c>
      <c r="Q2" s="2095" t="s">
        <v>1974</v>
      </c>
      <c r="R2" s="1213" t="s">
        <v>490</v>
      </c>
      <c r="S2" s="1213" t="s">
        <v>229</v>
      </c>
      <c r="T2" s="1214" t="s">
        <v>955</v>
      </c>
      <c r="U2" s="1214" t="s">
        <v>817</v>
      </c>
      <c r="V2" s="1214" t="s">
        <v>951</v>
      </c>
      <c r="W2" s="1215" t="s">
        <v>1747</v>
      </c>
      <c r="X2" s="1216"/>
      <c r="Y2" s="1216"/>
    </row>
    <row r="3" spans="1:25" s="1204" customFormat="1" ht="17.25">
      <c r="A3" s="1819" t="str">
        <f>"สถานที่ตั้ง   ตำบล"&amp;กรอกข้อมูล!B11&amp;"   อำเภอ"&amp;กรอกข้อมูล!B12&amp;"   จังหวัด"&amp;กรอกข้อมูล!B13</f>
        <v>สถานที่ตั้ง   ตำบลคลองเมือง   อำเภอจักราช   จังหวัดนครราชสีมา</v>
      </c>
      <c r="B3" s="1208"/>
      <c r="C3" s="1208"/>
      <c r="D3" s="1217"/>
      <c r="E3" s="1208"/>
      <c r="F3" s="1208"/>
      <c r="G3" s="1208"/>
      <c r="H3" s="1218"/>
      <c r="I3" s="1208"/>
      <c r="J3" s="1208"/>
      <c r="K3" s="1208"/>
      <c r="L3" s="1219">
        <v>35.5</v>
      </c>
      <c r="N3" s="1212" t="s">
        <v>904</v>
      </c>
      <c r="O3" s="1221">
        <v>272</v>
      </c>
      <c r="P3" s="1221">
        <v>222</v>
      </c>
      <c r="Q3" s="1221">
        <v>252</v>
      </c>
      <c r="R3" s="1222"/>
      <c r="S3" s="1220"/>
      <c r="T3" s="1220"/>
      <c r="U3" s="1223"/>
      <c r="V3" s="1220"/>
      <c r="W3" s="1215" t="s">
        <v>1815</v>
      </c>
      <c r="X3" s="1224"/>
      <c r="Y3" s="1225"/>
    </row>
    <row r="4" spans="1:25" ht="21" customHeight="1">
      <c r="A4" s="1819" t="str">
        <f>"ข้อมูลจากราคาพาณิชย์กรุงเทพ ฯ และ จังหวัด"&amp;กรอกข้อมูล!B13</f>
        <v>ข้อมูลจากราคาพาณิชย์กรุงเทพ ฯ และ จังหวัดนครราชสีมา</v>
      </c>
      <c r="D4" s="1208"/>
      <c r="E4" s="1819" t="str">
        <f>"ประจำเดือน "&amp;กรอกข้อมูล!B19</f>
        <v>ประจำเดือน กรกฎาคม 2565</v>
      </c>
      <c r="G4" s="1226"/>
      <c r="H4" s="1227"/>
      <c r="I4" s="1211"/>
      <c r="N4" s="1229" t="s">
        <v>903</v>
      </c>
      <c r="O4" s="1221">
        <v>336</v>
      </c>
      <c r="P4" s="1221">
        <v>296</v>
      </c>
      <c r="Q4" s="1221">
        <v>326</v>
      </c>
      <c r="R4" s="1222"/>
      <c r="S4" s="1220"/>
      <c r="T4" s="1220"/>
      <c r="U4" s="1223"/>
      <c r="V4" s="1220"/>
      <c r="W4" s="1215" t="s">
        <v>1748</v>
      </c>
      <c r="X4" s="1224"/>
      <c r="Y4" s="1225"/>
    </row>
    <row r="5" spans="1:25" ht="17.25">
      <c r="A5" s="1207"/>
      <c r="C5" s="1228" t="s">
        <v>207</v>
      </c>
      <c r="D5" s="1228"/>
      <c r="G5" s="1208" t="s">
        <v>152</v>
      </c>
      <c r="L5" s="1208"/>
      <c r="N5" s="1212" t="s">
        <v>430</v>
      </c>
      <c r="O5" s="1221">
        <v>464</v>
      </c>
      <c r="P5" s="1221">
        <v>368</v>
      </c>
      <c r="Q5" s="1221">
        <v>428</v>
      </c>
      <c r="R5" s="1222"/>
      <c r="S5" s="1220"/>
      <c r="T5" s="1220"/>
      <c r="U5" s="1223"/>
      <c r="V5" s="1220"/>
      <c r="W5" s="1215" t="s">
        <v>1815</v>
      </c>
      <c r="X5" s="1224"/>
      <c r="Y5" s="1225"/>
    </row>
    <row r="6" spans="1:25" ht="17.25">
      <c r="A6" s="1207"/>
      <c r="C6" s="1230">
        <v>1</v>
      </c>
      <c r="D6" s="1231"/>
      <c r="G6" s="1231">
        <v>1</v>
      </c>
      <c r="H6" s="1232"/>
      <c r="I6" s="1232"/>
      <c r="J6" s="1232"/>
      <c r="K6" s="1232"/>
      <c r="L6" s="1232"/>
      <c r="N6" s="1212" t="s">
        <v>431</v>
      </c>
      <c r="O6" s="1221">
        <v>424</v>
      </c>
      <c r="P6" s="1221">
        <v>424</v>
      </c>
      <c r="Q6" s="1221">
        <v>424</v>
      </c>
      <c r="R6" s="1222"/>
      <c r="S6" s="1220"/>
      <c r="T6" s="1220"/>
      <c r="U6" s="1223"/>
      <c r="V6" s="1220"/>
      <c r="W6" s="1215" t="s">
        <v>1748</v>
      </c>
      <c r="X6" s="1224"/>
      <c r="Y6" s="1225"/>
    </row>
    <row r="7" spans="1:25" ht="17.25">
      <c r="A7" s="1207"/>
      <c r="C7" s="1233"/>
      <c r="D7" s="1231"/>
      <c r="G7" s="1233"/>
      <c r="H7" s="1232"/>
      <c r="I7" s="1232"/>
      <c r="J7" s="1232"/>
      <c r="K7" s="1231"/>
      <c r="L7" s="1232"/>
      <c r="N7" s="1212" t="s">
        <v>432</v>
      </c>
      <c r="O7" s="1221">
        <v>324</v>
      </c>
      <c r="P7" s="1221">
        <v>213</v>
      </c>
      <c r="Q7" s="1221">
        <v>273</v>
      </c>
      <c r="R7" s="1222"/>
      <c r="S7" s="1220"/>
      <c r="T7" s="1220"/>
      <c r="U7" s="1223"/>
      <c r="V7" s="1220"/>
      <c r="W7" s="1215" t="s">
        <v>1748</v>
      </c>
      <c r="X7" s="1224"/>
      <c r="Y7" s="1225"/>
    </row>
    <row r="8" spans="1:25" ht="23.1" customHeight="1">
      <c r="B8" s="1234"/>
      <c r="C8" s="1234" t="s">
        <v>896</v>
      </c>
      <c r="D8" s="1235"/>
      <c r="K8" s="1211"/>
      <c r="N8" s="1212" t="s">
        <v>434</v>
      </c>
      <c r="O8" s="1221">
        <v>464</v>
      </c>
      <c r="P8" s="1221">
        <v>368</v>
      </c>
      <c r="Q8" s="2178">
        <v>464</v>
      </c>
      <c r="R8" s="1236"/>
      <c r="S8" s="1220"/>
      <c r="T8" s="1220"/>
      <c r="U8" s="1223"/>
      <c r="V8" s="1220"/>
      <c r="W8" s="1215" t="s">
        <v>1815</v>
      </c>
      <c r="X8" s="1224"/>
      <c r="Y8" s="1225"/>
    </row>
    <row r="9" spans="1:25" ht="23.1" customHeight="1">
      <c r="A9" s="1211">
        <v>1</v>
      </c>
      <c r="B9" s="1369" t="s">
        <v>1978</v>
      </c>
      <c r="C9" s="1208" t="s">
        <v>153</v>
      </c>
      <c r="D9" s="1791">
        <v>0</v>
      </c>
      <c r="E9" s="1208" t="s">
        <v>208</v>
      </c>
      <c r="G9" s="1809">
        <v>1</v>
      </c>
      <c r="H9" s="1228" t="s">
        <v>181</v>
      </c>
      <c r="I9" s="1208" t="s">
        <v>901</v>
      </c>
      <c r="J9" s="1237">
        <f t="shared" ref="J9:J56" si="0">IF(AND($L9="รถสิบล้อ",K9="บาท/ลบ.ม."),VLOOKUP(G9,oil,3),
IF(AND($L9="รถสิบล้อ",K9="บาท/ตัน"),VLOOKUP(G9,oil,2),
IF(AND($L9="รถสิบล้อลากพ่วง",K9="บาท/ลบ.ม."),VLOOKUP(G9,oil,6),
IF(AND($L9="รถสิบล้อลากพ่วง",K9="บาท/ตัน"),VLOOKUP(G9,oil,5)))))</f>
        <v>11.65</v>
      </c>
      <c r="K9" s="1208" t="s">
        <v>898</v>
      </c>
      <c r="L9" s="1238" t="s">
        <v>389</v>
      </c>
      <c r="N9" s="1212" t="s">
        <v>433</v>
      </c>
      <c r="O9" s="1239">
        <f>O4*0.5+O5*0.25+O6*0.1+O7*0.15</f>
        <v>375</v>
      </c>
      <c r="P9" s="1239">
        <f t="shared" ref="P9:V9" si="1">P4*0.5+P5*0.25+P6*0.1+P7*0.15</f>
        <v>314.34999999999997</v>
      </c>
      <c r="Q9" s="1239">
        <f>Q4*0.5+Q5*0.25+Q6*0.1+Q7*0.15</f>
        <v>353.34999999999997</v>
      </c>
      <c r="R9" s="1239">
        <f>R4*0.5+R5*0.25+R6*0.1+R7*0.15</f>
        <v>0</v>
      </c>
      <c r="S9" s="1239">
        <f t="shared" si="1"/>
        <v>0</v>
      </c>
      <c r="T9" s="1239">
        <f t="shared" si="1"/>
        <v>0</v>
      </c>
      <c r="U9" s="1239">
        <f t="shared" si="1"/>
        <v>0</v>
      </c>
      <c r="V9" s="1239">
        <f t="shared" si="1"/>
        <v>0</v>
      </c>
      <c r="W9" s="928"/>
      <c r="X9" s="928"/>
      <c r="Y9" s="928"/>
    </row>
    <row r="10" spans="1:25" ht="23.1" customHeight="1">
      <c r="A10" s="1211">
        <f>A9+1</f>
        <v>2</v>
      </c>
      <c r="B10" s="1369" t="str">
        <f>+B9</f>
        <v>ในสายทาง บ้านโคกไม้งาม</v>
      </c>
      <c r="C10" s="1208" t="s">
        <v>899</v>
      </c>
      <c r="D10" s="1792">
        <v>20</v>
      </c>
      <c r="E10" s="1208" t="s">
        <v>208</v>
      </c>
      <c r="G10" s="1810">
        <v>1</v>
      </c>
      <c r="H10" s="1228" t="s">
        <v>181</v>
      </c>
      <c r="I10" s="1208" t="s">
        <v>901</v>
      </c>
      <c r="J10" s="1237">
        <f t="shared" si="0"/>
        <v>11.65</v>
      </c>
      <c r="K10" s="1208" t="s">
        <v>898</v>
      </c>
      <c r="L10" s="1240" t="str">
        <f>$L$9</f>
        <v>รถสิบล้อ</v>
      </c>
      <c r="N10" s="1375" t="s">
        <v>943</v>
      </c>
      <c r="O10" s="1376" t="s">
        <v>1816</v>
      </c>
      <c r="P10" s="1376" t="s">
        <v>1817</v>
      </c>
      <c r="Q10" s="1376" t="s">
        <v>1817</v>
      </c>
      <c r="R10" s="1376"/>
      <c r="S10" s="1376" t="s">
        <v>1744</v>
      </c>
      <c r="T10" s="1376" t="s">
        <v>1745</v>
      </c>
      <c r="U10" s="1376"/>
      <c r="V10" s="1376" t="s">
        <v>1746</v>
      </c>
      <c r="W10" s="928"/>
      <c r="X10" s="928"/>
      <c r="Y10" s="928"/>
    </row>
    <row r="11" spans="1:25" ht="23.1" customHeight="1">
      <c r="A11" s="1211">
        <f t="shared" ref="A11:A74" si="2">A10+1</f>
        <v>3</v>
      </c>
      <c r="B11" s="1370" t="s">
        <v>1802</v>
      </c>
      <c r="C11" s="1208" t="s">
        <v>154</v>
      </c>
      <c r="D11" s="1792">
        <v>30</v>
      </c>
      <c r="E11" s="1208" t="s">
        <v>208</v>
      </c>
      <c r="G11" s="1811">
        <v>24</v>
      </c>
      <c r="H11" s="1228" t="s">
        <v>181</v>
      </c>
      <c r="I11" s="1208" t="s">
        <v>901</v>
      </c>
      <c r="J11" s="1237">
        <f t="shared" si="0"/>
        <v>91.67</v>
      </c>
      <c r="K11" s="1208" t="s">
        <v>898</v>
      </c>
      <c r="L11" s="1240" t="str">
        <f>$L$9</f>
        <v>รถสิบล้อ</v>
      </c>
      <c r="N11" s="1241"/>
      <c r="O11" s="1242"/>
      <c r="S11" s="1243"/>
      <c r="T11" s="1243"/>
      <c r="W11" s="928"/>
      <c r="X11" s="928"/>
    </row>
    <row r="12" spans="1:25" ht="23.1" customHeight="1">
      <c r="A12" s="1211">
        <f t="shared" si="2"/>
        <v>4</v>
      </c>
      <c r="B12" s="1370" t="str">
        <f>B11</f>
        <v>อ.จักราช  จ.นครราชสีมา</v>
      </c>
      <c r="C12" s="1208" t="s">
        <v>897</v>
      </c>
      <c r="D12" s="1792">
        <v>60</v>
      </c>
      <c r="E12" s="1208" t="s">
        <v>208</v>
      </c>
      <c r="G12" s="1810">
        <v>24</v>
      </c>
      <c r="H12" s="1228" t="s">
        <v>181</v>
      </c>
      <c r="I12" s="1208" t="s">
        <v>901</v>
      </c>
      <c r="J12" s="1237">
        <f t="shared" si="0"/>
        <v>91.67</v>
      </c>
      <c r="K12" s="1208" t="s">
        <v>898</v>
      </c>
      <c r="L12" s="1240" t="str">
        <f>$L$9</f>
        <v>รถสิบล้อ</v>
      </c>
      <c r="N12" s="2184" t="s">
        <v>417</v>
      </c>
      <c r="O12" s="2184"/>
      <c r="P12" s="2184"/>
      <c r="Q12" s="2184"/>
      <c r="R12" s="2184"/>
      <c r="S12" s="2184" t="s">
        <v>1030</v>
      </c>
      <c r="T12" s="2184"/>
      <c r="U12" s="2184"/>
      <c r="V12" s="2184"/>
      <c r="W12" s="2184"/>
      <c r="X12" s="928"/>
    </row>
    <row r="13" spans="1:25" ht="23.1" customHeight="1">
      <c r="A13" s="1211">
        <f t="shared" si="2"/>
        <v>5</v>
      </c>
      <c r="B13" s="1371" t="s">
        <v>1803</v>
      </c>
      <c r="C13" s="1367" t="s">
        <v>904</v>
      </c>
      <c r="D13" s="1221">
        <v>252</v>
      </c>
      <c r="E13" s="1208" t="s">
        <v>208</v>
      </c>
      <c r="G13" s="1810">
        <v>73</v>
      </c>
      <c r="H13" s="1228" t="s">
        <v>181</v>
      </c>
      <c r="I13" s="1208" t="s">
        <v>901</v>
      </c>
      <c r="J13" s="1237">
        <f t="shared" si="0"/>
        <v>172.94</v>
      </c>
      <c r="K13" s="1208" t="s">
        <v>898</v>
      </c>
      <c r="L13" s="1238" t="s">
        <v>559</v>
      </c>
      <c r="N13" s="1212"/>
      <c r="O13" s="1213" t="s">
        <v>1031</v>
      </c>
      <c r="P13" s="1213" t="s">
        <v>1032</v>
      </c>
      <c r="Q13" s="1213" t="s">
        <v>489</v>
      </c>
      <c r="R13" s="1213" t="s">
        <v>490</v>
      </c>
      <c r="S13" s="1212"/>
      <c r="T13" s="1244" t="s">
        <v>1033</v>
      </c>
      <c r="U13" s="1244" t="s">
        <v>1034</v>
      </c>
      <c r="V13" s="1244" t="s">
        <v>1035</v>
      </c>
      <c r="W13" s="1244" t="s">
        <v>1036</v>
      </c>
      <c r="X13" s="1215" t="s">
        <v>1747</v>
      </c>
    </row>
    <row r="14" spans="1:25" ht="23.1" customHeight="1">
      <c r="A14" s="1211">
        <f t="shared" si="2"/>
        <v>6</v>
      </c>
      <c r="B14" s="1371" t="s">
        <v>1803</v>
      </c>
      <c r="C14" s="1368" t="s">
        <v>903</v>
      </c>
      <c r="D14" s="1221">
        <v>326</v>
      </c>
      <c r="E14" s="1208" t="s">
        <v>208</v>
      </c>
      <c r="F14" s="1245"/>
      <c r="G14" s="1812">
        <v>73</v>
      </c>
      <c r="H14" s="1228" t="s">
        <v>181</v>
      </c>
      <c r="I14" s="1208" t="s">
        <v>901</v>
      </c>
      <c r="J14" s="1237">
        <f t="shared" si="0"/>
        <v>172.94</v>
      </c>
      <c r="K14" s="1208" t="s">
        <v>898</v>
      </c>
      <c r="L14" s="1240" t="str">
        <f>$L$13</f>
        <v>รถสิบล้อลากพ่วง</v>
      </c>
      <c r="N14" s="1212" t="s">
        <v>1054</v>
      </c>
      <c r="O14" s="1220">
        <v>20</v>
      </c>
      <c r="P14" s="1220"/>
      <c r="Q14" s="1220"/>
      <c r="R14" s="1220"/>
      <c r="S14" s="1212" t="s">
        <v>902</v>
      </c>
      <c r="T14" s="1246">
        <v>135</v>
      </c>
      <c r="U14" s="1246"/>
      <c r="V14" s="1247"/>
      <c r="W14" s="1247"/>
      <c r="X14" s="1215" t="s">
        <v>1815</v>
      </c>
    </row>
    <row r="15" spans="1:25" ht="23.1" customHeight="1">
      <c r="A15" s="1211">
        <f t="shared" si="2"/>
        <v>7</v>
      </c>
      <c r="B15" s="1208" t="str">
        <f>B14</f>
        <v>อ.โชคชัย  จ.นครราชสีมา</v>
      </c>
      <c r="C15" s="1367" t="s">
        <v>430</v>
      </c>
      <c r="D15" s="1221">
        <v>428</v>
      </c>
      <c r="E15" s="1208" t="s">
        <v>208</v>
      </c>
      <c r="G15" s="1813">
        <f>$G$14</f>
        <v>73</v>
      </c>
      <c r="H15" s="1228" t="s">
        <v>181</v>
      </c>
      <c r="I15" s="1208" t="s">
        <v>901</v>
      </c>
      <c r="J15" s="1237">
        <f t="shared" si="0"/>
        <v>172.94</v>
      </c>
      <c r="K15" s="1208" t="s">
        <v>898</v>
      </c>
      <c r="L15" s="1240" t="str">
        <f>$L$14</f>
        <v>รถสิบล้อลากพ่วง</v>
      </c>
      <c r="N15" s="1212" t="s">
        <v>897</v>
      </c>
      <c r="O15" s="1220">
        <v>60</v>
      </c>
      <c r="P15" s="1220"/>
      <c r="Q15" s="1220"/>
      <c r="R15" s="1220"/>
      <c r="S15" s="1212" t="s">
        <v>894</v>
      </c>
      <c r="T15" s="1246">
        <v>220</v>
      </c>
      <c r="U15" s="1246"/>
      <c r="V15" s="1247"/>
      <c r="W15" s="1247"/>
      <c r="X15" s="928"/>
    </row>
    <row r="16" spans="1:25" ht="23.1" customHeight="1">
      <c r="A16" s="1211">
        <f t="shared" si="2"/>
        <v>8</v>
      </c>
      <c r="B16" s="1208" t="str">
        <f>B14</f>
        <v>อ.โชคชัย  จ.นครราชสีมา</v>
      </c>
      <c r="C16" s="1367" t="s">
        <v>431</v>
      </c>
      <c r="D16" s="1221">
        <v>424</v>
      </c>
      <c r="E16" s="1208" t="s">
        <v>208</v>
      </c>
      <c r="G16" s="1813">
        <f t="shared" ref="G16:G19" si="3">$G$14</f>
        <v>73</v>
      </c>
      <c r="H16" s="1228" t="s">
        <v>181</v>
      </c>
      <c r="I16" s="1208" t="s">
        <v>901</v>
      </c>
      <c r="J16" s="1237">
        <f t="shared" si="0"/>
        <v>172.94</v>
      </c>
      <c r="K16" s="1208" t="s">
        <v>898</v>
      </c>
      <c r="L16" s="1240" t="str">
        <f>$L$14</f>
        <v>รถสิบล้อลากพ่วง</v>
      </c>
      <c r="N16" s="1212" t="s">
        <v>154</v>
      </c>
      <c r="O16" s="1220">
        <v>30</v>
      </c>
      <c r="P16" s="1220"/>
      <c r="Q16" s="1220"/>
      <c r="R16" s="1220"/>
      <c r="S16" s="1212"/>
      <c r="T16" s="1249"/>
      <c r="U16" s="1249"/>
      <c r="V16" s="1249"/>
      <c r="W16" s="1249"/>
      <c r="X16" s="928"/>
    </row>
    <row r="17" spans="1:25" ht="23.1" customHeight="1">
      <c r="A17" s="1211">
        <f t="shared" si="2"/>
        <v>9</v>
      </c>
      <c r="B17" s="1208" t="str">
        <f>B14</f>
        <v>อ.โชคชัย  จ.นครราชสีมา</v>
      </c>
      <c r="C17" s="1367" t="s">
        <v>432</v>
      </c>
      <c r="D17" s="1221">
        <v>273</v>
      </c>
      <c r="E17" s="1208" t="s">
        <v>208</v>
      </c>
      <c r="G17" s="1813">
        <f t="shared" si="3"/>
        <v>73</v>
      </c>
      <c r="H17" s="1228" t="s">
        <v>181</v>
      </c>
      <c r="I17" s="1208" t="s">
        <v>901</v>
      </c>
      <c r="J17" s="1237">
        <f t="shared" si="0"/>
        <v>172.94</v>
      </c>
      <c r="K17" s="1208" t="s">
        <v>898</v>
      </c>
      <c r="L17" s="1240" t="str">
        <f>$L$14</f>
        <v>รถสิบล้อลากพ่วง</v>
      </c>
      <c r="N17" s="1212"/>
      <c r="O17" s="1212"/>
      <c r="P17" s="1212"/>
      <c r="Q17" s="1212"/>
      <c r="R17" s="1212"/>
      <c r="S17" s="1212"/>
      <c r="T17" s="1250"/>
      <c r="U17" s="1250"/>
      <c r="V17" s="1250"/>
      <c r="W17" s="1251"/>
    </row>
    <row r="18" spans="1:25" ht="23.1" customHeight="1">
      <c r="A18" s="1211">
        <f t="shared" si="2"/>
        <v>10</v>
      </c>
      <c r="B18" s="1208" t="str">
        <f>B17</f>
        <v>อ.โชคชัย  จ.นครราชสีมา</v>
      </c>
      <c r="C18" s="1367" t="s">
        <v>434</v>
      </c>
      <c r="D18" s="2178">
        <v>464</v>
      </c>
      <c r="E18" s="1208" t="s">
        <v>208</v>
      </c>
      <c r="G18" s="1813">
        <f t="shared" si="3"/>
        <v>73</v>
      </c>
      <c r="H18" s="1228" t="s">
        <v>181</v>
      </c>
      <c r="I18" s="1208" t="s">
        <v>901</v>
      </c>
      <c r="J18" s="1237">
        <f t="shared" si="0"/>
        <v>172.94</v>
      </c>
      <c r="K18" s="1208" t="s">
        <v>898</v>
      </c>
      <c r="L18" s="1240" t="str">
        <f>$L$14</f>
        <v>รถสิบล้อลากพ่วง</v>
      </c>
      <c r="N18" s="1374" t="s">
        <v>943</v>
      </c>
      <c r="O18" s="1376" t="s">
        <v>1818</v>
      </c>
      <c r="P18" s="1376"/>
      <c r="Q18" s="1376"/>
      <c r="R18" s="1376"/>
      <c r="S18" s="1790"/>
      <c r="T18" s="1376" t="s">
        <v>1819</v>
      </c>
      <c r="U18" s="1376"/>
      <c r="V18" s="1376"/>
      <c r="W18" s="1376"/>
    </row>
    <row r="19" spans="1:25" ht="23.1" customHeight="1">
      <c r="A19" s="1211">
        <f t="shared" si="2"/>
        <v>11</v>
      </c>
      <c r="B19" s="1208" t="str">
        <f>B18</f>
        <v>อ.โชคชัย  จ.นครราชสีมา</v>
      </c>
      <c r="C19" s="1367" t="s">
        <v>433</v>
      </c>
      <c r="D19" s="1794">
        <f>D14*0.5+D15*0.25+D16*0.1+D17*0.15</f>
        <v>353.34999999999997</v>
      </c>
      <c r="E19" s="1208" t="s">
        <v>208</v>
      </c>
      <c r="G19" s="1813">
        <f t="shared" si="3"/>
        <v>73</v>
      </c>
      <c r="H19" s="1228" t="s">
        <v>181</v>
      </c>
      <c r="I19" s="1208" t="s">
        <v>901</v>
      </c>
      <c r="J19" s="1237">
        <f t="shared" si="0"/>
        <v>172.94</v>
      </c>
      <c r="K19" s="1208" t="s">
        <v>898</v>
      </c>
      <c r="L19" s="1240" t="str">
        <f>$L$14</f>
        <v>รถสิบล้อลากพ่วง</v>
      </c>
      <c r="N19" s="1207" t="s">
        <v>1069</v>
      </c>
      <c r="P19" s="1208" t="s">
        <v>1742</v>
      </c>
      <c r="Q19" s="1207" t="s">
        <v>1741</v>
      </c>
      <c r="R19" s="1208" t="s">
        <v>1740</v>
      </c>
      <c r="T19" s="1208" t="s">
        <v>1882</v>
      </c>
      <c r="U19" s="1208" t="s">
        <v>1750</v>
      </c>
    </row>
    <row r="20" spans="1:25" ht="23.1" customHeight="1">
      <c r="A20" s="1211">
        <f t="shared" si="2"/>
        <v>12</v>
      </c>
      <c r="B20" s="1372" t="s">
        <v>1814</v>
      </c>
      <c r="C20" s="1208" t="s">
        <v>1778</v>
      </c>
      <c r="D20" s="1253">
        <f>T26</f>
        <v>27483.33</v>
      </c>
      <c r="E20" s="1208" t="s">
        <v>209</v>
      </c>
      <c r="G20" s="1814">
        <v>90</v>
      </c>
      <c r="H20" s="1228" t="s">
        <v>181</v>
      </c>
      <c r="I20" s="1208" t="s">
        <v>901</v>
      </c>
      <c r="J20" s="1237" t="str">
        <f t="shared" ref="J20:J26" si="4">IF(AND($L20="รถสิบล้อ",K20="บาท/ลบ.ม."),VLOOKUP(G20,oil,3),
IF(AND($L20="รถสิบล้อ",K20="บาท/ตัน"),VLOOKUP(G20,oil,2),
IF(AND($L20="รถสิบล้อลากพ่วง",K20="บาท/ลบ.ม."),VLOOKUP(G20,oil,6),
IF(AND($L20="รถสิบล้อลากพ่วง",K20="บาท/ตัน"),VLOOKUP(G20,oil,5)))))</f>
        <v>152.18</v>
      </c>
      <c r="K20" s="1208" t="s">
        <v>136</v>
      </c>
      <c r="L20" s="1238" t="s">
        <v>559</v>
      </c>
      <c r="N20" s="1252">
        <f>D20-J20</f>
        <v>27331.15</v>
      </c>
      <c r="P20" s="1208" t="s">
        <v>1742</v>
      </c>
      <c r="Q20" s="1207" t="s">
        <v>1743</v>
      </c>
      <c r="T20" s="928"/>
      <c r="U20" s="1208" t="s">
        <v>1751</v>
      </c>
      <c r="V20" s="928"/>
      <c r="W20" s="928"/>
      <c r="X20" s="928"/>
      <c r="Y20" s="928"/>
    </row>
    <row r="21" spans="1:25" ht="23.1" customHeight="1">
      <c r="A21" s="1211">
        <f t="shared" si="2"/>
        <v>13</v>
      </c>
      <c r="B21" s="1208" t="str">
        <f t="shared" ref="B21:B27" si="5">$B$20</f>
        <v>อ.สูงเนิน  จ.นครราชสีมา</v>
      </c>
      <c r="C21" s="1208" t="s">
        <v>1779</v>
      </c>
      <c r="D21" s="1253">
        <f>T27</f>
        <v>30865</v>
      </c>
      <c r="E21" s="1208" t="s">
        <v>209</v>
      </c>
      <c r="G21" s="1813">
        <f>$G$20</f>
        <v>90</v>
      </c>
      <c r="H21" s="1228" t="s">
        <v>181</v>
      </c>
      <c r="I21" s="1208" t="s">
        <v>901</v>
      </c>
      <c r="J21" s="1237" t="str">
        <f t="shared" si="4"/>
        <v>152.18</v>
      </c>
      <c r="K21" s="1208" t="s">
        <v>136</v>
      </c>
      <c r="L21" s="1240" t="str">
        <f t="shared" ref="L21:L26" si="6">$L$29</f>
        <v>รถสิบล้อลากพ่วง</v>
      </c>
      <c r="N21" s="1252">
        <f t="shared" ref="N21:N28" si="7">D21-J21</f>
        <v>30712.82</v>
      </c>
      <c r="P21" s="1208" t="s">
        <v>1742</v>
      </c>
      <c r="Q21" s="1207" t="s">
        <v>1749</v>
      </c>
      <c r="T21" s="928"/>
      <c r="U21" s="1208" t="s">
        <v>1752</v>
      </c>
    </row>
    <row r="22" spans="1:25" ht="23.1" customHeight="1">
      <c r="A22" s="1211">
        <f t="shared" si="2"/>
        <v>14</v>
      </c>
      <c r="B22" s="1208" t="str">
        <f t="shared" si="5"/>
        <v>อ.สูงเนิน  จ.นครราชสีมา</v>
      </c>
      <c r="C22" s="1208" t="s">
        <v>1784</v>
      </c>
      <c r="D22" s="1253">
        <f>T34</f>
        <v>40900</v>
      </c>
      <c r="E22" s="1208" t="s">
        <v>209</v>
      </c>
      <c r="G22" s="1813">
        <f t="shared" ref="G22:G26" si="8">$G$20</f>
        <v>90</v>
      </c>
      <c r="H22" s="1228" t="s">
        <v>181</v>
      </c>
      <c r="I22" s="1208" t="s">
        <v>901</v>
      </c>
      <c r="J22" s="1237" t="str">
        <f t="shared" ref="J22" si="9">IF(AND($L22="รถสิบล้อ",K22="บาท/ลบ.ม."),VLOOKUP(G22,oil,3),
IF(AND($L22="รถสิบล้อ",K22="บาท/ตัน"),VLOOKUP(G22,oil,2),
IF(AND($L22="รถสิบล้อลากพ่วง",K22="บาท/ลบ.ม."),VLOOKUP(G22,oil,6),
IF(AND($L22="รถสิบล้อลากพ่วง",K22="บาท/ตัน"),VLOOKUP(G22,oil,5)))))</f>
        <v>152.18</v>
      </c>
      <c r="K22" s="1208" t="s">
        <v>136</v>
      </c>
      <c r="L22" s="1240" t="str">
        <f t="shared" si="6"/>
        <v>รถสิบล้อลากพ่วง</v>
      </c>
      <c r="N22" s="1252">
        <f t="shared" si="7"/>
        <v>40747.82</v>
      </c>
      <c r="P22" s="1208" t="s">
        <v>1742</v>
      </c>
      <c r="Q22" s="1207" t="s">
        <v>1754</v>
      </c>
      <c r="T22" s="928"/>
      <c r="U22" s="1208" t="s">
        <v>1753</v>
      </c>
    </row>
    <row r="23" spans="1:25" ht="23.1" customHeight="1">
      <c r="A23" s="1211">
        <f t="shared" si="2"/>
        <v>15</v>
      </c>
      <c r="B23" s="1208" t="str">
        <f t="shared" si="5"/>
        <v>อ.สูงเนิน  จ.นครราชสีมา</v>
      </c>
      <c r="C23" s="1208" t="s">
        <v>1780</v>
      </c>
      <c r="D23" s="1253">
        <f>T28</f>
        <v>27316.67</v>
      </c>
      <c r="E23" s="1208" t="s">
        <v>209</v>
      </c>
      <c r="G23" s="1813">
        <f t="shared" si="8"/>
        <v>90</v>
      </c>
      <c r="H23" s="1228" t="s">
        <v>181</v>
      </c>
      <c r="I23" s="1208" t="s">
        <v>901</v>
      </c>
      <c r="J23" s="1237" t="str">
        <f t="shared" si="4"/>
        <v>152.18</v>
      </c>
      <c r="K23" s="1208" t="s">
        <v>136</v>
      </c>
      <c r="L23" s="1240" t="str">
        <f t="shared" si="6"/>
        <v>รถสิบล้อลากพ่วง</v>
      </c>
      <c r="N23" s="1252">
        <f t="shared" si="7"/>
        <v>27164.489999999998</v>
      </c>
      <c r="P23" s="1208" t="s">
        <v>1094</v>
      </c>
      <c r="R23" s="1208" t="s">
        <v>1755</v>
      </c>
    </row>
    <row r="24" spans="1:25" ht="23.1" customHeight="1">
      <c r="A24" s="1211">
        <f t="shared" si="2"/>
        <v>16</v>
      </c>
      <c r="B24" s="1208" t="str">
        <f t="shared" si="5"/>
        <v>อ.สูงเนิน  จ.นครราชสีมา</v>
      </c>
      <c r="C24" s="1208" t="s">
        <v>1781</v>
      </c>
      <c r="D24" s="1253">
        <f>T29</f>
        <v>27910</v>
      </c>
      <c r="E24" s="1208" t="s">
        <v>209</v>
      </c>
      <c r="G24" s="1813">
        <f t="shared" si="8"/>
        <v>90</v>
      </c>
      <c r="H24" s="1228" t="s">
        <v>181</v>
      </c>
      <c r="I24" s="1208" t="s">
        <v>901</v>
      </c>
      <c r="J24" s="1237" t="str">
        <f t="shared" si="4"/>
        <v>152.18</v>
      </c>
      <c r="K24" s="1208" t="s">
        <v>136</v>
      </c>
      <c r="L24" s="1240" t="str">
        <f t="shared" si="6"/>
        <v>รถสิบล้อลากพ่วง</v>
      </c>
      <c r="N24" s="1252">
        <f t="shared" si="7"/>
        <v>27757.82</v>
      </c>
      <c r="P24" s="1208" t="s">
        <v>1756</v>
      </c>
    </row>
    <row r="25" spans="1:25" ht="23.1" customHeight="1">
      <c r="A25" s="1211">
        <f t="shared" si="2"/>
        <v>17</v>
      </c>
      <c r="B25" s="1208" t="str">
        <f t="shared" si="5"/>
        <v>อ.สูงเนิน  จ.นครราชสีมา</v>
      </c>
      <c r="C25" s="1208" t="s">
        <v>1785</v>
      </c>
      <c r="D25" s="1253">
        <f>T30</f>
        <v>42870</v>
      </c>
      <c r="E25" s="1208" t="s">
        <v>209</v>
      </c>
      <c r="G25" s="1813">
        <f t="shared" si="8"/>
        <v>90</v>
      </c>
      <c r="H25" s="1228" t="s">
        <v>181</v>
      </c>
      <c r="I25" s="1208" t="s">
        <v>901</v>
      </c>
      <c r="J25" s="1237" t="str">
        <f t="shared" si="4"/>
        <v>152.18</v>
      </c>
      <c r="K25" s="1208" t="s">
        <v>136</v>
      </c>
      <c r="L25" s="1240" t="str">
        <f t="shared" si="6"/>
        <v>รถสิบล้อลากพ่วง</v>
      </c>
      <c r="N25" s="1252">
        <f t="shared" si="7"/>
        <v>42717.82</v>
      </c>
      <c r="P25" s="1207" t="s">
        <v>672</v>
      </c>
      <c r="Q25" s="1788">
        <v>1505010100100000</v>
      </c>
      <c r="R25" s="1789" t="s">
        <v>1757</v>
      </c>
      <c r="S25" s="1273" t="s">
        <v>187</v>
      </c>
      <c r="T25" s="1787">
        <v>31403.33</v>
      </c>
      <c r="U25" s="1254" t="s">
        <v>807</v>
      </c>
    </row>
    <row r="26" spans="1:25" ht="23.1" customHeight="1">
      <c r="A26" s="1211">
        <f t="shared" si="2"/>
        <v>18</v>
      </c>
      <c r="B26" s="1208" t="str">
        <f t="shared" si="5"/>
        <v>อ.สูงเนิน  จ.นครราชสีมา</v>
      </c>
      <c r="C26" s="1208" t="s">
        <v>230</v>
      </c>
      <c r="D26" s="1253">
        <f>T25</f>
        <v>31403.33</v>
      </c>
      <c r="E26" s="1208" t="s">
        <v>209</v>
      </c>
      <c r="G26" s="1813">
        <f t="shared" si="8"/>
        <v>90</v>
      </c>
      <c r="H26" s="1228" t="s">
        <v>181</v>
      </c>
      <c r="I26" s="1208" t="s">
        <v>901</v>
      </c>
      <c r="J26" s="1237" t="str">
        <f t="shared" si="4"/>
        <v>152.18</v>
      </c>
      <c r="K26" s="1208" t="s">
        <v>136</v>
      </c>
      <c r="L26" s="1240" t="str">
        <f t="shared" si="6"/>
        <v>รถสิบล้อลากพ่วง</v>
      </c>
      <c r="M26" s="1242"/>
      <c r="N26" s="1252">
        <f t="shared" si="7"/>
        <v>31251.15</v>
      </c>
      <c r="P26" s="1207" t="s">
        <v>1778</v>
      </c>
      <c r="Q26" s="1788">
        <v>1505010100200000</v>
      </c>
      <c r="R26" s="1789" t="s">
        <v>1758</v>
      </c>
      <c r="S26" s="1273" t="s">
        <v>187</v>
      </c>
      <c r="T26" s="1787">
        <v>27483.33</v>
      </c>
      <c r="U26" s="1254" t="s">
        <v>807</v>
      </c>
    </row>
    <row r="27" spans="1:25" ht="23.1" customHeight="1">
      <c r="A27" s="1211">
        <f t="shared" si="2"/>
        <v>19</v>
      </c>
      <c r="B27" s="1208" t="str">
        <f t="shared" si="5"/>
        <v>อ.สูงเนิน  จ.นครราชสีมา</v>
      </c>
      <c r="D27" s="1795"/>
      <c r="G27" s="1813"/>
      <c r="H27" s="1228"/>
      <c r="J27" s="1237"/>
      <c r="L27" s="1240"/>
      <c r="M27" s="1242"/>
      <c r="N27" s="1252"/>
      <c r="P27" s="1207" t="s">
        <v>1779</v>
      </c>
      <c r="Q27" s="1788">
        <v>1505010100300000</v>
      </c>
      <c r="R27" s="1789" t="s">
        <v>1759</v>
      </c>
      <c r="S27" s="1273" t="s">
        <v>187</v>
      </c>
      <c r="T27" s="1787">
        <v>30865</v>
      </c>
      <c r="U27" s="1254" t="s">
        <v>807</v>
      </c>
    </row>
    <row r="28" spans="1:25" ht="23.1" customHeight="1">
      <c r="A28" s="1211"/>
      <c r="B28" s="1208" t="s">
        <v>1574</v>
      </c>
      <c r="D28" s="1253">
        <v>30375</v>
      </c>
      <c r="E28" s="1208" t="s">
        <v>209</v>
      </c>
      <c r="G28" s="1813">
        <f>G20</f>
        <v>90</v>
      </c>
      <c r="H28" s="1228" t="s">
        <v>181</v>
      </c>
      <c r="I28" s="1208" t="s">
        <v>901</v>
      </c>
      <c r="J28" s="1237" t="str">
        <f t="shared" ref="J28" si="10">IF(AND($L28="รถสิบล้อ",K28="บาท/ลบ.ม."),VLOOKUP(G28,oil,3),
IF(AND($L28="รถสิบล้อ",K28="บาท/ตัน"),VLOOKUP(G28,oil,2),
IF(AND($L28="รถสิบล้อลากพ่วง",K28="บาท/ลบ.ม."),VLOOKUP(G28,oil,6),
IF(AND($L28="รถสิบล้อลากพ่วง",K28="บาท/ตัน"),VLOOKUP(G28,oil,5)))))</f>
        <v>152.18</v>
      </c>
      <c r="K28" s="1208" t="s">
        <v>136</v>
      </c>
      <c r="L28" s="1240" t="str">
        <f>$L$29</f>
        <v>รถสิบล้อลากพ่วง</v>
      </c>
      <c r="M28" s="1242"/>
      <c r="N28" s="1252">
        <f t="shared" si="7"/>
        <v>30222.82</v>
      </c>
      <c r="P28" s="1207" t="s">
        <v>1780</v>
      </c>
      <c r="Q28" s="1788">
        <v>1505010100400000</v>
      </c>
      <c r="R28" s="1789" t="s">
        <v>1760</v>
      </c>
      <c r="S28" s="1273" t="s">
        <v>187</v>
      </c>
      <c r="T28" s="1787">
        <v>27316.67</v>
      </c>
      <c r="U28" s="1254" t="s">
        <v>807</v>
      </c>
    </row>
    <row r="29" spans="1:25" ht="23.1" customHeight="1">
      <c r="A29" s="1211">
        <f>A27+1</f>
        <v>20</v>
      </c>
      <c r="B29" s="1372" t="s">
        <v>1070</v>
      </c>
      <c r="C29" s="1208" t="s">
        <v>1778</v>
      </c>
      <c r="D29" s="1796">
        <f>N20</f>
        <v>27331.15</v>
      </c>
      <c r="E29" s="1208" t="s">
        <v>209</v>
      </c>
      <c r="G29" s="1220">
        <v>343</v>
      </c>
      <c r="H29" s="1228" t="s">
        <v>181</v>
      </c>
      <c r="I29" s="1208" t="s">
        <v>901</v>
      </c>
      <c r="J29" s="1237">
        <f t="shared" si="0"/>
        <v>579.14000000000192</v>
      </c>
      <c r="K29" s="1208" t="s">
        <v>136</v>
      </c>
      <c r="L29" s="1238" t="s">
        <v>559</v>
      </c>
      <c r="P29" s="1207" t="s">
        <v>1781</v>
      </c>
      <c r="Q29" s="1788">
        <v>1505010100500000</v>
      </c>
      <c r="R29" s="1789" t="s">
        <v>1761</v>
      </c>
      <c r="S29" s="1273" t="s">
        <v>187</v>
      </c>
      <c r="T29" s="1787">
        <v>27910</v>
      </c>
      <c r="U29" s="1254" t="s">
        <v>807</v>
      </c>
      <c r="V29" s="928"/>
      <c r="W29" s="928"/>
      <c r="X29" s="928"/>
      <c r="Y29" s="928"/>
    </row>
    <row r="30" spans="1:25" ht="23.1" customHeight="1">
      <c r="A30" s="1211">
        <f t="shared" si="2"/>
        <v>21</v>
      </c>
      <c r="B30" s="1208" t="str">
        <f>$B$29</f>
        <v>อ.ศรีราชา  จ.ชลบุรี</v>
      </c>
      <c r="C30" s="1208" t="s">
        <v>1779</v>
      </c>
      <c r="D30" s="1796">
        <f>N22</f>
        <v>40747.82</v>
      </c>
      <c r="E30" s="1208" t="s">
        <v>209</v>
      </c>
      <c r="G30" s="1813">
        <f>$G$29</f>
        <v>343</v>
      </c>
      <c r="H30" s="1228" t="s">
        <v>181</v>
      </c>
      <c r="I30" s="1208" t="s">
        <v>901</v>
      </c>
      <c r="J30" s="1237">
        <f>IF(AND($L30="รถสิบล้อ",K30="บาท/ลบ.ม."),VLOOKUP(G30,oil,3),
IF(AND($L30="รถสิบล้อ",K30="บาท/ตัน"),VLOOKUP(G30,oil,2),
IF(AND($L30="รถสิบล้อลากพ่วง",K30="บาท/ลบ.ม."),VLOOKUP(G30,oil,6),
IF(AND($L30="รถสิบล้อลากพ่วง",K30="บาท/ตัน"),VLOOKUP(G30,oil,5)))))</f>
        <v>579.14000000000192</v>
      </c>
      <c r="K30" s="1208" t="s">
        <v>136</v>
      </c>
      <c r="L30" s="1240" t="str">
        <f>$L$29</f>
        <v>รถสิบล้อลากพ่วง</v>
      </c>
      <c r="P30" s="1207" t="s">
        <v>907</v>
      </c>
      <c r="Q30" s="1788">
        <v>1505010100700000</v>
      </c>
      <c r="R30" s="1789" t="s">
        <v>1762</v>
      </c>
      <c r="S30" s="1273" t="s">
        <v>187</v>
      </c>
      <c r="T30" s="1787">
        <v>42870</v>
      </c>
      <c r="U30" s="1254" t="s">
        <v>807</v>
      </c>
    </row>
    <row r="31" spans="1:25" ht="23.1" customHeight="1">
      <c r="A31" s="1211">
        <f t="shared" si="2"/>
        <v>22</v>
      </c>
      <c r="B31" s="1208" t="str">
        <f>$B$29</f>
        <v>อ.ศรีราชา  จ.ชลบุรี</v>
      </c>
      <c r="C31" s="1208" t="s">
        <v>1781</v>
      </c>
      <c r="D31" s="1796">
        <f>N24</f>
        <v>27757.82</v>
      </c>
      <c r="E31" s="1208" t="s">
        <v>209</v>
      </c>
      <c r="G31" s="1813">
        <f t="shared" ref="G31:G33" si="11">$G$29</f>
        <v>343</v>
      </c>
      <c r="H31" s="1228" t="s">
        <v>181</v>
      </c>
      <c r="I31" s="1208" t="s">
        <v>901</v>
      </c>
      <c r="J31" s="1237">
        <f t="shared" si="0"/>
        <v>579.14000000000192</v>
      </c>
      <c r="K31" s="1208" t="s">
        <v>136</v>
      </c>
      <c r="L31" s="1240" t="str">
        <f>$L$29</f>
        <v>รถสิบล้อลากพ่วง</v>
      </c>
      <c r="P31" s="1207" t="s">
        <v>1768</v>
      </c>
      <c r="Q31" s="1788">
        <v>1505010100800000</v>
      </c>
      <c r="R31" s="1789" t="s">
        <v>1763</v>
      </c>
      <c r="S31" s="1273" t="s">
        <v>187</v>
      </c>
      <c r="T31" s="1787">
        <v>45995</v>
      </c>
      <c r="U31" s="1254" t="s">
        <v>807</v>
      </c>
    </row>
    <row r="32" spans="1:25" ht="23.1" customHeight="1">
      <c r="A32" s="1211">
        <f t="shared" si="2"/>
        <v>23</v>
      </c>
      <c r="B32" s="1208" t="str">
        <f>$B$29</f>
        <v>อ.ศรีราชา  จ.ชลบุรี</v>
      </c>
      <c r="C32" s="1208" t="s">
        <v>1785</v>
      </c>
      <c r="D32" s="1796">
        <f>N25</f>
        <v>42717.82</v>
      </c>
      <c r="E32" s="1208" t="s">
        <v>209</v>
      </c>
      <c r="G32" s="1813">
        <f t="shared" si="11"/>
        <v>343</v>
      </c>
      <c r="H32" s="1228" t="s">
        <v>181</v>
      </c>
      <c r="I32" s="1208" t="s">
        <v>901</v>
      </c>
      <c r="J32" s="1237">
        <f t="shared" si="0"/>
        <v>579.14000000000192</v>
      </c>
      <c r="K32" s="1208" t="s">
        <v>136</v>
      </c>
      <c r="L32" s="1240" t="str">
        <f>$L$29</f>
        <v>รถสิบล้อลากพ่วง</v>
      </c>
      <c r="P32" s="1207" t="s">
        <v>1769</v>
      </c>
      <c r="Q32" s="1788">
        <v>1505010100900000</v>
      </c>
      <c r="R32" s="1789" t="s">
        <v>1764</v>
      </c>
      <c r="S32" s="1273" t="s">
        <v>187</v>
      </c>
      <c r="T32" s="1786" t="s">
        <v>403</v>
      </c>
      <c r="U32" s="1254" t="s">
        <v>807</v>
      </c>
    </row>
    <row r="33" spans="1:21" ht="23.1" customHeight="1">
      <c r="A33" s="1211">
        <f t="shared" si="2"/>
        <v>24</v>
      </c>
      <c r="B33" s="1208" t="str">
        <f>$B$29</f>
        <v>อ.ศรีราชา  จ.ชลบุรี</v>
      </c>
      <c r="C33" s="1208" t="s">
        <v>230</v>
      </c>
      <c r="D33" s="1797">
        <f>N26</f>
        <v>31251.15</v>
      </c>
      <c r="E33" s="1208" t="s">
        <v>209</v>
      </c>
      <c r="G33" s="1813">
        <f t="shared" si="11"/>
        <v>343</v>
      </c>
      <c r="H33" s="1228" t="s">
        <v>181</v>
      </c>
      <c r="I33" s="1208" t="s">
        <v>901</v>
      </c>
      <c r="J33" s="1237">
        <f>IF(AND($L33="รถสิบล้อ",K33="บาท/ลบ.ม."),VLOOKUP(G33,oil,3),
IF(AND($L33="รถสิบล้อ",K33="บาท/ตัน"),VLOOKUP(G33,oil,2),
IF(AND($L33="รถสิบล้อลากพ่วง",K33="บาท/ลบ.ม."),VLOOKUP(G33,oil,6),
IF(AND($L33="รถสิบล้อลากพ่วง",K33="บาท/ตัน"),VLOOKUP(G33,oil,5)))))</f>
        <v>579.14000000000192</v>
      </c>
      <c r="K33" s="1208" t="s">
        <v>136</v>
      </c>
      <c r="L33" s="1240" t="str">
        <f>$L$29</f>
        <v>รถสิบล้อลากพ่วง</v>
      </c>
      <c r="M33" s="1242"/>
      <c r="P33" s="1207" t="s">
        <v>1770</v>
      </c>
      <c r="Q33" s="1788">
        <v>1505010101000000</v>
      </c>
      <c r="R33" s="1789" t="s">
        <v>1765</v>
      </c>
      <c r="S33" s="1273" t="s">
        <v>187</v>
      </c>
      <c r="T33" s="1787">
        <v>30406.67</v>
      </c>
      <c r="U33" s="1254" t="s">
        <v>807</v>
      </c>
    </row>
    <row r="34" spans="1:21" ht="23.1" customHeight="1">
      <c r="A34" s="1211">
        <f t="shared" si="2"/>
        <v>25</v>
      </c>
      <c r="B34" s="1208" t="str">
        <f>$B$29</f>
        <v>อ.ศรีราชา  จ.ชลบุรี</v>
      </c>
      <c r="D34" s="1798"/>
      <c r="G34" s="1815"/>
      <c r="H34" s="1228"/>
      <c r="J34" s="1237"/>
      <c r="L34" s="1240"/>
      <c r="M34" s="1242"/>
      <c r="P34" s="1207" t="s">
        <v>1782</v>
      </c>
      <c r="Q34" s="1788">
        <v>1505010101100000</v>
      </c>
      <c r="R34" s="1789" t="s">
        <v>1766</v>
      </c>
      <c r="S34" s="1273" t="s">
        <v>187</v>
      </c>
      <c r="T34" s="1787">
        <v>40900</v>
      </c>
      <c r="U34" s="1254" t="s">
        <v>807</v>
      </c>
    </row>
    <row r="35" spans="1:21" ht="23.1" customHeight="1">
      <c r="A35" s="1211">
        <f t="shared" si="2"/>
        <v>26</v>
      </c>
      <c r="B35" s="1208" t="s">
        <v>1574</v>
      </c>
      <c r="D35" s="1797">
        <f>N28</f>
        <v>30222.82</v>
      </c>
      <c r="E35" s="1208" t="s">
        <v>209</v>
      </c>
      <c r="G35" s="1815">
        <f>G29</f>
        <v>343</v>
      </c>
      <c r="H35" s="1228" t="s">
        <v>181</v>
      </c>
      <c r="I35" s="1208" t="s">
        <v>901</v>
      </c>
      <c r="J35" s="1237">
        <f>IF(AND($L35="รถสิบล้อ",K35="บาท/ลบ.ม."),VLOOKUP(G35,oil,3),
IF(AND($L35="รถสิบล้อ",K35="บาท/ตัน"),VLOOKUP(G35,oil,2),
IF(AND($L35="รถสิบล้อลากพ่วง",K35="บาท/ลบ.ม."),VLOOKUP(G35,oil,6),
IF(AND($L35="รถสิบล้อลากพ่วง",K35="บาท/ตัน"),VLOOKUP(G35,oil,5)))))</f>
        <v>579.14000000000192</v>
      </c>
      <c r="K35" s="1208" t="s">
        <v>136</v>
      </c>
      <c r="L35" s="1240" t="str">
        <f>$L$29</f>
        <v>รถสิบล้อลากพ่วง</v>
      </c>
      <c r="M35" s="1242"/>
      <c r="P35" s="1207" t="s">
        <v>1783</v>
      </c>
      <c r="Q35" s="1788">
        <v>1505010101200000</v>
      </c>
      <c r="R35" s="1789" t="s">
        <v>1767</v>
      </c>
      <c r="S35" s="1273" t="s">
        <v>187</v>
      </c>
      <c r="T35" s="1787">
        <v>36110</v>
      </c>
      <c r="U35" s="1254" t="s">
        <v>807</v>
      </c>
    </row>
    <row r="36" spans="1:21" ht="23.1" customHeight="1">
      <c r="A36" s="1211">
        <f t="shared" si="2"/>
        <v>27</v>
      </c>
      <c r="B36" s="1255" t="s">
        <v>1808</v>
      </c>
      <c r="C36" s="1256"/>
      <c r="D36" s="1799" t="e">
        <f>ค่างานต้นทุน!I257</f>
        <v>#DIV/0!</v>
      </c>
      <c r="E36" s="1367" t="s">
        <v>209</v>
      </c>
      <c r="F36" s="1242"/>
      <c r="G36" s="1257">
        <v>1</v>
      </c>
      <c r="H36" s="1241" t="s">
        <v>181</v>
      </c>
      <c r="I36" s="1242" t="s">
        <v>901</v>
      </c>
      <c r="J36" s="1258" t="str">
        <f>IF(AND($L36="รถสิบล้อ",K36="บาท/ลบ.ม."),VLOOKUP(G36,oil,3),
IF(AND($L36="รถสิบล้อ",K36="บาท/ตัน"),VLOOKUP(G36,oil,2),
IF(AND($L36="รถสิบล้อลากพ่วง",K36="บาท/ลบ.ม."),VLOOKUP(G36,oil,6),
IF(AND($L36="รถสิบล้อลากพ่วง",K36="บาท/ตัน"),VLOOKUP(G36,oil,5)))))</f>
        <v>8.32</v>
      </c>
      <c r="K36" s="1208" t="s">
        <v>136</v>
      </c>
      <c r="L36" s="1259" t="str">
        <f>$L$10</f>
        <v>รถสิบล้อ</v>
      </c>
    </row>
    <row r="37" spans="1:21" ht="23.1" customHeight="1">
      <c r="A37" s="1211">
        <f t="shared" si="2"/>
        <v>28</v>
      </c>
      <c r="B37" s="1373" t="s">
        <v>1214</v>
      </c>
      <c r="C37" s="1208" t="s">
        <v>902</v>
      </c>
      <c r="D37" s="1250">
        <v>135</v>
      </c>
      <c r="E37" s="1208" t="s">
        <v>208</v>
      </c>
      <c r="G37" s="1810">
        <v>50</v>
      </c>
      <c r="H37" s="1228" t="s">
        <v>181</v>
      </c>
      <c r="I37" s="1208" t="s">
        <v>901</v>
      </c>
      <c r="J37" s="1237">
        <f t="shared" si="0"/>
        <v>118.73</v>
      </c>
      <c r="K37" s="1208" t="s">
        <v>898</v>
      </c>
      <c r="L37" s="1238" t="s">
        <v>559</v>
      </c>
    </row>
    <row r="38" spans="1:21" ht="23.1" customHeight="1">
      <c r="A38" s="1211">
        <f t="shared" si="2"/>
        <v>29</v>
      </c>
      <c r="B38" s="1373" t="s">
        <v>1214</v>
      </c>
      <c r="C38" s="1208" t="s">
        <v>894</v>
      </c>
      <c r="D38" s="1250">
        <v>220</v>
      </c>
      <c r="E38" s="1208" t="s">
        <v>208</v>
      </c>
      <c r="G38" s="1812">
        <v>50</v>
      </c>
      <c r="H38" s="1228" t="s">
        <v>181</v>
      </c>
      <c r="I38" s="1208" t="s">
        <v>901</v>
      </c>
      <c r="J38" s="1237">
        <f t="shared" si="0"/>
        <v>118.73</v>
      </c>
      <c r="K38" s="1208" t="str">
        <f>K37</f>
        <v>บาท/ลบ.ม.</v>
      </c>
      <c r="L38" s="1240" t="str">
        <f>L37</f>
        <v>รถสิบล้อลากพ่วง</v>
      </c>
    </row>
    <row r="39" spans="1:21" ht="23.1" customHeight="1">
      <c r="A39" s="1211">
        <f t="shared" si="2"/>
        <v>30</v>
      </c>
      <c r="B39" s="1370" t="s">
        <v>1455</v>
      </c>
      <c r="C39" s="1208" t="s">
        <v>1578</v>
      </c>
      <c r="D39" s="1800">
        <v>0</v>
      </c>
      <c r="E39" s="1208" t="s">
        <v>209</v>
      </c>
      <c r="G39" s="1810">
        <v>70</v>
      </c>
      <c r="H39" s="1228" t="s">
        <v>181</v>
      </c>
      <c r="I39" s="1208" t="s">
        <v>901</v>
      </c>
      <c r="J39" s="1237" t="str">
        <f>IF(AND($L39="รถสิบล้อ",K39="บาท/ลบ.ม."),VLOOKUP(G39,oil,3),
IF(AND($L39="รถสิบล้อ",K39="บาท/ตัน"),VLOOKUP(G39,oil,2),
IF(AND($L39="รถสิบล้อลากพ่วง",K39="บาท/ลบ.ม."),VLOOKUP(G39,oil,6),
IF(AND($L39="รถสิบล้อลากพ่วง",K39="บาท/ตัน"),VLOOKUP(G39,oil,5)))))</f>
        <v>118.48</v>
      </c>
      <c r="K39" s="1208" t="s">
        <v>136</v>
      </c>
      <c r="L39" s="1238" t="s">
        <v>559</v>
      </c>
    </row>
    <row r="40" spans="1:21" ht="23.1" customHeight="1">
      <c r="A40" s="1211">
        <f t="shared" si="2"/>
        <v>31</v>
      </c>
      <c r="B40" s="1370" t="s">
        <v>1455</v>
      </c>
      <c r="C40" s="1208" t="s">
        <v>893</v>
      </c>
      <c r="D40" s="1793">
        <v>2652.8</v>
      </c>
      <c r="E40" s="1208" t="s">
        <v>209</v>
      </c>
      <c r="G40" s="1810">
        <v>70</v>
      </c>
      <c r="H40" s="1228" t="s">
        <v>181</v>
      </c>
      <c r="I40" s="1208" t="s">
        <v>901</v>
      </c>
      <c r="J40" s="1237" t="str">
        <f t="shared" si="0"/>
        <v>118.48</v>
      </c>
      <c r="K40" s="1208" t="s">
        <v>136</v>
      </c>
      <c r="L40" s="1238" t="s">
        <v>559</v>
      </c>
    </row>
    <row r="41" spans="1:21" ht="23.1" customHeight="1">
      <c r="A41" s="1211">
        <f t="shared" si="2"/>
        <v>32</v>
      </c>
      <c r="B41" s="1370" t="s">
        <v>1455</v>
      </c>
      <c r="C41" s="1208" t="s">
        <v>1786</v>
      </c>
      <c r="D41" s="1801">
        <v>26732.34</v>
      </c>
      <c r="E41" s="1208" t="s">
        <v>209</v>
      </c>
      <c r="G41" s="1816">
        <v>70</v>
      </c>
      <c r="H41" s="1228" t="s">
        <v>181</v>
      </c>
      <c r="I41" s="1208" t="s">
        <v>901</v>
      </c>
      <c r="J41" s="1237" t="str">
        <f t="shared" si="0"/>
        <v>118.48</v>
      </c>
      <c r="K41" s="1208" t="s">
        <v>136</v>
      </c>
      <c r="L41" s="1238" t="s">
        <v>559</v>
      </c>
    </row>
    <row r="42" spans="1:21" ht="23.1" customHeight="1">
      <c r="A42" s="1211">
        <f t="shared" si="2"/>
        <v>33</v>
      </c>
      <c r="B42" s="1208" t="str">
        <f>B41</f>
        <v>อ.เมือง  จ.นครราชสีมา</v>
      </c>
      <c r="C42" s="1208" t="s">
        <v>1787</v>
      </c>
      <c r="D42" s="1801">
        <v>25096.92</v>
      </c>
      <c r="E42" s="1208" t="s">
        <v>209</v>
      </c>
      <c r="G42" s="1813">
        <f>$G$41</f>
        <v>70</v>
      </c>
      <c r="H42" s="1228" t="s">
        <v>181</v>
      </c>
      <c r="I42" s="1208" t="s">
        <v>901</v>
      </c>
      <c r="J42" s="1237" t="str">
        <f t="shared" si="0"/>
        <v>118.48</v>
      </c>
      <c r="K42" s="1208" t="s">
        <v>136</v>
      </c>
      <c r="L42" s="1240" t="str">
        <f>L41</f>
        <v>รถสิบล้อลากพ่วง</v>
      </c>
    </row>
    <row r="43" spans="1:21" ht="23.1" customHeight="1">
      <c r="A43" s="1211">
        <f t="shared" si="2"/>
        <v>34</v>
      </c>
      <c r="B43" s="1208" t="str">
        <f t="shared" ref="B43:B50" si="12">B42</f>
        <v>อ.เมือง  จ.นครราชสีมา</v>
      </c>
      <c r="C43" s="1208" t="s">
        <v>1788</v>
      </c>
      <c r="D43" s="1801">
        <v>28047.91</v>
      </c>
      <c r="E43" s="1208" t="s">
        <v>209</v>
      </c>
      <c r="G43" s="1813">
        <f t="shared" ref="G43:G50" si="13">$G$41</f>
        <v>70</v>
      </c>
      <c r="H43" s="1228" t="s">
        <v>181</v>
      </c>
      <c r="I43" s="1208" t="s">
        <v>901</v>
      </c>
      <c r="J43" s="1237" t="str">
        <f>IF(AND($L43="รถสิบล้อ",K43="บาท/ลบ.ม."),VLOOKUP(G43,oil,3),
IF(AND($L43="รถสิบล้อ",K43="บาท/ตัน"),VLOOKUP(G43,oil,2),
IF(AND($L43="รถสิบล้อลากพ่วง",K43="บาท/ลบ.ม."),VLOOKUP(G43,oil,6),
IF(AND($L43="รถสิบล้อลากพ่วง",K43="บาท/ตัน"),VLOOKUP(G43,oil,5)))))</f>
        <v>118.48</v>
      </c>
      <c r="K43" s="1208" t="s">
        <v>136</v>
      </c>
      <c r="L43" s="1240" t="str">
        <f>L42</f>
        <v>รถสิบล้อลากพ่วง</v>
      </c>
    </row>
    <row r="44" spans="1:21" ht="23.1" customHeight="1">
      <c r="A44" s="1211">
        <f t="shared" si="2"/>
        <v>35</v>
      </c>
      <c r="B44" s="1208" t="str">
        <f t="shared" si="12"/>
        <v>อ.เมือง  จ.นครราชสีมา</v>
      </c>
      <c r="C44" s="1208" t="s">
        <v>1789</v>
      </c>
      <c r="D44" s="1801">
        <v>27457.91</v>
      </c>
      <c r="E44" s="1208" t="s">
        <v>209</v>
      </c>
      <c r="G44" s="1813">
        <f t="shared" si="13"/>
        <v>70</v>
      </c>
      <c r="H44" s="1228" t="s">
        <v>181</v>
      </c>
      <c r="I44" s="1208" t="s">
        <v>901</v>
      </c>
      <c r="J44" s="1237" t="str">
        <f t="shared" si="0"/>
        <v>118.48</v>
      </c>
      <c r="K44" s="1208" t="s">
        <v>136</v>
      </c>
      <c r="L44" s="1240" t="str">
        <f>L47</f>
        <v>รถสิบล้อลากพ่วง</v>
      </c>
    </row>
    <row r="45" spans="1:21" ht="23.1" customHeight="1">
      <c r="A45" s="1211">
        <f t="shared" si="2"/>
        <v>36</v>
      </c>
      <c r="B45" s="1208" t="str">
        <f t="shared" si="12"/>
        <v>อ.เมือง  จ.นครราชสีมา</v>
      </c>
      <c r="C45" s="1208" t="s">
        <v>1790</v>
      </c>
      <c r="D45" s="1801">
        <v>28045.78</v>
      </c>
      <c r="E45" s="1208" t="s">
        <v>209</v>
      </c>
      <c r="G45" s="1813">
        <f t="shared" si="13"/>
        <v>70</v>
      </c>
      <c r="H45" s="1228" t="s">
        <v>181</v>
      </c>
      <c r="I45" s="1208" t="s">
        <v>901</v>
      </c>
      <c r="J45" s="1237" t="str">
        <f t="shared" si="0"/>
        <v>118.48</v>
      </c>
      <c r="K45" s="1208" t="s">
        <v>136</v>
      </c>
      <c r="L45" s="1240" t="str">
        <f>L41</f>
        <v>รถสิบล้อลากพ่วง</v>
      </c>
    </row>
    <row r="46" spans="1:21" ht="23.1" customHeight="1">
      <c r="A46" s="1211">
        <f t="shared" si="2"/>
        <v>37</v>
      </c>
      <c r="B46" s="1208" t="str">
        <f t="shared" si="12"/>
        <v>อ.เมือง  จ.นครราชสีมา</v>
      </c>
      <c r="C46" s="1208" t="s">
        <v>1791</v>
      </c>
      <c r="D46" s="1802">
        <v>28045.78</v>
      </c>
      <c r="E46" s="1208" t="s">
        <v>209</v>
      </c>
      <c r="G46" s="1813">
        <f t="shared" si="13"/>
        <v>70</v>
      </c>
      <c r="H46" s="1228" t="s">
        <v>181</v>
      </c>
      <c r="I46" s="1208" t="s">
        <v>901</v>
      </c>
      <c r="J46" s="1237" t="str">
        <f>IF(AND($L46="รถสิบล้อ",K46="บาท/ลบ.ม."),VLOOKUP(G46,oil,3),
IF(AND($L46="รถสิบล้อ",K46="บาท/ตัน"),VLOOKUP(G46,oil,2),
IF(AND($L46="รถสิบล้อลากพ่วง",K46="บาท/ลบ.ม."),VLOOKUP(G46,oil,6),
IF(AND($L46="รถสิบล้อลากพ่วง",K46="บาท/ตัน"),VLOOKUP(G46,oil,5)))))</f>
        <v>118.48</v>
      </c>
      <c r="K46" s="1208" t="s">
        <v>136</v>
      </c>
      <c r="L46" s="1240" t="str">
        <f>L41</f>
        <v>รถสิบล้อลากพ่วง</v>
      </c>
    </row>
    <row r="47" spans="1:21" ht="23.1" customHeight="1">
      <c r="A47" s="1211">
        <f t="shared" si="2"/>
        <v>38</v>
      </c>
      <c r="B47" s="1208" t="str">
        <f t="shared" si="12"/>
        <v>อ.เมือง  จ.นครราชสีมา</v>
      </c>
      <c r="C47" s="1208" t="s">
        <v>1792</v>
      </c>
      <c r="D47" s="1801">
        <v>24732.68</v>
      </c>
      <c r="E47" s="1208" t="s">
        <v>209</v>
      </c>
      <c r="G47" s="1813">
        <f t="shared" si="13"/>
        <v>70</v>
      </c>
      <c r="H47" s="1228" t="s">
        <v>181</v>
      </c>
      <c r="I47" s="1208" t="s">
        <v>901</v>
      </c>
      <c r="J47" s="1237" t="str">
        <f>IF(AND($L47="รถสิบล้อ",K47="บาท/ลบ.ม."),VLOOKUP(G47,oil,3),
IF(AND($L47="รถสิบล้อ",K47="บาท/ตัน"),VLOOKUP(G47,oil,2),
IF(AND($L47="รถสิบล้อลากพ่วง",K47="บาท/ลบ.ม."),VLOOKUP(G47,oil,6),
IF(AND($L47="รถสิบล้อลากพ่วง",K47="บาท/ตัน"),VLOOKUP(G47,oil,5)))))</f>
        <v>118.48</v>
      </c>
      <c r="K47" s="1208" t="s">
        <v>136</v>
      </c>
      <c r="L47" s="1240" t="str">
        <f>L41</f>
        <v>รถสิบล้อลากพ่วง</v>
      </c>
    </row>
    <row r="48" spans="1:21" ht="23.1" customHeight="1">
      <c r="A48" s="1211">
        <f t="shared" si="2"/>
        <v>39</v>
      </c>
      <c r="B48" s="1208" t="str">
        <f t="shared" si="12"/>
        <v>อ.เมือง  จ.นครราชสีมา</v>
      </c>
      <c r="C48" s="1208" t="s">
        <v>1793</v>
      </c>
      <c r="D48" s="1801">
        <v>24519.39</v>
      </c>
      <c r="E48" s="1208" t="s">
        <v>209</v>
      </c>
      <c r="G48" s="1813">
        <f t="shared" si="13"/>
        <v>70</v>
      </c>
      <c r="H48" s="1228" t="s">
        <v>181</v>
      </c>
      <c r="I48" s="1208" t="s">
        <v>901</v>
      </c>
      <c r="J48" s="1237" t="str">
        <f>IF(AND($L48="รถสิบล้อ",K48="บาท/ลบ.ม."),VLOOKUP(G48,oil,3),
IF(AND($L48="รถสิบล้อ",K48="บาท/ตัน"),VLOOKUP(G48,oil,2),
IF(AND($L48="รถสิบล้อลากพ่วง",K48="บาท/ลบ.ม."),VLOOKUP(G48,oil,6),
IF(AND($L48="รถสิบล้อลากพ่วง",K48="บาท/ตัน"),VLOOKUP(G48,oil,5)))))</f>
        <v>118.48</v>
      </c>
      <c r="K48" s="1208" t="s">
        <v>136</v>
      </c>
      <c r="L48" s="1240" t="str">
        <f>L41</f>
        <v>รถสิบล้อลากพ่วง</v>
      </c>
    </row>
    <row r="49" spans="1:14" ht="23.1" customHeight="1">
      <c r="A49" s="1211">
        <f t="shared" si="2"/>
        <v>40</v>
      </c>
      <c r="B49" s="1208" t="str">
        <f t="shared" si="12"/>
        <v>อ.เมือง  จ.นครราชสีมา</v>
      </c>
      <c r="C49" s="1208" t="s">
        <v>1794</v>
      </c>
      <c r="D49" s="1801">
        <v>25126.77</v>
      </c>
      <c r="E49" s="1208" t="s">
        <v>209</v>
      </c>
      <c r="G49" s="1813">
        <f t="shared" si="13"/>
        <v>70</v>
      </c>
      <c r="H49" s="1228" t="s">
        <v>181</v>
      </c>
      <c r="I49" s="1208" t="s">
        <v>901</v>
      </c>
      <c r="J49" s="1237" t="str">
        <f t="shared" si="0"/>
        <v>118.48</v>
      </c>
      <c r="K49" s="1208" t="s">
        <v>136</v>
      </c>
      <c r="L49" s="1240" t="str">
        <f>L41</f>
        <v>รถสิบล้อลากพ่วง</v>
      </c>
    </row>
    <row r="50" spans="1:14" ht="23.1" customHeight="1">
      <c r="A50" s="1211">
        <f t="shared" si="2"/>
        <v>41</v>
      </c>
      <c r="B50" s="1208" t="str">
        <f t="shared" si="12"/>
        <v>อ.เมือง  จ.นครราชสีมา</v>
      </c>
      <c r="C50" s="1208" t="s">
        <v>1795</v>
      </c>
      <c r="D50" s="1802">
        <v>25126.77</v>
      </c>
      <c r="E50" s="1208" t="s">
        <v>209</v>
      </c>
      <c r="G50" s="1813">
        <f t="shared" si="13"/>
        <v>70</v>
      </c>
      <c r="H50" s="1228" t="s">
        <v>181</v>
      </c>
      <c r="I50" s="1208" t="s">
        <v>901</v>
      </c>
      <c r="J50" s="1237" t="str">
        <f t="shared" si="0"/>
        <v>118.48</v>
      </c>
      <c r="K50" s="1208" t="s">
        <v>136</v>
      </c>
      <c r="L50" s="1240" t="str">
        <f>L41</f>
        <v>รถสิบล้อลากพ่วง</v>
      </c>
    </row>
    <row r="51" spans="1:14" ht="23.1" customHeight="1">
      <c r="A51" s="1211">
        <f t="shared" si="2"/>
        <v>42</v>
      </c>
      <c r="B51" s="1208" t="str">
        <f t="shared" ref="B51:B82" si="14">$B$40</f>
        <v>อ.เมือง  จ.นครราชสีมา</v>
      </c>
      <c r="C51" s="1208" t="s">
        <v>1796</v>
      </c>
      <c r="D51" s="1803">
        <v>429.91</v>
      </c>
      <c r="E51" s="1208" t="s">
        <v>210</v>
      </c>
      <c r="G51" s="1817">
        <f t="shared" ref="G51:G55" si="15">$G$40</f>
        <v>70</v>
      </c>
      <c r="H51" s="1228" t="s">
        <v>181</v>
      </c>
      <c r="I51" s="1208" t="s">
        <v>901</v>
      </c>
      <c r="J51" s="1237" t="str">
        <f t="shared" si="0"/>
        <v>188.58</v>
      </c>
      <c r="K51" s="1208" t="s">
        <v>136</v>
      </c>
      <c r="L51" s="1240" t="str">
        <f t="shared" ref="L51:L56" si="16">$L$9</f>
        <v>รถสิบล้อ</v>
      </c>
      <c r="N51" s="1260"/>
    </row>
    <row r="52" spans="1:14" ht="23.1" customHeight="1">
      <c r="A52" s="1211">
        <f t="shared" si="2"/>
        <v>43</v>
      </c>
      <c r="B52" s="1208" t="str">
        <f t="shared" si="14"/>
        <v>อ.เมือง  จ.นครราชสีมา</v>
      </c>
      <c r="C52" s="1208" t="s">
        <v>1797</v>
      </c>
      <c r="D52" s="1803">
        <v>682.24</v>
      </c>
      <c r="E52" s="1208" t="s">
        <v>210</v>
      </c>
      <c r="G52" s="1817">
        <f t="shared" si="15"/>
        <v>70</v>
      </c>
      <c r="H52" s="1228" t="s">
        <v>181</v>
      </c>
      <c r="I52" s="1208" t="s">
        <v>901</v>
      </c>
      <c r="J52" s="1237" t="str">
        <f t="shared" si="0"/>
        <v>188.58</v>
      </c>
      <c r="K52" s="1208" t="s">
        <v>136</v>
      </c>
      <c r="L52" s="1240" t="str">
        <f t="shared" si="16"/>
        <v>รถสิบล้อ</v>
      </c>
      <c r="N52" s="1260"/>
    </row>
    <row r="53" spans="1:14" ht="23.1" customHeight="1">
      <c r="A53" s="1211">
        <f t="shared" si="2"/>
        <v>44</v>
      </c>
      <c r="B53" s="1208" t="str">
        <f t="shared" si="14"/>
        <v>อ.เมือง  จ.นครราชสีมา</v>
      </c>
      <c r="C53" s="1208" t="s">
        <v>1798</v>
      </c>
      <c r="D53" s="1803">
        <v>1196.26</v>
      </c>
      <c r="E53" s="1208" t="s">
        <v>210</v>
      </c>
      <c r="G53" s="1817">
        <f t="shared" si="15"/>
        <v>70</v>
      </c>
      <c r="H53" s="1228" t="s">
        <v>181</v>
      </c>
      <c r="I53" s="1208" t="s">
        <v>901</v>
      </c>
      <c r="J53" s="1237" t="str">
        <f t="shared" si="0"/>
        <v>188.58</v>
      </c>
      <c r="K53" s="1208" t="s">
        <v>136</v>
      </c>
      <c r="L53" s="1240" t="str">
        <f t="shared" si="16"/>
        <v>รถสิบล้อ</v>
      </c>
      <c r="N53" s="1260"/>
    </row>
    <row r="54" spans="1:14" ht="23.1" customHeight="1">
      <c r="A54" s="1211">
        <f t="shared" si="2"/>
        <v>45</v>
      </c>
      <c r="B54" s="1208" t="str">
        <f t="shared" si="14"/>
        <v>อ.เมือง  จ.นครราชสีมา</v>
      </c>
      <c r="C54" s="1208" t="s">
        <v>1799</v>
      </c>
      <c r="D54" s="1803">
        <v>1850.47</v>
      </c>
      <c r="E54" s="1208" t="s">
        <v>210</v>
      </c>
      <c r="G54" s="1817">
        <f t="shared" si="15"/>
        <v>70</v>
      </c>
      <c r="H54" s="1228" t="s">
        <v>181</v>
      </c>
      <c r="I54" s="1208" t="s">
        <v>901</v>
      </c>
      <c r="J54" s="1237" t="str">
        <f t="shared" si="0"/>
        <v>188.58</v>
      </c>
      <c r="K54" s="1208" t="s">
        <v>136</v>
      </c>
      <c r="L54" s="1240" t="str">
        <f t="shared" si="16"/>
        <v>รถสิบล้อ</v>
      </c>
      <c r="N54" s="1260"/>
    </row>
    <row r="55" spans="1:14" ht="23.1" customHeight="1">
      <c r="A55" s="1211">
        <f t="shared" si="2"/>
        <v>46</v>
      </c>
      <c r="B55" s="1208" t="str">
        <f t="shared" si="14"/>
        <v>อ.เมือง  จ.นครราชสีมา</v>
      </c>
      <c r="C55" s="1208" t="s">
        <v>1800</v>
      </c>
      <c r="D55" s="1803">
        <v>2878.5</v>
      </c>
      <c r="E55" s="1208" t="s">
        <v>210</v>
      </c>
      <c r="G55" s="1817">
        <f t="shared" si="15"/>
        <v>70</v>
      </c>
      <c r="H55" s="1228" t="s">
        <v>181</v>
      </c>
      <c r="I55" s="1208" t="s">
        <v>901</v>
      </c>
      <c r="J55" s="1237" t="str">
        <f t="shared" si="0"/>
        <v>188.58</v>
      </c>
      <c r="K55" s="1208" t="s">
        <v>136</v>
      </c>
      <c r="L55" s="1240" t="str">
        <f t="shared" si="16"/>
        <v>รถสิบล้อ</v>
      </c>
      <c r="N55" s="1260"/>
    </row>
    <row r="56" spans="1:14" ht="23.1" customHeight="1">
      <c r="A56" s="1211">
        <f t="shared" si="2"/>
        <v>47</v>
      </c>
      <c r="B56" s="1208" t="str">
        <f t="shared" si="14"/>
        <v>อ.เมือง  จ.นครราชสีมา</v>
      </c>
      <c r="C56" s="1208" t="s">
        <v>1801</v>
      </c>
      <c r="D56" s="1803">
        <v>4859.8100000000004</v>
      </c>
      <c r="E56" s="1208" t="s">
        <v>210</v>
      </c>
      <c r="G56" s="1813">
        <f>$G$40</f>
        <v>70</v>
      </c>
      <c r="H56" s="1228" t="s">
        <v>181</v>
      </c>
      <c r="I56" s="1208" t="s">
        <v>901</v>
      </c>
      <c r="J56" s="1237" t="str">
        <f t="shared" si="0"/>
        <v>188.58</v>
      </c>
      <c r="K56" s="1208" t="s">
        <v>136</v>
      </c>
      <c r="L56" s="1240" t="str">
        <f t="shared" si="16"/>
        <v>รถสิบล้อ</v>
      </c>
      <c r="N56" s="1260"/>
    </row>
    <row r="57" spans="1:14" ht="23.1" customHeight="1">
      <c r="A57" s="1211">
        <f t="shared" si="2"/>
        <v>48</v>
      </c>
      <c r="B57" s="1208" t="str">
        <f t="shared" si="14"/>
        <v>อ.เมือง  จ.นครราชสีมา</v>
      </c>
      <c r="C57" s="1208" t="s">
        <v>892</v>
      </c>
      <c r="D57" s="1804">
        <v>86.92</v>
      </c>
      <c r="E57" s="1208" t="s">
        <v>887</v>
      </c>
      <c r="G57" s="1817"/>
    </row>
    <row r="58" spans="1:14" ht="23.1" customHeight="1">
      <c r="A58" s="1211">
        <f t="shared" si="2"/>
        <v>49</v>
      </c>
      <c r="B58" s="1208" t="str">
        <f t="shared" si="14"/>
        <v>อ.เมือง  จ.นครราชสีมา</v>
      </c>
      <c r="C58" s="1208" t="s">
        <v>885</v>
      </c>
      <c r="D58" s="1804">
        <v>657.9</v>
      </c>
      <c r="E58" s="1208" t="s">
        <v>347</v>
      </c>
      <c r="G58" s="1817"/>
    </row>
    <row r="59" spans="1:14" ht="23.1" customHeight="1">
      <c r="A59" s="1211">
        <f t="shared" si="2"/>
        <v>50</v>
      </c>
      <c r="B59" s="1208" t="str">
        <f t="shared" si="14"/>
        <v>อ.เมือง  จ.นครราชสีมา</v>
      </c>
      <c r="C59" s="1208" t="s">
        <v>522</v>
      </c>
      <c r="D59" s="1804">
        <v>250</v>
      </c>
      <c r="E59" s="1208" t="s">
        <v>891</v>
      </c>
      <c r="G59" s="1817"/>
    </row>
    <row r="60" spans="1:14" ht="23.1" customHeight="1">
      <c r="A60" s="1211">
        <f t="shared" si="2"/>
        <v>51</v>
      </c>
      <c r="B60" s="1208" t="str">
        <f t="shared" si="14"/>
        <v>อ.เมือง  จ.นครราชสีมา</v>
      </c>
      <c r="C60" s="1208" t="s">
        <v>1013</v>
      </c>
      <c r="D60" s="1804">
        <v>623.79</v>
      </c>
      <c r="E60" s="1208" t="s">
        <v>347</v>
      </c>
      <c r="G60" s="1817"/>
    </row>
    <row r="61" spans="1:14" ht="23.1" customHeight="1">
      <c r="A61" s="1211">
        <f t="shared" si="2"/>
        <v>52</v>
      </c>
      <c r="B61" s="1208" t="str">
        <f t="shared" si="14"/>
        <v>อ.เมือง  จ.นครราชสีมา</v>
      </c>
      <c r="C61" s="1208" t="s">
        <v>180</v>
      </c>
      <c r="D61" s="1804">
        <v>712.72</v>
      </c>
      <c r="E61" s="1208" t="s">
        <v>347</v>
      </c>
      <c r="G61" s="1817"/>
    </row>
    <row r="62" spans="1:14" ht="23.1" customHeight="1">
      <c r="A62" s="1211">
        <f t="shared" si="2"/>
        <v>53</v>
      </c>
      <c r="B62" s="1208" t="str">
        <f t="shared" si="14"/>
        <v>อ.เมือง  จ.นครราชสีมา</v>
      </c>
      <c r="C62" s="1208" t="s">
        <v>1811</v>
      </c>
      <c r="D62" s="1804">
        <v>50</v>
      </c>
      <c r="E62" s="1208" t="s">
        <v>168</v>
      </c>
      <c r="G62" s="1817"/>
    </row>
    <row r="63" spans="1:14" ht="23.1" customHeight="1">
      <c r="A63" s="1211">
        <f t="shared" si="2"/>
        <v>54</v>
      </c>
      <c r="B63" s="1208" t="str">
        <f t="shared" si="14"/>
        <v>อ.เมือง  จ.นครราชสีมา</v>
      </c>
      <c r="C63" s="1208" t="s">
        <v>1812</v>
      </c>
      <c r="D63" s="1804">
        <v>80</v>
      </c>
      <c r="E63" s="1208" t="s">
        <v>168</v>
      </c>
      <c r="G63" s="1817"/>
    </row>
    <row r="64" spans="1:14" ht="23.1" customHeight="1">
      <c r="A64" s="1211">
        <f t="shared" si="2"/>
        <v>55</v>
      </c>
      <c r="B64" s="1208" t="str">
        <f t="shared" si="14"/>
        <v>อ.เมือง  จ.นครราชสีมา</v>
      </c>
      <c r="C64" s="1208" t="s">
        <v>1813</v>
      </c>
      <c r="D64" s="1804">
        <v>150</v>
      </c>
      <c r="E64" s="1208" t="s">
        <v>168</v>
      </c>
      <c r="G64" s="1817"/>
    </row>
    <row r="65" spans="1:7" ht="23.1" customHeight="1">
      <c r="A65" s="1211">
        <f t="shared" si="2"/>
        <v>56</v>
      </c>
      <c r="B65" s="1208" t="str">
        <f t="shared" si="14"/>
        <v>อ.เมือง  จ.นครราชสีมา</v>
      </c>
      <c r="C65" s="1208" t="s">
        <v>886</v>
      </c>
      <c r="D65" s="1804">
        <v>60</v>
      </c>
      <c r="E65" s="1208" t="s">
        <v>887</v>
      </c>
      <c r="G65" s="1817"/>
    </row>
    <row r="66" spans="1:7" ht="23.1" customHeight="1">
      <c r="A66" s="1211">
        <f t="shared" si="2"/>
        <v>57</v>
      </c>
      <c r="B66" s="1208" t="str">
        <f t="shared" si="14"/>
        <v>อ.เมือง  จ.นครราชสีมา</v>
      </c>
      <c r="C66" s="1208" t="s">
        <v>155</v>
      </c>
      <c r="D66" s="1804">
        <v>436</v>
      </c>
      <c r="E66" s="1208" t="s">
        <v>870</v>
      </c>
      <c r="G66" s="1817"/>
    </row>
    <row r="67" spans="1:7" ht="23.1" customHeight="1">
      <c r="A67" s="1211">
        <f t="shared" si="2"/>
        <v>58</v>
      </c>
      <c r="B67" s="1208" t="str">
        <f t="shared" si="14"/>
        <v>อ.เมือง  จ.นครราชสีมา</v>
      </c>
      <c r="C67" s="1208" t="s">
        <v>1851</v>
      </c>
      <c r="D67" s="1804">
        <v>398</v>
      </c>
      <c r="E67" s="1208" t="s">
        <v>870</v>
      </c>
      <c r="G67" s="1817"/>
    </row>
    <row r="68" spans="1:7" ht="23.1" customHeight="1">
      <c r="A68" s="1211">
        <f t="shared" si="2"/>
        <v>59</v>
      </c>
      <c r="B68" s="1208" t="str">
        <f t="shared" si="14"/>
        <v>อ.เมือง  จ.นครราชสีมา</v>
      </c>
      <c r="C68" s="1208" t="s">
        <v>1010</v>
      </c>
      <c r="D68" s="1805">
        <v>99</v>
      </c>
      <c r="E68" s="1208" t="s">
        <v>870</v>
      </c>
      <c r="G68" s="1817"/>
    </row>
    <row r="69" spans="1:7" ht="23.1" customHeight="1">
      <c r="A69" s="1211">
        <f t="shared" si="2"/>
        <v>60</v>
      </c>
      <c r="B69" s="1208" t="str">
        <f t="shared" si="14"/>
        <v>อ.เมือง  จ.นครราชสีมา</v>
      </c>
      <c r="C69" s="1208" t="s">
        <v>1011</v>
      </c>
      <c r="D69" s="1806">
        <v>3300</v>
      </c>
      <c r="E69" s="1208" t="s">
        <v>187</v>
      </c>
      <c r="G69" s="1817"/>
    </row>
    <row r="70" spans="1:7" ht="23.1" customHeight="1">
      <c r="A70" s="1211">
        <f t="shared" si="2"/>
        <v>61</v>
      </c>
      <c r="B70" s="1208" t="str">
        <f t="shared" si="14"/>
        <v>อ.เมือง  จ.นครราชสีมา</v>
      </c>
      <c r="C70" s="1208" t="s">
        <v>1012</v>
      </c>
      <c r="D70" s="1806">
        <v>133</v>
      </c>
      <c r="E70" s="1208" t="s">
        <v>890</v>
      </c>
      <c r="G70" s="1817"/>
    </row>
    <row r="71" spans="1:7" ht="23.1" customHeight="1">
      <c r="A71" s="1211">
        <f t="shared" si="2"/>
        <v>62</v>
      </c>
      <c r="B71" s="1208" t="str">
        <f t="shared" si="14"/>
        <v>อ.เมือง  จ.นครราชสีมา</v>
      </c>
      <c r="C71" s="1208" t="s">
        <v>225</v>
      </c>
      <c r="D71" s="1805">
        <v>85</v>
      </c>
      <c r="E71" s="1208" t="s">
        <v>379</v>
      </c>
      <c r="G71" s="1817"/>
    </row>
    <row r="72" spans="1:7" ht="23.1" customHeight="1">
      <c r="A72" s="1211">
        <f t="shared" si="2"/>
        <v>63</v>
      </c>
      <c r="B72" s="1208" t="str">
        <f t="shared" si="14"/>
        <v>อ.เมือง  จ.นครราชสีมา</v>
      </c>
      <c r="C72" s="1208" t="s">
        <v>330</v>
      </c>
      <c r="D72" s="1805">
        <v>46</v>
      </c>
      <c r="E72" s="1208" t="s">
        <v>113</v>
      </c>
      <c r="G72" s="1817"/>
    </row>
    <row r="73" spans="1:7" ht="23.1" customHeight="1">
      <c r="A73" s="1211">
        <f t="shared" si="2"/>
        <v>64</v>
      </c>
      <c r="B73" s="1208" t="str">
        <f t="shared" si="14"/>
        <v>อ.เมือง  จ.นครราชสีมา</v>
      </c>
      <c r="C73" s="1208" t="s">
        <v>201</v>
      </c>
      <c r="D73" s="1805">
        <v>300</v>
      </c>
      <c r="E73" s="1208" t="s">
        <v>891</v>
      </c>
      <c r="G73" s="1817"/>
    </row>
    <row r="74" spans="1:7" ht="23.1" customHeight="1">
      <c r="A74" s="1211">
        <f t="shared" si="2"/>
        <v>65</v>
      </c>
      <c r="B74" s="1208" t="str">
        <f t="shared" si="14"/>
        <v>อ.เมือง  จ.นครราชสีมา</v>
      </c>
      <c r="C74" s="1208" t="s">
        <v>859</v>
      </c>
      <c r="D74" s="1805">
        <v>110</v>
      </c>
      <c r="E74" s="1208" t="s">
        <v>379</v>
      </c>
      <c r="G74" s="1817"/>
    </row>
    <row r="75" spans="1:7" ht="23.1" customHeight="1">
      <c r="A75" s="1211">
        <f t="shared" ref="A75:A82" si="17">A74+1</f>
        <v>66</v>
      </c>
      <c r="B75" s="1208" t="str">
        <f t="shared" si="14"/>
        <v>อ.เมือง  จ.นครราชสีมา</v>
      </c>
      <c r="C75" s="1208" t="s">
        <v>1809</v>
      </c>
      <c r="D75" s="1805">
        <v>400</v>
      </c>
      <c r="E75" s="1208" t="s">
        <v>379</v>
      </c>
      <c r="G75" s="1817"/>
    </row>
    <row r="76" spans="1:7" ht="23.1" customHeight="1">
      <c r="A76" s="1211">
        <f t="shared" si="17"/>
        <v>67</v>
      </c>
      <c r="B76" s="1208" t="str">
        <f t="shared" si="14"/>
        <v>อ.เมือง  จ.นครราชสีมา</v>
      </c>
      <c r="C76" s="1208" t="s">
        <v>1810</v>
      </c>
      <c r="D76" s="1805">
        <v>100</v>
      </c>
      <c r="E76" s="1208" t="s">
        <v>379</v>
      </c>
      <c r="G76" s="1817"/>
    </row>
    <row r="77" spans="1:7" ht="23.1" customHeight="1">
      <c r="A77" s="1211">
        <f t="shared" si="17"/>
        <v>68</v>
      </c>
      <c r="B77" s="1208" t="str">
        <f t="shared" si="14"/>
        <v>อ.เมือง  จ.นครราชสีมา</v>
      </c>
      <c r="C77" s="1208" t="s">
        <v>134</v>
      </c>
      <c r="D77" s="1805">
        <v>10</v>
      </c>
      <c r="E77" s="1208" t="s">
        <v>888</v>
      </c>
      <c r="G77" s="1817"/>
    </row>
    <row r="78" spans="1:7" ht="23.1" customHeight="1">
      <c r="A78" s="1211">
        <f t="shared" si="17"/>
        <v>69</v>
      </c>
      <c r="B78" s="1208" t="str">
        <f t="shared" si="14"/>
        <v>อ.เมือง  จ.นครราชสีมา</v>
      </c>
      <c r="C78" s="1208" t="s">
        <v>135</v>
      </c>
      <c r="D78" s="1805">
        <v>18</v>
      </c>
      <c r="E78" s="1208" t="s">
        <v>888</v>
      </c>
      <c r="G78" s="1817"/>
    </row>
    <row r="79" spans="1:7" ht="23.1" customHeight="1">
      <c r="A79" s="1211">
        <f t="shared" si="17"/>
        <v>70</v>
      </c>
      <c r="B79" s="1208" t="str">
        <f t="shared" si="14"/>
        <v>อ.เมือง  จ.นครราชสีมา</v>
      </c>
      <c r="C79" s="1208" t="s">
        <v>780</v>
      </c>
      <c r="D79" s="1807">
        <v>0</v>
      </c>
      <c r="E79" s="1208" t="s">
        <v>891</v>
      </c>
      <c r="G79" s="1817"/>
    </row>
    <row r="80" spans="1:7" ht="23.1" customHeight="1">
      <c r="A80" s="1211">
        <f t="shared" si="17"/>
        <v>71</v>
      </c>
      <c r="B80" s="1208" t="str">
        <f t="shared" si="14"/>
        <v>อ.เมือง  จ.นครราชสีมา</v>
      </c>
      <c r="C80" s="1208" t="s">
        <v>782</v>
      </c>
      <c r="D80" s="1808">
        <v>150</v>
      </c>
      <c r="E80" s="1208" t="s">
        <v>889</v>
      </c>
      <c r="G80" s="1817"/>
    </row>
    <row r="81" spans="1:12" ht="23.1" customHeight="1">
      <c r="A81" s="1211">
        <f t="shared" si="17"/>
        <v>72</v>
      </c>
      <c r="B81" s="1208" t="str">
        <f t="shared" si="14"/>
        <v>อ.เมือง  จ.นครราชสีมา</v>
      </c>
      <c r="C81" s="1208" t="s">
        <v>781</v>
      </c>
      <c r="D81" s="1805">
        <v>100</v>
      </c>
      <c r="E81" s="1208" t="s">
        <v>889</v>
      </c>
      <c r="G81" s="1817"/>
      <c r="I81" s="1209"/>
    </row>
    <row r="82" spans="1:12" ht="23.1" customHeight="1">
      <c r="A82" s="1211">
        <f t="shared" si="17"/>
        <v>73</v>
      </c>
      <c r="B82" s="1208" t="str">
        <f t="shared" si="14"/>
        <v>อ.เมือง  จ.นครราชสีมา</v>
      </c>
      <c r="C82" s="1208" t="s">
        <v>779</v>
      </c>
      <c r="D82" s="1805">
        <v>50</v>
      </c>
      <c r="E82" s="1208" t="s">
        <v>375</v>
      </c>
      <c r="G82" s="1818"/>
      <c r="H82" s="1262"/>
      <c r="I82" s="1261"/>
    </row>
    <row r="83" spans="1:12">
      <c r="A83" s="1211"/>
      <c r="I83" s="1211"/>
      <c r="L83" s="1208"/>
    </row>
    <row r="84" spans="1:12">
      <c r="A84" s="1211"/>
      <c r="B84" s="1209"/>
      <c r="C84" s="1209"/>
      <c r="D84" s="1264"/>
      <c r="E84" s="1207"/>
      <c r="F84" s="1207"/>
      <c r="I84" s="1211"/>
      <c r="L84" s="1208"/>
    </row>
    <row r="85" spans="1:12">
      <c r="A85" s="1211"/>
      <c r="B85" s="1209"/>
      <c r="C85" s="1209"/>
      <c r="D85" s="1264"/>
      <c r="E85" s="1207"/>
      <c r="F85" s="1207"/>
      <c r="I85" s="1211"/>
      <c r="L85" s="1208"/>
    </row>
    <row r="86" spans="1:12">
      <c r="A86" s="1211"/>
      <c r="B86" s="1209"/>
      <c r="C86" s="1209"/>
      <c r="D86" s="1264"/>
      <c r="E86" s="1207"/>
      <c r="F86" s="1207"/>
      <c r="I86" s="1211"/>
    </row>
    <row r="87" spans="1:12">
      <c r="A87" s="1211"/>
      <c r="B87" s="1209"/>
      <c r="C87" s="1209"/>
      <c r="D87" s="1264"/>
      <c r="E87" s="1207"/>
      <c r="F87" s="1207"/>
      <c r="I87" s="1211"/>
    </row>
    <row r="88" spans="1:12">
      <c r="A88" s="1211"/>
    </row>
    <row r="89" spans="1:12">
      <c r="A89" s="1211"/>
      <c r="B89" s="1209"/>
      <c r="C89" s="1209"/>
      <c r="D89" s="1264"/>
      <c r="E89" s="1207"/>
      <c r="F89" s="1207"/>
      <c r="I89" s="1211"/>
    </row>
    <row r="90" spans="1:12">
      <c r="A90" s="1211"/>
      <c r="B90" s="1209"/>
      <c r="C90" s="1209"/>
      <c r="D90" s="1264"/>
      <c r="E90" s="1207"/>
      <c r="F90" s="1207"/>
      <c r="I90" s="1211"/>
    </row>
    <row r="91" spans="1:12" ht="18" customHeight="1">
      <c r="A91" s="1211"/>
      <c r="D91" s="1208"/>
      <c r="E91" s="1265"/>
      <c r="I91" s="1211"/>
    </row>
    <row r="92" spans="1:12">
      <c r="A92" s="1211"/>
      <c r="D92" s="1208"/>
      <c r="H92" s="1211"/>
      <c r="I92" s="1211"/>
    </row>
    <row r="93" spans="1:12">
      <c r="A93" s="1211"/>
      <c r="H93" s="1211"/>
      <c r="I93" s="1211"/>
    </row>
    <row r="94" spans="1:12">
      <c r="A94" s="1211"/>
      <c r="H94" s="1211"/>
      <c r="I94" s="1211"/>
    </row>
    <row r="95" spans="1:12" ht="23.1" customHeight="1">
      <c r="A95" s="1211"/>
      <c r="H95" s="1211"/>
      <c r="I95" s="1211"/>
    </row>
    <row r="96" spans="1:12" ht="23.1" customHeight="1">
      <c r="A96" s="1211"/>
      <c r="H96" s="1211"/>
      <c r="I96" s="1211"/>
    </row>
    <row r="97" spans="1:9" ht="23.1" customHeight="1">
      <c r="A97" s="1211"/>
      <c r="H97" s="1211"/>
      <c r="I97" s="1211"/>
    </row>
    <row r="98" spans="1:9" ht="23.1" customHeight="1">
      <c r="A98" s="1211"/>
      <c r="H98" s="1211"/>
      <c r="I98" s="1211"/>
    </row>
    <row r="99" spans="1:9" ht="23.1" customHeight="1">
      <c r="A99" s="1211"/>
      <c r="H99" s="1211"/>
      <c r="I99" s="1266"/>
    </row>
    <row r="100" spans="1:9" ht="23.1" customHeight="1">
      <c r="A100" s="1211"/>
      <c r="H100" s="1211"/>
      <c r="I100" s="1266"/>
    </row>
    <row r="101" spans="1:9" ht="23.1" customHeight="1">
      <c r="A101" s="1211"/>
      <c r="C101" s="1248"/>
      <c r="D101" s="1267"/>
      <c r="H101" s="1211"/>
      <c r="I101" s="1266"/>
    </row>
    <row r="102" spans="1:9" ht="23.1" customHeight="1">
      <c r="A102" s="1211"/>
      <c r="C102" s="1248"/>
      <c r="D102" s="1267"/>
      <c r="H102" s="1211"/>
      <c r="I102" s="1266"/>
    </row>
    <row r="103" spans="1:9" ht="18" customHeight="1">
      <c r="A103" s="1211"/>
      <c r="C103" s="1248"/>
      <c r="D103" s="1267"/>
      <c r="H103" s="1211"/>
      <c r="I103" s="1266"/>
    </row>
    <row r="104" spans="1:9" ht="22.5" customHeight="1">
      <c r="A104" s="1211"/>
      <c r="C104" s="1211"/>
      <c r="D104" s="1267"/>
      <c r="H104" s="1211"/>
      <c r="I104" s="1266"/>
    </row>
    <row r="105" spans="1:9" ht="23.1" customHeight="1">
      <c r="A105" s="1211"/>
      <c r="D105" s="1267"/>
    </row>
    <row r="106" spans="1:9" ht="23.1" customHeight="1">
      <c r="A106" s="1211"/>
      <c r="D106" s="1267"/>
    </row>
    <row r="107" spans="1:9" ht="23.1" customHeight="1">
      <c r="A107" s="1211"/>
      <c r="D107" s="1267"/>
    </row>
    <row r="108" spans="1:9" ht="21" customHeight="1">
      <c r="A108" s="1211"/>
      <c r="D108" s="1267"/>
      <c r="G108" s="1266"/>
      <c r="I108" s="1211"/>
    </row>
    <row r="109" spans="1:9" ht="18.75" customHeight="1">
      <c r="A109" s="1211"/>
      <c r="D109" s="1267"/>
    </row>
    <row r="110" spans="1:9" ht="23.1" customHeight="1">
      <c r="A110" s="1211"/>
      <c r="D110" s="1267"/>
    </row>
    <row r="111" spans="1:9" ht="23.1" customHeight="1">
      <c r="A111" s="1211"/>
      <c r="D111" s="1267"/>
    </row>
    <row r="112" spans="1:9" ht="23.1" customHeight="1">
      <c r="A112" s="1211"/>
      <c r="D112" s="1267"/>
    </row>
    <row r="113" spans="1:4" ht="18.75" customHeight="1">
      <c r="A113" s="1211"/>
      <c r="D113" s="1267"/>
    </row>
    <row r="114" spans="1:4" ht="23.1" customHeight="1">
      <c r="A114" s="1211"/>
      <c r="D114" s="1267"/>
    </row>
    <row r="115" spans="1:4">
      <c r="A115" s="1211"/>
    </row>
    <row r="116" spans="1:4">
      <c r="A116" s="1211"/>
    </row>
    <row r="117" spans="1:4">
      <c r="A117" s="1211"/>
    </row>
    <row r="118" spans="1:4">
      <c r="A118" s="1211"/>
    </row>
    <row r="119" spans="1:4">
      <c r="A119" s="1211"/>
    </row>
    <row r="120" spans="1:4">
      <c r="A120" s="1211"/>
    </row>
    <row r="121" spans="1:4">
      <c r="A121" s="1211"/>
    </row>
    <row r="122" spans="1:4">
      <c r="A122" s="1211"/>
    </row>
    <row r="123" spans="1:4">
      <c r="A123" s="1211"/>
    </row>
    <row r="124" spans="1:4">
      <c r="A124" s="1211"/>
    </row>
    <row r="125" spans="1:4">
      <c r="A125" s="1211"/>
    </row>
    <row r="126" spans="1:4">
      <c r="A126" s="1211"/>
    </row>
    <row r="127" spans="1:4" ht="18" customHeight="1">
      <c r="A127" s="1211"/>
    </row>
    <row r="128" spans="1:4" ht="22.5" customHeight="1">
      <c r="A128" s="1211"/>
    </row>
    <row r="129" spans="1:1" ht="23.1" customHeight="1">
      <c r="A129" s="1211"/>
    </row>
    <row r="130" spans="1:1" ht="23.1" customHeight="1">
      <c r="A130" s="1211"/>
    </row>
    <row r="131" spans="1:1" ht="23.1" customHeight="1">
      <c r="A131" s="1211"/>
    </row>
    <row r="132" spans="1:1" ht="23.1" customHeight="1">
      <c r="A132" s="1211"/>
    </row>
    <row r="133" spans="1:1" ht="23.1" customHeight="1">
      <c r="A133" s="1211"/>
    </row>
    <row r="134" spans="1:1" ht="19.5" customHeight="1">
      <c r="A134" s="1211"/>
    </row>
    <row r="135" spans="1:1" ht="23.1" customHeight="1">
      <c r="A135" s="1211"/>
    </row>
    <row r="136" spans="1:1" ht="23.1" customHeight="1">
      <c r="A136" s="1211"/>
    </row>
    <row r="137" spans="1:1" ht="23.1" customHeight="1">
      <c r="A137" s="1211"/>
    </row>
    <row r="138" spans="1:1" ht="23.1" customHeight="1">
      <c r="A138" s="1211"/>
    </row>
    <row r="139" spans="1:1" ht="23.1" customHeight="1">
      <c r="A139" s="1211"/>
    </row>
    <row r="140" spans="1:1" ht="19.5" customHeight="1">
      <c r="A140" s="1211"/>
    </row>
    <row r="141" spans="1:1" ht="23.1" customHeight="1">
      <c r="A141" s="1211"/>
    </row>
    <row r="142" spans="1:1" ht="21" customHeight="1">
      <c r="A142" s="1211"/>
    </row>
    <row r="143" spans="1:1" ht="18.75" customHeight="1">
      <c r="A143" s="1211"/>
    </row>
    <row r="144" spans="1:1" ht="23.1" customHeight="1">
      <c r="A144" s="1211"/>
    </row>
    <row r="145" spans="1:10" ht="23.1" customHeight="1">
      <c r="A145" s="1211"/>
    </row>
    <row r="146" spans="1:10" ht="23.1" customHeight="1">
      <c r="A146" s="1211"/>
    </row>
    <row r="147" spans="1:10" ht="18.75" customHeight="1">
      <c r="A147" s="1211"/>
    </row>
    <row r="148" spans="1:10" ht="23.1" customHeight="1">
      <c r="A148" s="1211"/>
    </row>
    <row r="149" spans="1:10">
      <c r="A149" s="1211"/>
    </row>
    <row r="150" spans="1:10">
      <c r="A150" s="1211"/>
    </row>
    <row r="151" spans="1:10">
      <c r="A151" s="1211"/>
    </row>
    <row r="152" spans="1:10">
      <c r="A152" s="1211"/>
    </row>
    <row r="153" spans="1:10">
      <c r="A153" s="1211"/>
      <c r="B153" s="1210"/>
      <c r="C153" s="1210"/>
      <c r="D153" s="1268"/>
      <c r="E153" s="1210"/>
      <c r="F153" s="1210"/>
      <c r="G153" s="1209"/>
      <c r="H153" s="1210"/>
      <c r="I153" s="1209"/>
      <c r="J153" s="1210"/>
    </row>
    <row r="154" spans="1:10">
      <c r="A154" s="1211"/>
      <c r="B154" s="1262"/>
      <c r="C154" s="1262"/>
      <c r="D154" s="1269"/>
      <c r="E154" s="1262"/>
      <c r="F154" s="1262"/>
      <c r="G154" s="1261"/>
      <c r="H154" s="1262"/>
      <c r="I154" s="1261"/>
      <c r="J154" s="1210"/>
    </row>
    <row r="155" spans="1:10">
      <c r="A155" s="1211"/>
      <c r="B155" s="1210"/>
      <c r="C155" s="1210"/>
      <c r="D155" s="1268"/>
      <c r="E155" s="1210"/>
      <c r="F155" s="1210"/>
      <c r="G155" s="1209"/>
      <c r="H155" s="1210"/>
      <c r="I155" s="1209"/>
      <c r="J155" s="1210"/>
    </row>
    <row r="156" spans="1:10">
      <c r="A156" s="1211"/>
      <c r="B156" s="1207"/>
      <c r="C156" s="1207"/>
      <c r="D156" s="1267"/>
      <c r="E156" s="1207"/>
      <c r="F156" s="1207"/>
      <c r="I156" s="1211"/>
    </row>
    <row r="157" spans="1:10">
      <c r="A157" s="1211"/>
      <c r="B157" s="1207"/>
      <c r="C157" s="1207"/>
      <c r="D157" s="1267"/>
      <c r="E157" s="1265"/>
      <c r="I157" s="1211"/>
    </row>
    <row r="158" spans="1:10">
      <c r="A158" s="1211"/>
      <c r="D158" s="1267"/>
      <c r="H158" s="1211"/>
      <c r="I158" s="1211"/>
    </row>
    <row r="159" spans="1:10">
      <c r="A159" s="1211"/>
      <c r="C159" s="1270"/>
      <c r="D159" s="1267"/>
      <c r="H159" s="1211"/>
      <c r="I159" s="1211"/>
    </row>
    <row r="160" spans="1:10">
      <c r="A160" s="1211"/>
      <c r="C160" s="1270"/>
      <c r="D160" s="1267"/>
      <c r="H160" s="1211"/>
      <c r="I160" s="1211"/>
    </row>
    <row r="161" spans="1:9">
      <c r="A161" s="1211"/>
      <c r="C161" s="1270"/>
      <c r="D161" s="1267"/>
      <c r="H161" s="1211"/>
      <c r="I161" s="1211"/>
    </row>
    <row r="162" spans="1:9">
      <c r="A162" s="1211"/>
      <c r="C162" s="1270"/>
      <c r="D162" s="1267"/>
      <c r="H162" s="1211"/>
      <c r="I162" s="1211"/>
    </row>
    <row r="163" spans="1:9">
      <c r="A163" s="1211"/>
      <c r="D163" s="1267"/>
      <c r="H163" s="1211"/>
      <c r="I163" s="1211"/>
    </row>
    <row r="164" spans="1:9">
      <c r="A164" s="1211"/>
      <c r="D164" s="1267"/>
      <c r="H164" s="1211"/>
      <c r="I164" s="1211"/>
    </row>
    <row r="165" spans="1:9">
      <c r="A165" s="1211"/>
      <c r="C165" s="1248"/>
      <c r="D165" s="1267"/>
      <c r="H165" s="1211"/>
      <c r="I165" s="1266"/>
    </row>
    <row r="166" spans="1:9">
      <c r="A166" s="1211"/>
      <c r="C166" s="1248"/>
      <c r="D166" s="1267"/>
      <c r="H166" s="1211"/>
      <c r="I166" s="1266"/>
    </row>
    <row r="167" spans="1:9">
      <c r="A167" s="1211"/>
      <c r="C167" s="1248"/>
      <c r="D167" s="1267"/>
      <c r="H167" s="1211"/>
      <c r="I167" s="1266"/>
    </row>
    <row r="168" spans="1:9">
      <c r="A168" s="1211"/>
      <c r="C168" s="1248"/>
      <c r="D168" s="1267"/>
      <c r="H168" s="1211"/>
      <c r="I168" s="1266"/>
    </row>
    <row r="169" spans="1:9">
      <c r="A169" s="1211"/>
      <c r="C169" s="1248"/>
      <c r="D169" s="1267"/>
      <c r="H169" s="1211"/>
      <c r="I169" s="1266"/>
    </row>
    <row r="170" spans="1:9">
      <c r="A170" s="1211"/>
      <c r="C170" s="1211"/>
      <c r="D170" s="1267"/>
      <c r="H170" s="1211"/>
      <c r="I170" s="1266"/>
    </row>
    <row r="171" spans="1:9">
      <c r="A171" s="1211"/>
      <c r="D171" s="1267"/>
    </row>
    <row r="172" spans="1:9">
      <c r="A172" s="1211"/>
      <c r="D172" s="1267"/>
    </row>
    <row r="173" spans="1:9">
      <c r="A173" s="1211"/>
      <c r="D173" s="1267"/>
    </row>
    <row r="174" spans="1:9">
      <c r="A174" s="1211"/>
      <c r="D174" s="1267"/>
    </row>
    <row r="175" spans="1:9">
      <c r="A175" s="1211"/>
      <c r="D175" s="1267"/>
    </row>
    <row r="176" spans="1:9">
      <c r="A176" s="1211"/>
      <c r="D176" s="1267"/>
    </row>
    <row r="177" spans="1:9">
      <c r="A177" s="1211"/>
      <c r="C177" s="1271"/>
      <c r="D177" s="1267"/>
    </row>
    <row r="178" spans="1:9" ht="19.5" customHeight="1">
      <c r="A178" s="1211"/>
      <c r="D178" s="1267"/>
      <c r="H178" s="1211"/>
      <c r="I178" s="1211"/>
    </row>
    <row r="179" spans="1:9" ht="18" customHeight="1">
      <c r="A179" s="1211"/>
      <c r="D179" s="1267"/>
      <c r="I179" s="1211"/>
    </row>
    <row r="180" spans="1:9">
      <c r="A180" s="1211"/>
      <c r="D180" s="1272"/>
      <c r="E180" s="1211"/>
      <c r="G180" s="1266"/>
      <c r="I180" s="1266"/>
    </row>
    <row r="181" spans="1:9" ht="18" customHeight="1">
      <c r="A181" s="1211"/>
      <c r="D181" s="1272"/>
      <c r="E181" s="1211"/>
      <c r="I181" s="1211"/>
    </row>
    <row r="182" spans="1:9" ht="16.5" customHeight="1">
      <c r="A182" s="1211"/>
      <c r="D182" s="1267"/>
      <c r="I182" s="1211"/>
    </row>
    <row r="183" spans="1:9" ht="18" customHeight="1">
      <c r="A183" s="1211"/>
      <c r="D183" s="1267"/>
      <c r="I183" s="1211"/>
    </row>
    <row r="184" spans="1:9" ht="16.5" customHeight="1">
      <c r="A184" s="1211"/>
      <c r="D184" s="1267"/>
      <c r="I184" s="1211"/>
    </row>
    <row r="185" spans="1:9" ht="15" customHeight="1">
      <c r="A185" s="1211"/>
      <c r="D185" s="1267"/>
      <c r="G185" s="1266"/>
      <c r="I185" s="1211"/>
    </row>
    <row r="186" spans="1:9">
      <c r="A186" s="1211"/>
      <c r="D186" s="1267"/>
    </row>
    <row r="187" spans="1:9">
      <c r="A187" s="1211"/>
      <c r="D187" s="1267"/>
    </row>
    <row r="188" spans="1:9">
      <c r="A188" s="1211"/>
      <c r="D188" s="1267"/>
    </row>
    <row r="189" spans="1:9">
      <c r="A189" s="1211"/>
      <c r="D189" s="1267"/>
    </row>
    <row r="190" spans="1:9" ht="18" customHeight="1">
      <c r="A190" s="1211"/>
      <c r="D190" s="1267"/>
    </row>
    <row r="191" spans="1:9">
      <c r="A191" s="1211"/>
      <c r="D191" s="1267"/>
    </row>
    <row r="192" spans="1:9">
      <c r="A192" s="1211"/>
      <c r="D192" s="1267"/>
    </row>
    <row r="193" spans="1:4" ht="18" customHeight="1">
      <c r="A193" s="1211"/>
      <c r="D193" s="1267"/>
    </row>
    <row r="194" spans="1:4">
      <c r="A194" s="1211"/>
      <c r="D194" s="1267"/>
    </row>
    <row r="195" spans="1:4">
      <c r="A195" s="1211"/>
      <c r="D195" s="1267"/>
    </row>
    <row r="196" spans="1:4">
      <c r="A196" s="1211"/>
      <c r="D196" s="1267"/>
    </row>
    <row r="197" spans="1:4">
      <c r="A197" s="1211"/>
      <c r="D197" s="1267"/>
    </row>
    <row r="198" spans="1:4">
      <c r="A198" s="1211"/>
      <c r="D198" s="1267"/>
    </row>
    <row r="199" spans="1:4">
      <c r="A199" s="1211"/>
      <c r="D199" s="1267"/>
    </row>
    <row r="200" spans="1:4">
      <c r="A200" s="1211"/>
      <c r="D200" s="1267"/>
    </row>
    <row r="201" spans="1:4">
      <c r="A201" s="1211"/>
      <c r="D201" s="1267"/>
    </row>
    <row r="202" spans="1:4">
      <c r="A202" s="1211"/>
      <c r="D202" s="1267"/>
    </row>
    <row r="203" spans="1:4">
      <c r="A203" s="1211"/>
      <c r="D203" s="1267"/>
    </row>
    <row r="204" spans="1:4">
      <c r="A204" s="1211"/>
      <c r="D204" s="1267"/>
    </row>
    <row r="205" spans="1:4">
      <c r="A205" s="1211"/>
      <c r="D205" s="1267"/>
    </row>
    <row r="206" spans="1:4">
      <c r="A206" s="1211"/>
      <c r="D206" s="1267"/>
    </row>
    <row r="207" spans="1:4">
      <c r="A207" s="1211"/>
      <c r="D207" s="1267"/>
    </row>
    <row r="208" spans="1:4">
      <c r="A208" s="1211"/>
      <c r="D208" s="1267"/>
    </row>
    <row r="209" spans="1:4">
      <c r="A209" s="1211"/>
      <c r="D209" s="1267"/>
    </row>
    <row r="210" spans="1:4">
      <c r="A210" s="1211"/>
      <c r="D210" s="1267"/>
    </row>
    <row r="211" spans="1:4">
      <c r="A211" s="1211"/>
      <c r="D211" s="1267"/>
    </row>
    <row r="212" spans="1:4">
      <c r="A212" s="1211"/>
      <c r="D212" s="1267"/>
    </row>
    <row r="213" spans="1:4">
      <c r="A213" s="1211"/>
      <c r="D213" s="1267"/>
    </row>
    <row r="214" spans="1:4">
      <c r="A214" s="1211"/>
      <c r="D214" s="1267"/>
    </row>
    <row r="215" spans="1:4">
      <c r="A215" s="1211"/>
      <c r="D215" s="1267"/>
    </row>
    <row r="216" spans="1:4">
      <c r="A216" s="1211"/>
      <c r="D216" s="1267"/>
    </row>
    <row r="217" spans="1:4">
      <c r="A217" s="1211"/>
      <c r="D217" s="1267"/>
    </row>
    <row r="218" spans="1:4">
      <c r="A218" s="1211"/>
      <c r="D218" s="1267"/>
    </row>
    <row r="219" spans="1:4">
      <c r="A219" s="1211"/>
      <c r="D219" s="1267"/>
    </row>
    <row r="220" spans="1:4">
      <c r="A220" s="1211"/>
      <c r="D220" s="1267"/>
    </row>
    <row r="221" spans="1:4">
      <c r="A221" s="1211"/>
      <c r="D221" s="1267"/>
    </row>
    <row r="222" spans="1:4">
      <c r="A222" s="1211"/>
      <c r="D222" s="1267"/>
    </row>
    <row r="223" spans="1:4">
      <c r="A223" s="1211"/>
      <c r="D223" s="1267"/>
    </row>
    <row r="224" spans="1:4">
      <c r="A224" s="1211"/>
      <c r="D224" s="1267"/>
    </row>
    <row r="225" spans="1:4">
      <c r="A225" s="1211"/>
      <c r="D225" s="1267"/>
    </row>
    <row r="226" spans="1:4">
      <c r="A226" s="1211"/>
      <c r="D226" s="1267"/>
    </row>
    <row r="227" spans="1:4">
      <c r="A227" s="1211"/>
      <c r="D227" s="1267"/>
    </row>
    <row r="228" spans="1:4">
      <c r="A228" s="1211"/>
      <c r="D228" s="1267"/>
    </row>
    <row r="229" spans="1:4">
      <c r="A229" s="1211"/>
      <c r="D229" s="1267"/>
    </row>
    <row r="230" spans="1:4">
      <c r="A230" s="1211"/>
      <c r="D230" s="1267"/>
    </row>
    <row r="231" spans="1:4">
      <c r="A231" s="1211"/>
      <c r="D231" s="1267"/>
    </row>
    <row r="232" spans="1:4">
      <c r="A232" s="1211"/>
      <c r="D232" s="1267"/>
    </row>
    <row r="233" spans="1:4">
      <c r="A233" s="1211"/>
      <c r="D233" s="1267"/>
    </row>
    <row r="234" spans="1:4">
      <c r="A234" s="1211"/>
      <c r="D234" s="1267"/>
    </row>
    <row r="235" spans="1:4">
      <c r="A235" s="1211"/>
      <c r="D235" s="1267"/>
    </row>
    <row r="236" spans="1:4">
      <c r="A236" s="1211"/>
      <c r="D236" s="1267"/>
    </row>
    <row r="237" spans="1:4">
      <c r="A237" s="1211"/>
      <c r="D237" s="1267"/>
    </row>
    <row r="238" spans="1:4">
      <c r="A238" s="1211"/>
      <c r="D238" s="1267"/>
    </row>
    <row r="239" spans="1:4">
      <c r="A239" s="1211"/>
      <c r="D239" s="1267"/>
    </row>
    <row r="240" spans="1:4">
      <c r="A240" s="1211"/>
      <c r="D240" s="1267"/>
    </row>
    <row r="241" spans="1:4">
      <c r="A241" s="1211"/>
      <c r="D241" s="1267"/>
    </row>
    <row r="242" spans="1:4">
      <c r="A242" s="1211"/>
      <c r="D242" s="1267"/>
    </row>
    <row r="243" spans="1:4">
      <c r="A243" s="1211"/>
      <c r="D243" s="1267"/>
    </row>
    <row r="244" spans="1:4">
      <c r="A244" s="1211"/>
      <c r="D244" s="1267"/>
    </row>
    <row r="245" spans="1:4">
      <c r="A245" s="1211"/>
      <c r="D245" s="1267"/>
    </row>
    <row r="246" spans="1:4">
      <c r="A246" s="1211"/>
      <c r="D246" s="1267"/>
    </row>
    <row r="247" spans="1:4">
      <c r="A247" s="1211"/>
      <c r="D247" s="1267"/>
    </row>
    <row r="248" spans="1:4">
      <c r="A248" s="1211"/>
      <c r="D248" s="1267"/>
    </row>
    <row r="249" spans="1:4">
      <c r="A249" s="1211"/>
      <c r="D249" s="1267"/>
    </row>
    <row r="250" spans="1:4">
      <c r="A250" s="1211"/>
      <c r="D250" s="1267"/>
    </row>
    <row r="251" spans="1:4">
      <c r="A251" s="1211"/>
      <c r="D251" s="1267"/>
    </row>
    <row r="252" spans="1:4">
      <c r="A252" s="1211"/>
      <c r="D252" s="1267"/>
    </row>
    <row r="253" spans="1:4">
      <c r="A253" s="1211"/>
      <c r="D253" s="1267"/>
    </row>
    <row r="254" spans="1:4">
      <c r="A254" s="1211"/>
      <c r="D254" s="1267"/>
    </row>
    <row r="255" spans="1:4">
      <c r="A255" s="1211"/>
      <c r="D255" s="1267"/>
    </row>
    <row r="256" spans="1:4">
      <c r="A256" s="1211"/>
      <c r="D256" s="1267"/>
    </row>
    <row r="257" spans="1:4">
      <c r="A257" s="1211"/>
      <c r="D257" s="1267"/>
    </row>
    <row r="258" spans="1:4">
      <c r="A258" s="1211"/>
      <c r="D258" s="1267"/>
    </row>
    <row r="259" spans="1:4">
      <c r="A259" s="1211"/>
      <c r="D259" s="1267"/>
    </row>
    <row r="260" spans="1:4">
      <c r="A260" s="1211"/>
      <c r="D260" s="1267"/>
    </row>
    <row r="261" spans="1:4">
      <c r="A261" s="1211"/>
      <c r="D261" s="1267"/>
    </row>
    <row r="262" spans="1:4">
      <c r="A262" s="1211"/>
      <c r="D262" s="1267"/>
    </row>
    <row r="263" spans="1:4">
      <c r="A263" s="1211"/>
      <c r="D263" s="1267"/>
    </row>
    <row r="264" spans="1:4">
      <c r="A264" s="1211"/>
      <c r="D264" s="1267"/>
    </row>
    <row r="265" spans="1:4">
      <c r="A265" s="1211"/>
      <c r="D265" s="1267"/>
    </row>
    <row r="266" spans="1:4">
      <c r="A266" s="1211"/>
      <c r="D266" s="1267"/>
    </row>
    <row r="267" spans="1:4">
      <c r="A267" s="1211"/>
      <c r="D267" s="1267"/>
    </row>
    <row r="268" spans="1:4">
      <c r="A268" s="1211"/>
      <c r="D268" s="1267"/>
    </row>
    <row r="269" spans="1:4">
      <c r="A269" s="1211"/>
      <c r="D269" s="1267"/>
    </row>
    <row r="270" spans="1:4">
      <c r="A270" s="1211"/>
      <c r="D270" s="1267"/>
    </row>
    <row r="271" spans="1:4">
      <c r="A271" s="1211"/>
      <c r="D271" s="1267"/>
    </row>
    <row r="272" spans="1:4">
      <c r="A272" s="1211"/>
      <c r="D272" s="1267"/>
    </row>
    <row r="273" spans="1:4">
      <c r="A273" s="1211"/>
      <c r="D273" s="1267"/>
    </row>
    <row r="274" spans="1:4">
      <c r="A274" s="1211"/>
      <c r="D274" s="1267"/>
    </row>
    <row r="275" spans="1:4">
      <c r="A275" s="1211"/>
      <c r="D275" s="1267"/>
    </row>
    <row r="276" spans="1:4">
      <c r="A276" s="1211"/>
      <c r="D276" s="1267"/>
    </row>
    <row r="277" spans="1:4">
      <c r="A277" s="1211"/>
      <c r="D277" s="1267"/>
    </row>
    <row r="278" spans="1:4">
      <c r="A278" s="1211"/>
      <c r="D278" s="1267"/>
    </row>
    <row r="279" spans="1:4">
      <c r="A279" s="1211"/>
      <c r="D279" s="1267"/>
    </row>
    <row r="280" spans="1:4">
      <c r="A280" s="1211"/>
      <c r="D280" s="1267"/>
    </row>
    <row r="281" spans="1:4">
      <c r="A281" s="1211"/>
      <c r="D281" s="1267"/>
    </row>
    <row r="282" spans="1:4">
      <c r="A282" s="1211"/>
      <c r="D282" s="1267"/>
    </row>
    <row r="283" spans="1:4">
      <c r="A283" s="1211"/>
      <c r="D283" s="1267"/>
    </row>
    <row r="284" spans="1:4">
      <c r="A284" s="1211"/>
      <c r="D284" s="1267"/>
    </row>
    <row r="285" spans="1:4">
      <c r="A285" s="1211"/>
      <c r="D285" s="1267"/>
    </row>
    <row r="286" spans="1:4">
      <c r="A286" s="1211"/>
      <c r="D286" s="1267"/>
    </row>
    <row r="287" spans="1:4">
      <c r="A287" s="1211"/>
      <c r="D287" s="1267"/>
    </row>
    <row r="288" spans="1:4">
      <c r="A288" s="1211"/>
      <c r="D288" s="1267"/>
    </row>
    <row r="289" spans="1:1">
      <c r="A289" s="1211"/>
    </row>
    <row r="290" spans="1:1">
      <c r="A290" s="1211"/>
    </row>
    <row r="291" spans="1:1">
      <c r="A291" s="1211"/>
    </row>
    <row r="292" spans="1:1">
      <c r="A292" s="1211"/>
    </row>
    <row r="293" spans="1:1">
      <c r="A293" s="1211"/>
    </row>
    <row r="294" spans="1:1">
      <c r="A294" s="1211"/>
    </row>
    <row r="295" spans="1:1">
      <c r="A295" s="1211"/>
    </row>
    <row r="296" spans="1:1">
      <c r="A296" s="1211"/>
    </row>
    <row r="297" spans="1:1">
      <c r="A297" s="1211"/>
    </row>
    <row r="298" spans="1:1">
      <c r="A298" s="1211"/>
    </row>
    <row r="299" spans="1:1">
      <c r="A299" s="1211"/>
    </row>
    <row r="300" spans="1:1">
      <c r="A300" s="1211"/>
    </row>
    <row r="301" spans="1:1">
      <c r="A301" s="1211"/>
    </row>
    <row r="302" spans="1:1">
      <c r="A302" s="1211"/>
    </row>
    <row r="303" spans="1:1">
      <c r="A303" s="1211"/>
    </row>
    <row r="304" spans="1:1">
      <c r="A304" s="1211"/>
    </row>
    <row r="305" spans="1:1">
      <c r="A305" s="1211"/>
    </row>
    <row r="306" spans="1:1">
      <c r="A306" s="1211"/>
    </row>
    <row r="307" spans="1:1">
      <c r="A307" s="1211"/>
    </row>
    <row r="308" spans="1:1">
      <c r="A308" s="1211"/>
    </row>
    <row r="309" spans="1:1">
      <c r="A309" s="1211"/>
    </row>
    <row r="310" spans="1:1">
      <c r="A310" s="1211"/>
    </row>
    <row r="311" spans="1:1">
      <c r="A311" s="1211"/>
    </row>
    <row r="312" spans="1:1">
      <c r="A312" s="1211"/>
    </row>
    <row r="313" spans="1:1">
      <c r="A313" s="1211"/>
    </row>
    <row r="314" spans="1:1">
      <c r="A314" s="1211"/>
    </row>
    <row r="315" spans="1:1">
      <c r="A315" s="1211"/>
    </row>
    <row r="316" spans="1:1">
      <c r="A316" s="1211"/>
    </row>
    <row r="317" spans="1:1">
      <c r="A317" s="1211"/>
    </row>
    <row r="318" spans="1:1">
      <c r="A318" s="1211"/>
    </row>
    <row r="319" spans="1:1">
      <c r="A319" s="1211"/>
    </row>
    <row r="320" spans="1:1">
      <c r="A320" s="1211"/>
    </row>
    <row r="321" spans="1:1">
      <c r="A321" s="1211"/>
    </row>
    <row r="322" spans="1:1">
      <c r="A322" s="1211"/>
    </row>
    <row r="323" spans="1:1">
      <c r="A323" s="1211"/>
    </row>
    <row r="324" spans="1:1">
      <c r="A324" s="1211"/>
    </row>
    <row r="325" spans="1:1">
      <c r="A325" s="1211"/>
    </row>
    <row r="326" spans="1:1">
      <c r="A326" s="1211"/>
    </row>
    <row r="327" spans="1:1">
      <c r="A327" s="1211"/>
    </row>
    <row r="328" spans="1:1">
      <c r="A328" s="1211"/>
    </row>
    <row r="329" spans="1:1">
      <c r="A329" s="1211"/>
    </row>
    <row r="330" spans="1:1">
      <c r="A330" s="1211"/>
    </row>
    <row r="331" spans="1:1">
      <c r="A331" s="1211"/>
    </row>
    <row r="332" spans="1:1">
      <c r="A332" s="1211"/>
    </row>
    <row r="333" spans="1:1">
      <c r="A333" s="1211"/>
    </row>
    <row r="334" spans="1:1">
      <c r="A334" s="1211"/>
    </row>
    <row r="335" spans="1:1">
      <c r="A335" s="1211"/>
    </row>
  </sheetData>
  <mergeCells count="6">
    <mergeCell ref="N12:R12"/>
    <mergeCell ref="S12:W12"/>
    <mergeCell ref="W1:Y1"/>
    <mergeCell ref="N1:V1"/>
    <mergeCell ref="E2:K2"/>
    <mergeCell ref="A1:L1"/>
  </mergeCells>
  <phoneticPr fontId="31" type="noConversion"/>
  <dataValidations count="2">
    <dataValidation type="list" allowBlank="1" showInputMessage="1" showErrorMessage="1" sqref="L37 L39:L41 L29 L20 L13 L9" xr:uid="{00000000-0002-0000-0100-000000000000}">
      <formula1>"รถสิบล้อ,รถสิบล้อลากพ่วง"</formula1>
    </dataValidation>
    <dataValidation type="list" allowBlank="1" showInputMessage="1" showErrorMessage="1" sqref="L3" xr:uid="{00000000-0002-0000-0100-000001000000}">
      <formula1>"15.5,16.5,17.5,18.5,19.5,20.5,21.5,22.5,23.5,24.5,25.5,26.5,27.5,28.5,29.5,30.5,31.5,32.5,33.5,34.5,35.5,36.5,37.5,38.5,39.5,40.5,41.5,42.5,43.5,44.5,45.5,46.5,47.5,48.5,49.5,50.5,51.5,52.5,53.5,54.5,55.5,56.5,57.5,58.5,59.5,60.5,61.5,62.5,63.5,64.5,65.5,"</formula1>
    </dataValidation>
  </dataValidations>
  <printOptions horizontalCentered="1"/>
  <pageMargins left="0.19685039370078741" right="0" top="0.98425196850393704" bottom="0.98425196850393704" header="0.19685039370078741" footer="0.19685039370078741"/>
  <pageSetup paperSize="9" scale="95" orientation="portrait" horizontalDpi="4294967293" r:id="rId1"/>
  <headerFooter alignWithMargins="0"/>
  <colBreaks count="1" manualBreakCount="1">
    <brk id="12" max="1048575" man="1"/>
  </colBreaks>
  <ignoredErrors>
    <ignoredError sqref="D29:D35 B12 D20:D26" unlockedFormula="1"/>
    <ignoredError sqref="D36" evalError="1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11" r:id="rId4" name="Group Box 67">
              <controlPr defaultSize="0" autoPict="0">
                <anchor>
                  <from>
                    <xdr:col>1</xdr:col>
                    <xdr:colOff>771525</xdr:colOff>
                    <xdr:row>4</xdr:row>
                    <xdr:rowOff>85725</xdr:rowOff>
                  </from>
                  <to>
                    <xdr:col>3</xdr:col>
                    <xdr:colOff>219075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5" name="Option Button 68">
              <controlPr defaultSize="0" autoFill="0" autoLine="0" autoPict="0">
                <anchor>
                  <from>
                    <xdr:col>1</xdr:col>
                    <xdr:colOff>1009650</xdr:colOff>
                    <xdr:row>4</xdr:row>
                    <xdr:rowOff>142875</xdr:rowOff>
                  </from>
                  <to>
                    <xdr:col>2</xdr:col>
                    <xdr:colOff>95250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6" name="Option Button 69">
              <controlPr defaultSize="0" autoFill="0" autoLine="0" autoPict="0">
                <anchor>
                  <from>
                    <xdr:col>2</xdr:col>
                    <xdr:colOff>200025</xdr:colOff>
                    <xdr:row>4</xdr:row>
                    <xdr:rowOff>123825</xdr:rowOff>
                  </from>
                  <to>
                    <xdr:col>2</xdr:col>
                    <xdr:colOff>819150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7" name="Group Box 72">
              <controlPr defaultSize="0" autoPict="0">
                <anchor>
                  <from>
                    <xdr:col>4</xdr:col>
                    <xdr:colOff>361950</xdr:colOff>
                    <xdr:row>4</xdr:row>
                    <xdr:rowOff>85725</xdr:rowOff>
                  </from>
                  <to>
                    <xdr:col>11</xdr:col>
                    <xdr:colOff>161925</xdr:colOff>
                    <xdr:row>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8" name="Option Button 73">
              <controlPr defaultSize="0" autoFill="0" autoLine="0" autoPict="0">
                <anchor>
                  <from>
                    <xdr:col>5</xdr:col>
                    <xdr:colOff>123825</xdr:colOff>
                    <xdr:row>4</xdr:row>
                    <xdr:rowOff>104775</xdr:rowOff>
                  </from>
                  <to>
                    <xdr:col>7</xdr:col>
                    <xdr:colOff>28575</xdr:colOff>
                    <xdr:row>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9" name="Option Button 74">
              <controlPr defaultSize="0" autoFill="0" autoLine="0" autoPict="0">
                <anchor>
                  <from>
                    <xdr:col>7</xdr:col>
                    <xdr:colOff>85725</xdr:colOff>
                    <xdr:row>4</xdr:row>
                    <xdr:rowOff>104775</xdr:rowOff>
                  </from>
                  <to>
                    <xdr:col>9</xdr:col>
                    <xdr:colOff>447675</xdr:colOff>
                    <xdr:row>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10" name="Option Button 75">
              <controlPr defaultSize="0" autoFill="0" autoLine="0" autoPict="0">
                <anchor>
                  <from>
                    <xdr:col>9</xdr:col>
                    <xdr:colOff>447675</xdr:colOff>
                    <xdr:row>4</xdr:row>
                    <xdr:rowOff>104775</xdr:rowOff>
                  </from>
                  <to>
                    <xdr:col>11</xdr:col>
                    <xdr:colOff>66675</xdr:colOff>
                    <xdr:row>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11" name="Option Button 169">
              <controlPr defaultSize="0" autoFill="0" autoLine="0" autoPict="0">
                <anchor>
                  <from>
                    <xdr:col>2</xdr:col>
                    <xdr:colOff>923925</xdr:colOff>
                    <xdr:row>4</xdr:row>
                    <xdr:rowOff>123825</xdr:rowOff>
                  </from>
                  <to>
                    <xdr:col>3</xdr:col>
                    <xdr:colOff>38100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>
    <tabColor rgb="FFFF0000"/>
  </sheetPr>
  <dimension ref="A1:L48"/>
  <sheetViews>
    <sheetView workbookViewId="0">
      <selection activeCell="M17" sqref="M17"/>
    </sheetView>
  </sheetViews>
  <sheetFormatPr defaultColWidth="9.33203125" defaultRowHeight="21.75"/>
  <cols>
    <col min="1" max="1" width="7" style="1" customWidth="1"/>
    <col min="2" max="2" width="31" style="1" customWidth="1"/>
    <col min="3" max="3" width="9.5" style="1" customWidth="1"/>
    <col min="4" max="4" width="10.5" style="1" customWidth="1"/>
    <col min="5" max="5" width="13" style="1" customWidth="1"/>
    <col min="6" max="6" width="13.6640625" style="1" customWidth="1"/>
    <col min="7" max="7" width="14" style="1" customWidth="1"/>
    <col min="8" max="8" width="13" style="1" customWidth="1"/>
    <col min="9" max="9" width="8.5" style="1" bestFit="1" customWidth="1"/>
    <col min="10" max="10" width="8.83203125" style="1" customWidth="1"/>
    <col min="11" max="11" width="12.83203125" style="1" customWidth="1"/>
    <col min="12" max="12" width="15.1640625" style="1" customWidth="1"/>
    <col min="13" max="16384" width="9.33203125" style="1"/>
  </cols>
  <sheetData>
    <row r="1" spans="1:12" s="2" customFormat="1" ht="30.75" customHeight="1">
      <c r="A1" s="19" t="s">
        <v>193</v>
      </c>
      <c r="B1" s="19"/>
      <c r="C1" s="19"/>
      <c r="D1" s="19"/>
      <c r="E1" s="19"/>
      <c r="F1" s="19"/>
      <c r="G1" s="19"/>
      <c r="H1" s="19"/>
      <c r="I1" s="19"/>
    </row>
    <row r="2" spans="1:12">
      <c r="B2" s="16" t="s">
        <v>937</v>
      </c>
      <c r="G2" s="1" t="s">
        <v>183</v>
      </c>
      <c r="H2" s="330">
        <v>1</v>
      </c>
      <c r="I2" s="1" t="s">
        <v>938</v>
      </c>
    </row>
    <row r="3" spans="1:12">
      <c r="B3" s="16" t="s">
        <v>194</v>
      </c>
      <c r="C3" s="2325"/>
      <c r="D3" s="2325"/>
      <c r="E3" s="1" t="str">
        <f>กรอกราคาวัสดุ!D2</f>
        <v xml:space="preserve">ชื่อสายทาง         </v>
      </c>
      <c r="F3" s="1" t="str">
        <f>กรอกราคาวัสดุ!E2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</v>
      </c>
    </row>
    <row r="4" spans="1:12" ht="26.25" customHeight="1">
      <c r="F4" s="1" t="str">
        <f>กรอกราคาวัสดุ!A3</f>
        <v>สถานที่ตั้ง   ตำบลคลองเมือง   อำเภอจักราช   จังหวัดนครราชสีมา</v>
      </c>
    </row>
    <row r="5" spans="1:12" s="4" customFormat="1" ht="19.5">
      <c r="A5" s="2330" t="s">
        <v>195</v>
      </c>
      <c r="B5" s="2330" t="s">
        <v>182</v>
      </c>
      <c r="C5" s="2328" t="s">
        <v>183</v>
      </c>
      <c r="D5" s="2332" t="s">
        <v>915</v>
      </c>
      <c r="E5" s="2332"/>
      <c r="F5" s="2332"/>
      <c r="G5" s="2328" t="s">
        <v>186</v>
      </c>
      <c r="H5" s="6" t="s">
        <v>196</v>
      </c>
      <c r="I5" s="2328" t="s">
        <v>895</v>
      </c>
    </row>
    <row r="6" spans="1:12" s="4" customFormat="1" ht="19.5">
      <c r="A6" s="2331"/>
      <c r="B6" s="2331"/>
      <c r="C6" s="2329"/>
      <c r="D6" s="7" t="s">
        <v>184</v>
      </c>
      <c r="E6" s="7" t="s">
        <v>197</v>
      </c>
      <c r="F6" s="7" t="s">
        <v>185</v>
      </c>
      <c r="G6" s="2329"/>
      <c r="H6" s="7" t="s">
        <v>185</v>
      </c>
      <c r="I6" s="2329"/>
    </row>
    <row r="7" spans="1:12" s="4" customFormat="1" ht="19.5">
      <c r="A7" s="239">
        <v>1</v>
      </c>
      <c r="B7" s="252" t="s">
        <v>198</v>
      </c>
      <c r="C7" s="255">
        <f>L7</f>
        <v>6.8</v>
      </c>
      <c r="D7" s="254" t="s">
        <v>870</v>
      </c>
      <c r="E7" s="240">
        <f>IF(C7&lt;=0,0,0)</f>
        <v>0</v>
      </c>
      <c r="F7" s="240">
        <f>IF(C7&lt;=0,0,IF(กรอกราคาวัสดุ!$C$6=2,'ค่าเสื่อมราคา(แก้ไข26ธค.60)'!H11,'ค่าเสื่อมราคา(แก้ไข26ธค.60)'!G11))</f>
        <v>23.060000000000002</v>
      </c>
      <c r="G7" s="240">
        <f>E7+F7</f>
        <v>23.060000000000002</v>
      </c>
      <c r="H7" s="240">
        <f>IF(C7&gt;=0,ROUND(C7*G7,2),"")</f>
        <v>156.81</v>
      </c>
      <c r="I7" s="241"/>
      <c r="K7" s="255">
        <v>6.8</v>
      </c>
      <c r="L7" s="256">
        <f>K7*$H$2</f>
        <v>6.8</v>
      </c>
    </row>
    <row r="8" spans="1:12" s="4" customFormat="1" ht="19.5">
      <c r="A8" s="242">
        <v>2</v>
      </c>
      <c r="B8" s="257" t="s">
        <v>149</v>
      </c>
      <c r="C8" s="253">
        <f>L8</f>
        <v>2</v>
      </c>
      <c r="D8" s="258" t="s">
        <v>870</v>
      </c>
      <c r="E8" s="245">
        <f>ROUND(IF(C8&lt;=0,0,ค่างานต้นทุน!I320),2)</f>
        <v>636.94000000000005</v>
      </c>
      <c r="F8" s="245">
        <f>IF(C8&lt;=0,0,กรอกราคาวัสดุ!D68)</f>
        <v>99</v>
      </c>
      <c r="G8" s="245">
        <f>E8+F8</f>
        <v>735.94</v>
      </c>
      <c r="H8" s="245">
        <f>IF(C8&gt;=0,ROUND(C8*G8,2),"")</f>
        <v>1471.88</v>
      </c>
      <c r="I8" s="246"/>
      <c r="K8" s="253">
        <f>TRUNC(K7*0.3)</f>
        <v>2</v>
      </c>
      <c r="L8" s="256">
        <f t="shared" ref="L8:L26" si="0">K8*$H$2</f>
        <v>2</v>
      </c>
    </row>
    <row r="9" spans="1:12" s="4" customFormat="1" ht="19.5">
      <c r="A9" s="242">
        <v>3</v>
      </c>
      <c r="B9" s="257" t="s">
        <v>150</v>
      </c>
      <c r="C9" s="253">
        <f t="shared" ref="C9:C26" si="1">L9</f>
        <v>0.43</v>
      </c>
      <c r="D9" s="258" t="s">
        <v>870</v>
      </c>
      <c r="E9" s="245">
        <f>ROUND(IF(C9&lt;=0,0,ค่างานต้นทุน!I319),2)</f>
        <v>338.73</v>
      </c>
      <c r="F9" s="245">
        <f>IF(C9&lt;=0,0,กรอกราคาวัสดุ!D68)</f>
        <v>99</v>
      </c>
      <c r="G9" s="245">
        <f t="shared" ref="G9:G23" si="2">E9+F9</f>
        <v>437.73</v>
      </c>
      <c r="H9" s="245">
        <f t="shared" ref="H9:H23" si="3">IF(C9&gt;=0,ROUND(C9*G9,2),"")</f>
        <v>188.22</v>
      </c>
      <c r="I9" s="246"/>
      <c r="K9" s="253">
        <v>0.43</v>
      </c>
      <c r="L9" s="256">
        <f t="shared" si="0"/>
        <v>0.43</v>
      </c>
    </row>
    <row r="10" spans="1:12" s="4" customFormat="1" ht="19.5">
      <c r="A10" s="242">
        <v>4</v>
      </c>
      <c r="B10" s="257" t="s">
        <v>199</v>
      </c>
      <c r="C10" s="253">
        <f t="shared" si="1"/>
        <v>0.22500000000000001</v>
      </c>
      <c r="D10" s="258" t="s">
        <v>870</v>
      </c>
      <c r="E10" s="245">
        <f>ROUND(IF(C10&lt;=0,0,ค่างานต้นทุน!I324),2)</f>
        <v>1625.06</v>
      </c>
      <c r="F10" s="245">
        <f>IF(C10&lt;=0,0,กรอกราคาวัสดุ!D67)</f>
        <v>398</v>
      </c>
      <c r="G10" s="245">
        <f t="shared" si="2"/>
        <v>2023.06</v>
      </c>
      <c r="H10" s="245">
        <f t="shared" si="3"/>
        <v>455.19</v>
      </c>
      <c r="I10" s="246"/>
      <c r="K10" s="253">
        <v>0.22500000000000001</v>
      </c>
      <c r="L10" s="256">
        <f t="shared" si="0"/>
        <v>0.22500000000000001</v>
      </c>
    </row>
    <row r="11" spans="1:12" s="4" customFormat="1" ht="19.5">
      <c r="A11" s="242">
        <v>5</v>
      </c>
      <c r="B11" s="257" t="s">
        <v>861</v>
      </c>
      <c r="C11" s="253">
        <f t="shared" si="1"/>
        <v>1.1100000000000001</v>
      </c>
      <c r="D11" s="258" t="s">
        <v>870</v>
      </c>
      <c r="E11" s="245">
        <f>ROUND(IF(C11&lt;=0,0,ค่างานต้นทุน!I326),2)</f>
        <v>1788.28</v>
      </c>
      <c r="F11" s="245">
        <f>IF(C11&lt;=0,0,กรอกราคาวัสดุ!D66)</f>
        <v>436</v>
      </c>
      <c r="G11" s="245">
        <f t="shared" si="2"/>
        <v>2224.2799999999997</v>
      </c>
      <c r="H11" s="245">
        <f t="shared" si="3"/>
        <v>2468.9499999999998</v>
      </c>
      <c r="I11" s="246"/>
      <c r="K11" s="253">
        <v>1.1100000000000001</v>
      </c>
      <c r="L11" s="256">
        <f t="shared" si="0"/>
        <v>1.1100000000000001</v>
      </c>
    </row>
    <row r="12" spans="1:12" s="4" customFormat="1" ht="19.5">
      <c r="A12" s="242">
        <v>6</v>
      </c>
      <c r="B12" s="257" t="s">
        <v>885</v>
      </c>
      <c r="C12" s="253">
        <f t="shared" si="1"/>
        <v>11.82</v>
      </c>
      <c r="D12" s="258" t="s">
        <v>890</v>
      </c>
      <c r="E12" s="245"/>
      <c r="F12" s="245">
        <f>IF(C12&lt;=0,0,กรอกราคาวัสดุ!D70)</f>
        <v>133</v>
      </c>
      <c r="G12" s="245">
        <f t="shared" si="2"/>
        <v>133</v>
      </c>
      <c r="H12" s="245">
        <f t="shared" si="3"/>
        <v>1572.06</v>
      </c>
      <c r="I12" s="246"/>
      <c r="K12" s="253">
        <v>11.82</v>
      </c>
      <c r="L12" s="256">
        <f t="shared" si="0"/>
        <v>11.82</v>
      </c>
    </row>
    <row r="13" spans="1:12" s="4" customFormat="1" ht="19.5">
      <c r="A13" s="242">
        <v>7</v>
      </c>
      <c r="B13" s="257" t="s">
        <v>526</v>
      </c>
      <c r="C13" s="253">
        <f>C12/3</f>
        <v>3.94</v>
      </c>
      <c r="D13" s="258" t="s">
        <v>347</v>
      </c>
      <c r="E13" s="245">
        <f>IF(C13&lt;=0,0,กรอกราคาวัสดุ!D58)</f>
        <v>657.9</v>
      </c>
      <c r="F13" s="245"/>
      <c r="G13" s="245">
        <f t="shared" si="2"/>
        <v>657.9</v>
      </c>
      <c r="H13" s="245">
        <f t="shared" si="3"/>
        <v>2592.13</v>
      </c>
      <c r="I13" s="246"/>
      <c r="K13" s="253">
        <f>TRUNC(K12*0.25)</f>
        <v>2</v>
      </c>
      <c r="L13" s="256">
        <f t="shared" si="0"/>
        <v>2</v>
      </c>
    </row>
    <row r="14" spans="1:12" s="4" customFormat="1" ht="19.5">
      <c r="A14" s="242">
        <f t="shared" ref="A14:A26" si="4">A13+1</f>
        <v>8</v>
      </c>
      <c r="B14" s="247" t="s">
        <v>525</v>
      </c>
      <c r="C14" s="243">
        <f>TRUNC(C12/3)/2.88</f>
        <v>1.0416666666666667</v>
      </c>
      <c r="D14" s="244" t="s">
        <v>891</v>
      </c>
      <c r="E14" s="245">
        <f>IF(C14&lt;=0,0,กรอกราคาวัสดุ!D59)</f>
        <v>250</v>
      </c>
      <c r="F14" s="245"/>
      <c r="G14" s="245">
        <f t="shared" si="2"/>
        <v>250</v>
      </c>
      <c r="H14" s="245">
        <f t="shared" si="3"/>
        <v>260.42</v>
      </c>
      <c r="I14" s="246"/>
      <c r="K14" s="253"/>
      <c r="L14" s="256"/>
    </row>
    <row r="15" spans="1:12" s="4" customFormat="1" ht="19.5">
      <c r="A15" s="242">
        <v>8</v>
      </c>
      <c r="B15" s="247" t="s">
        <v>523</v>
      </c>
      <c r="C15" s="253">
        <f>C13/3</f>
        <v>1.3133333333333332</v>
      </c>
      <c r="D15" s="258" t="s">
        <v>347</v>
      </c>
      <c r="E15" s="245">
        <f>IF(C15&lt;=0,0,กรอกราคาวัสดุ!D60)</f>
        <v>623.79</v>
      </c>
      <c r="F15" s="245"/>
      <c r="G15" s="245">
        <f t="shared" si="2"/>
        <v>623.79</v>
      </c>
      <c r="H15" s="245">
        <f t="shared" si="3"/>
        <v>819.24</v>
      </c>
      <c r="I15" s="246"/>
      <c r="K15" s="253">
        <f>TRUNC(K13*0.3)</f>
        <v>0</v>
      </c>
      <c r="L15" s="256">
        <f t="shared" si="0"/>
        <v>0</v>
      </c>
    </row>
    <row r="16" spans="1:12" s="4" customFormat="1" ht="19.5">
      <c r="A16" s="242">
        <f t="shared" si="4"/>
        <v>9</v>
      </c>
      <c r="B16" s="257" t="s">
        <v>886</v>
      </c>
      <c r="C16" s="253">
        <f t="shared" si="1"/>
        <v>2</v>
      </c>
      <c r="D16" s="258" t="s">
        <v>887</v>
      </c>
      <c r="E16" s="245">
        <f>IF(C16&lt;=0,0,กรอกราคาวัสดุ!D65)</f>
        <v>60</v>
      </c>
      <c r="F16" s="245">
        <f>IF(C16&lt;=0,0,0)</f>
        <v>0</v>
      </c>
      <c r="G16" s="245">
        <f t="shared" si="2"/>
        <v>60</v>
      </c>
      <c r="H16" s="245">
        <f t="shared" si="3"/>
        <v>120</v>
      </c>
      <c r="I16" s="246"/>
      <c r="K16" s="253">
        <f>TRUNC(K12*0.25)</f>
        <v>2</v>
      </c>
      <c r="L16" s="256">
        <f t="shared" si="0"/>
        <v>2</v>
      </c>
    </row>
    <row r="17" spans="1:12" s="4" customFormat="1" ht="19.5">
      <c r="A17" s="242">
        <v>9</v>
      </c>
      <c r="B17" s="257" t="s">
        <v>151</v>
      </c>
      <c r="C17" s="253">
        <v>1</v>
      </c>
      <c r="D17" s="258" t="s">
        <v>187</v>
      </c>
      <c r="E17" s="245">
        <f>ROUND(IF(C17&lt;=0,0,ค่างานต้นทุน!I328),2)</f>
        <v>26850.82</v>
      </c>
      <c r="F17" s="245">
        <f>IF(C17&lt;=0,0,กรอกราคาวัสดุ!D69)</f>
        <v>3300</v>
      </c>
      <c r="G17" s="245">
        <f t="shared" si="2"/>
        <v>30150.82</v>
      </c>
      <c r="H17" s="245">
        <f t="shared" si="3"/>
        <v>30150.82</v>
      </c>
      <c r="I17" s="246"/>
      <c r="K17" s="259"/>
      <c r="L17" s="256">
        <f t="shared" si="0"/>
        <v>0</v>
      </c>
    </row>
    <row r="18" spans="1:12" s="4" customFormat="1" ht="19.5">
      <c r="A18" s="242">
        <f t="shared" si="4"/>
        <v>10</v>
      </c>
      <c r="B18" s="257" t="s">
        <v>921</v>
      </c>
      <c r="C18" s="253">
        <v>1</v>
      </c>
      <c r="D18" s="258" t="s">
        <v>187</v>
      </c>
      <c r="E18" s="245">
        <f>ROUND(IF(C18&lt;=0,0,ค่างานต้นทุน!I329),2)</f>
        <v>25215.4</v>
      </c>
      <c r="F18" s="245">
        <f>IF(C18&lt;=0,0,กรอกราคาวัสดุ!D69)</f>
        <v>3300</v>
      </c>
      <c r="G18" s="245">
        <f t="shared" si="2"/>
        <v>28515.4</v>
      </c>
      <c r="H18" s="245">
        <f t="shared" si="3"/>
        <v>28515.4</v>
      </c>
      <c r="I18" s="246"/>
      <c r="K18" s="259">
        <v>9.2999999999999999E-2</v>
      </c>
      <c r="L18" s="256">
        <f t="shared" si="0"/>
        <v>9.2999999999999999E-2</v>
      </c>
    </row>
    <row r="19" spans="1:12" s="4" customFormat="1" ht="19.5">
      <c r="A19" s="242">
        <v>10</v>
      </c>
      <c r="B19" s="257" t="s">
        <v>932</v>
      </c>
      <c r="C19" s="253">
        <v>1</v>
      </c>
      <c r="D19" s="258" t="s">
        <v>187</v>
      </c>
      <c r="E19" s="245">
        <f>ROUND(IF(C19&lt;=0,0,ค่างานต้นทุน!I334),2)</f>
        <v>24851.16</v>
      </c>
      <c r="F19" s="245">
        <f>IF(C19&lt;=0,0,กรอกราคาวัสดุ!D69)</f>
        <v>3300</v>
      </c>
      <c r="G19" s="245">
        <f t="shared" si="2"/>
        <v>28151.16</v>
      </c>
      <c r="H19" s="245">
        <f t="shared" si="3"/>
        <v>28151.16</v>
      </c>
      <c r="I19" s="246"/>
      <c r="K19" s="259"/>
      <c r="L19" s="256">
        <f t="shared" si="0"/>
        <v>0</v>
      </c>
    </row>
    <row r="20" spans="1:12" s="4" customFormat="1" ht="19.5">
      <c r="A20" s="242">
        <f t="shared" si="4"/>
        <v>11</v>
      </c>
      <c r="B20" s="257" t="s">
        <v>933</v>
      </c>
      <c r="C20" s="253">
        <v>1</v>
      </c>
      <c r="D20" s="258" t="s">
        <v>187</v>
      </c>
      <c r="E20" s="245">
        <f>ROUND(IF(C20&lt;=0,0,ค่างานต้นทุน!I335),2)</f>
        <v>24637.87</v>
      </c>
      <c r="F20" s="245">
        <f>IF(C20&lt;=0,0,กรอกราคาวัสดุ!D69)</f>
        <v>3300</v>
      </c>
      <c r="G20" s="245">
        <f t="shared" si="2"/>
        <v>27937.87</v>
      </c>
      <c r="H20" s="245">
        <f t="shared" si="3"/>
        <v>27937.87</v>
      </c>
      <c r="I20" s="246"/>
      <c r="K20" s="259"/>
      <c r="L20" s="256">
        <f t="shared" si="0"/>
        <v>0</v>
      </c>
    </row>
    <row r="21" spans="1:12" s="4" customFormat="1" ht="19.5">
      <c r="A21" s="242">
        <v>11</v>
      </c>
      <c r="B21" s="257" t="s">
        <v>934</v>
      </c>
      <c r="C21" s="253">
        <v>1</v>
      </c>
      <c r="D21" s="258" t="s">
        <v>187</v>
      </c>
      <c r="E21" s="245">
        <f>ROUND(IF(C21&lt;=0,0,ค่างานต้นทุน!I336),2)</f>
        <v>25245.25</v>
      </c>
      <c r="F21" s="245">
        <f>IF(C21&lt;=0,0,กรอกราคาวัสดุ!D69)</f>
        <v>3300</v>
      </c>
      <c r="G21" s="245">
        <f t="shared" si="2"/>
        <v>28545.25</v>
      </c>
      <c r="H21" s="245">
        <f t="shared" si="3"/>
        <v>28545.25</v>
      </c>
      <c r="I21" s="246"/>
      <c r="K21" s="259"/>
      <c r="L21" s="256">
        <f t="shared" si="0"/>
        <v>0</v>
      </c>
    </row>
    <row r="22" spans="1:12" s="4" customFormat="1" ht="19.5">
      <c r="A22" s="242">
        <f t="shared" si="4"/>
        <v>12</v>
      </c>
      <c r="B22" s="260" t="s">
        <v>892</v>
      </c>
      <c r="C22" s="253">
        <f t="shared" si="1"/>
        <v>2.3250000000000002</v>
      </c>
      <c r="D22" s="258" t="s">
        <v>887</v>
      </c>
      <c r="E22" s="248">
        <f>IF(C22&lt;=0,0,กรอกราคาวัสดุ!D57)</f>
        <v>86.92</v>
      </c>
      <c r="F22" s="245">
        <f t="shared" ref="F22:F28" si="5">IF(C22&lt;=0,0,0)</f>
        <v>0</v>
      </c>
      <c r="G22" s="245">
        <f t="shared" si="2"/>
        <v>86.92</v>
      </c>
      <c r="H22" s="245">
        <f t="shared" si="3"/>
        <v>202.09</v>
      </c>
      <c r="I22" s="246"/>
      <c r="K22" s="261">
        <f>SUM(K18:K21)*25</f>
        <v>2.3250000000000002</v>
      </c>
      <c r="L22" s="256">
        <f t="shared" si="0"/>
        <v>2.3250000000000002</v>
      </c>
    </row>
    <row r="23" spans="1:12" s="4" customFormat="1" ht="19.5">
      <c r="A23" s="242">
        <v>12</v>
      </c>
      <c r="B23" s="257" t="s">
        <v>201</v>
      </c>
      <c r="C23" s="253">
        <f t="shared" si="1"/>
        <v>0</v>
      </c>
      <c r="D23" s="258" t="s">
        <v>891</v>
      </c>
      <c r="E23" s="248">
        <f>IF(C23&lt;=0,0,กรอกราคาวัสดุ!D73)</f>
        <v>0</v>
      </c>
      <c r="F23" s="245">
        <f t="shared" si="5"/>
        <v>0</v>
      </c>
      <c r="G23" s="245">
        <f t="shared" si="2"/>
        <v>0</v>
      </c>
      <c r="H23" s="245">
        <f t="shared" si="3"/>
        <v>0</v>
      </c>
      <c r="I23" s="246"/>
      <c r="K23" s="253"/>
      <c r="L23" s="256">
        <f t="shared" si="0"/>
        <v>0</v>
      </c>
    </row>
    <row r="24" spans="1:12" s="4" customFormat="1" ht="19.5">
      <c r="A24" s="242">
        <f t="shared" si="4"/>
        <v>13</v>
      </c>
      <c r="B24" s="257" t="s">
        <v>935</v>
      </c>
      <c r="C24" s="253">
        <f t="shared" si="1"/>
        <v>3.6</v>
      </c>
      <c r="D24" s="258" t="s">
        <v>375</v>
      </c>
      <c r="E24" s="248">
        <f>IF(C24&lt;=0,0,576)</f>
        <v>576</v>
      </c>
      <c r="F24" s="245">
        <f t="shared" si="5"/>
        <v>0</v>
      </c>
      <c r="G24" s="245">
        <f>E24+F24</f>
        <v>576</v>
      </c>
      <c r="H24" s="245">
        <f>IF(C24&gt;=0,ROUND(C24*G24,2),"")</f>
        <v>2073.6</v>
      </c>
      <c r="I24" s="246"/>
      <c r="K24" s="253">
        <v>3.6</v>
      </c>
      <c r="L24" s="256">
        <f t="shared" si="0"/>
        <v>3.6</v>
      </c>
    </row>
    <row r="25" spans="1:12" s="4" customFormat="1" ht="19.5">
      <c r="A25" s="242">
        <v>13</v>
      </c>
      <c r="B25" s="257" t="s">
        <v>939</v>
      </c>
      <c r="C25" s="253">
        <f t="shared" si="1"/>
        <v>22</v>
      </c>
      <c r="D25" s="258" t="s">
        <v>891</v>
      </c>
      <c r="E25" s="248">
        <f>IF(C25&lt;=0,0,60)</f>
        <v>60</v>
      </c>
      <c r="F25" s="245">
        <f>IF(C25&lt;=0,0,0)</f>
        <v>0</v>
      </c>
      <c r="G25" s="245">
        <f>E25+F25</f>
        <v>60</v>
      </c>
      <c r="H25" s="245">
        <f>IF(C25&gt;=0,ROUND(C25*G25,2),"")</f>
        <v>1320</v>
      </c>
      <c r="I25" s="246"/>
      <c r="K25" s="253">
        <v>22</v>
      </c>
      <c r="L25" s="256">
        <f t="shared" si="0"/>
        <v>22</v>
      </c>
    </row>
    <row r="26" spans="1:12" s="4" customFormat="1" ht="19.5">
      <c r="A26" s="242">
        <f t="shared" si="4"/>
        <v>14</v>
      </c>
      <c r="B26" s="257" t="s">
        <v>940</v>
      </c>
      <c r="C26" s="253">
        <f t="shared" si="1"/>
        <v>7</v>
      </c>
      <c r="D26" s="258" t="s">
        <v>891</v>
      </c>
      <c r="E26" s="248">
        <f>IF(C26&lt;=0,0,160)</f>
        <v>160</v>
      </c>
      <c r="F26" s="245">
        <f>IF(C26&lt;=0,0,0)</f>
        <v>0</v>
      </c>
      <c r="G26" s="245">
        <f>E26+F26</f>
        <v>160</v>
      </c>
      <c r="H26" s="245">
        <f>IF(C26&gt;=0,ROUND(C26*G26,2),"")</f>
        <v>1120</v>
      </c>
      <c r="I26" s="246"/>
      <c r="K26" s="253">
        <v>7</v>
      </c>
      <c r="L26" s="256">
        <f t="shared" si="0"/>
        <v>7</v>
      </c>
    </row>
    <row r="27" spans="1:12" s="4" customFormat="1" ht="19.5">
      <c r="A27" s="242"/>
      <c r="B27" s="247"/>
      <c r="C27" s="253"/>
      <c r="D27" s="258"/>
      <c r="E27" s="248"/>
      <c r="F27" s="245">
        <f t="shared" si="5"/>
        <v>0</v>
      </c>
      <c r="G27" s="245">
        <f>E27+F27</f>
        <v>0</v>
      </c>
      <c r="H27" s="245">
        <f>IF(C27&gt;=0,ROUND(C27*G27,2),"")</f>
        <v>0</v>
      </c>
      <c r="I27" s="246"/>
    </row>
    <row r="28" spans="1:12" s="4" customFormat="1" ht="19.5">
      <c r="A28" s="242"/>
      <c r="B28" s="247"/>
      <c r="C28" s="253"/>
      <c r="D28" s="258"/>
      <c r="E28" s="248"/>
      <c r="F28" s="245">
        <f t="shared" si="5"/>
        <v>0</v>
      </c>
      <c r="G28" s="245">
        <f>E28+F28</f>
        <v>0</v>
      </c>
      <c r="H28" s="245">
        <f>IF(C28&gt;=0,ROUND(C28*G28,2),"")</f>
        <v>0</v>
      </c>
      <c r="I28" s="246"/>
    </row>
    <row r="29" spans="1:12" s="4" customFormat="1" ht="19.5">
      <c r="A29" s="7"/>
      <c r="B29" s="263"/>
      <c r="C29" s="264"/>
      <c r="D29" s="265"/>
      <c r="E29" s="266"/>
      <c r="F29" s="267"/>
      <c r="G29" s="267"/>
      <c r="H29" s="267"/>
      <c r="I29" s="268"/>
    </row>
    <row r="30" spans="1:12" s="4" customFormat="1" ht="19.5">
      <c r="A30" s="8"/>
      <c r="B30" s="2326" t="s">
        <v>202</v>
      </c>
      <c r="C30" s="2326"/>
      <c r="D30" s="2326"/>
      <c r="E30" s="2326"/>
      <c r="F30" s="2326"/>
      <c r="G30" s="2327"/>
      <c r="H30" s="9">
        <f>SUM(H7:H29)</f>
        <v>158121.09</v>
      </c>
      <c r="I30" s="10"/>
    </row>
    <row r="31" spans="1:12" s="4" customFormat="1" ht="19.5">
      <c r="A31" s="8"/>
      <c r="B31" s="2326" t="s">
        <v>931</v>
      </c>
      <c r="C31" s="2326"/>
      <c r="D31" s="2326"/>
      <c r="E31" s="2326"/>
      <c r="F31" s="2326"/>
      <c r="G31" s="2327"/>
      <c r="H31" s="9">
        <f>H30/H2</f>
        <v>158121.09</v>
      </c>
      <c r="I31" s="10"/>
    </row>
    <row r="32" spans="1:12" s="4" customFormat="1" ht="19.5"/>
    <row r="33" spans="3:9" s="4" customFormat="1" ht="19.5"/>
    <row r="34" spans="3:9" s="4" customFormat="1" ht="19.5"/>
    <row r="35" spans="3:9" s="4" customFormat="1" ht="19.5">
      <c r="C35" s="5"/>
      <c r="D35" s="5" t="s">
        <v>203</v>
      </c>
      <c r="E35" s="5"/>
      <c r="F35" s="5"/>
      <c r="G35" s="5"/>
      <c r="H35" s="5" t="s">
        <v>936</v>
      </c>
      <c r="I35" s="5"/>
    </row>
    <row r="36" spans="3:9" s="4" customFormat="1" ht="19.5">
      <c r="C36" s="5"/>
      <c r="D36" s="5"/>
      <c r="E36" s="2333" t="str">
        <f>"(  "&amp;กรอกข้อมูล!B20&amp;"  )"</f>
        <v>(  นายวัชระ  คำแดง  )</v>
      </c>
      <c r="F36" s="2333"/>
      <c r="G36" s="11"/>
      <c r="H36" s="5"/>
      <c r="I36" s="5"/>
    </row>
    <row r="37" spans="3:9" s="2" customFormat="1" ht="24"/>
    <row r="38" spans="3:9" s="2" customFormat="1" ht="24"/>
    <row r="39" spans="3:9" s="2" customFormat="1" ht="24"/>
    <row r="40" spans="3:9" s="2" customFormat="1" ht="24"/>
    <row r="41" spans="3:9" s="2" customFormat="1" ht="24"/>
    <row r="42" spans="3:9" s="2" customFormat="1" ht="24"/>
    <row r="43" spans="3:9" s="2" customFormat="1" ht="24"/>
    <row r="44" spans="3:9" s="2" customFormat="1" ht="24"/>
    <row r="45" spans="3:9" s="2" customFormat="1" ht="24"/>
    <row r="46" spans="3:9" s="2" customFormat="1" ht="24"/>
    <row r="47" spans="3:9" s="2" customFormat="1" ht="24"/>
    <row r="48" spans="3:9" s="2" customFormat="1" ht="24"/>
  </sheetData>
  <mergeCells count="10">
    <mergeCell ref="A5:A6"/>
    <mergeCell ref="B5:B6"/>
    <mergeCell ref="C5:C6"/>
    <mergeCell ref="D5:F5"/>
    <mergeCell ref="E36:F36"/>
    <mergeCell ref="C3:D3"/>
    <mergeCell ref="B31:G31"/>
    <mergeCell ref="G5:G6"/>
    <mergeCell ref="I5:I6"/>
    <mergeCell ref="B30:G30"/>
  </mergeCells>
  <phoneticPr fontId="31" type="noConversion"/>
  <printOptions horizontalCentered="1"/>
  <pageMargins left="0" right="0" top="0.39370078740157483" bottom="0.39370078740157483" header="0.51181102362204722" footer="0.51181102362204722"/>
  <pageSetup paperSize="9" orientation="portrait" horizontalDpi="4294967293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3">
    <tabColor rgb="FFFF0000"/>
  </sheetPr>
  <dimension ref="B2:Q16"/>
  <sheetViews>
    <sheetView workbookViewId="0">
      <selection activeCell="M17" sqref="M17"/>
    </sheetView>
  </sheetViews>
  <sheetFormatPr defaultRowHeight="21"/>
  <cols>
    <col min="2" max="2" width="14.83203125" bestFit="1" customWidth="1"/>
    <col min="12" max="12" width="12.33203125" bestFit="1" customWidth="1"/>
    <col min="13" max="13" width="12.33203125" customWidth="1"/>
    <col min="14" max="14" width="14" bestFit="1" customWidth="1"/>
  </cols>
  <sheetData>
    <row r="2" spans="2:17" ht="21.75">
      <c r="B2" s="20" t="s">
        <v>561</v>
      </c>
      <c r="C2" s="17"/>
      <c r="D2" s="21"/>
      <c r="E2" s="17"/>
      <c r="F2" s="21"/>
      <c r="G2" s="17"/>
      <c r="H2" s="21"/>
      <c r="I2" s="17"/>
      <c r="J2" s="21"/>
      <c r="K2" s="17"/>
      <c r="L2" s="17"/>
      <c r="M2" s="17"/>
      <c r="N2" s="17"/>
      <c r="O2" s="17"/>
      <c r="P2" s="1"/>
      <c r="Q2" s="1"/>
    </row>
    <row r="3" spans="2:17" ht="21.75">
      <c r="B3" s="12" t="s">
        <v>564</v>
      </c>
      <c r="C3" s="13" t="s">
        <v>565</v>
      </c>
      <c r="D3" s="22" t="s">
        <v>566</v>
      </c>
      <c r="E3" s="17"/>
      <c r="F3" s="21" t="s">
        <v>567</v>
      </c>
      <c r="G3" s="17"/>
      <c r="H3" s="21" t="s">
        <v>568</v>
      </c>
      <c r="I3" s="17"/>
      <c r="J3" s="21" t="s">
        <v>569</v>
      </c>
      <c r="K3" s="17"/>
      <c r="L3" s="498" t="s">
        <v>515</v>
      </c>
      <c r="M3" s="498" t="s">
        <v>516</v>
      </c>
      <c r="N3" s="498" t="s">
        <v>199</v>
      </c>
      <c r="O3" s="25" t="s">
        <v>895</v>
      </c>
      <c r="P3" s="1"/>
      <c r="Q3" s="1"/>
    </row>
    <row r="4" spans="2:17" ht="21.75">
      <c r="B4" s="37"/>
      <c r="C4" s="38"/>
      <c r="D4" s="15" t="s">
        <v>884</v>
      </c>
      <c r="E4" s="39" t="s">
        <v>572</v>
      </c>
      <c r="F4" s="39" t="s">
        <v>116</v>
      </c>
      <c r="G4" s="39" t="s">
        <v>573</v>
      </c>
      <c r="H4" s="39" t="s">
        <v>116</v>
      </c>
      <c r="I4" s="39" t="s">
        <v>573</v>
      </c>
      <c r="J4" s="39" t="s">
        <v>116</v>
      </c>
      <c r="K4" s="38" t="s">
        <v>573</v>
      </c>
      <c r="L4" s="38"/>
      <c r="M4" s="38"/>
      <c r="N4" s="38"/>
      <c r="O4" s="38"/>
      <c r="P4" s="1"/>
      <c r="Q4" s="1"/>
    </row>
    <row r="5" spans="2:17" ht="21.75">
      <c r="B5" s="12" t="s">
        <v>576</v>
      </c>
      <c r="C5" s="13">
        <v>30</v>
      </c>
      <c r="D5" s="49">
        <v>0.3</v>
      </c>
      <c r="E5" s="50">
        <v>0.05</v>
      </c>
      <c r="F5" s="50">
        <v>1.6</v>
      </c>
      <c r="G5" s="50">
        <v>1.3</v>
      </c>
      <c r="H5" s="50">
        <v>2.15</v>
      </c>
      <c r="I5" s="50">
        <v>1.3</v>
      </c>
      <c r="J5" s="50">
        <v>2.7</v>
      </c>
      <c r="K5" s="50">
        <v>1.3</v>
      </c>
      <c r="L5" s="50">
        <v>48</v>
      </c>
      <c r="M5" s="50">
        <v>140</v>
      </c>
      <c r="N5" s="50">
        <v>0.12</v>
      </c>
      <c r="O5" s="13"/>
      <c r="P5" s="1"/>
      <c r="Q5" s="1"/>
    </row>
    <row r="6" spans="2:17" ht="21.75">
      <c r="B6" s="53"/>
      <c r="C6" s="13">
        <v>30</v>
      </c>
      <c r="D6" s="49">
        <v>0.4</v>
      </c>
      <c r="E6" s="50">
        <v>0.06</v>
      </c>
      <c r="F6" s="50">
        <v>1.72</v>
      </c>
      <c r="G6" s="50">
        <v>1.52</v>
      </c>
      <c r="H6" s="50">
        <v>2.44</v>
      </c>
      <c r="I6" s="50">
        <v>1.52</v>
      </c>
      <c r="J6" s="50">
        <v>3.16</v>
      </c>
      <c r="K6" s="50">
        <v>1.52</v>
      </c>
      <c r="L6" s="50">
        <v>32</v>
      </c>
      <c r="M6" s="50">
        <v>140</v>
      </c>
      <c r="N6" s="50">
        <v>0.18</v>
      </c>
      <c r="O6" s="13"/>
      <c r="P6" s="1"/>
      <c r="Q6" s="1"/>
    </row>
    <row r="7" spans="2:17" ht="21.75">
      <c r="B7" s="53"/>
      <c r="C7" s="13">
        <v>30</v>
      </c>
      <c r="D7" s="49">
        <v>0.5</v>
      </c>
      <c r="E7" s="50">
        <v>7.0000000000000007E-2</v>
      </c>
      <c r="F7" s="50">
        <v>1.84</v>
      </c>
      <c r="G7" s="50">
        <v>1.74</v>
      </c>
      <c r="H7" s="50">
        <v>2.58</v>
      </c>
      <c r="I7" s="50">
        <v>1.74</v>
      </c>
      <c r="J7" s="50">
        <v>3.62</v>
      </c>
      <c r="K7" s="50">
        <v>1.74</v>
      </c>
      <c r="L7" s="50">
        <v>24</v>
      </c>
      <c r="M7" s="50">
        <v>250</v>
      </c>
      <c r="N7" s="50">
        <v>0.25</v>
      </c>
      <c r="O7" s="13"/>
      <c r="P7" s="1"/>
      <c r="Q7" s="1"/>
    </row>
    <row r="8" spans="2:17" ht="21.75">
      <c r="B8" s="53"/>
      <c r="C8" s="13">
        <v>30</v>
      </c>
      <c r="D8" s="49">
        <v>0.6</v>
      </c>
      <c r="E8" s="50">
        <v>7.4999999999999997E-2</v>
      </c>
      <c r="F8" s="50">
        <v>1.95</v>
      </c>
      <c r="G8" s="50">
        <v>1.95</v>
      </c>
      <c r="H8" s="50">
        <v>3</v>
      </c>
      <c r="I8" s="50">
        <v>1.95</v>
      </c>
      <c r="J8" s="50">
        <v>4.05</v>
      </c>
      <c r="K8" s="50">
        <v>1.95</v>
      </c>
      <c r="L8" s="50">
        <v>24</v>
      </c>
      <c r="M8" s="50">
        <v>345</v>
      </c>
      <c r="N8" s="50">
        <v>0.32</v>
      </c>
      <c r="O8" s="13"/>
      <c r="P8" s="1"/>
      <c r="Q8" s="1"/>
    </row>
    <row r="9" spans="2:17" ht="21.75">
      <c r="B9" s="53"/>
      <c r="C9" s="13">
        <v>30</v>
      </c>
      <c r="D9" s="49">
        <v>0.8</v>
      </c>
      <c r="E9" s="50">
        <v>9.5000000000000001E-2</v>
      </c>
      <c r="F9" s="50">
        <v>2.19</v>
      </c>
      <c r="G9" s="50">
        <v>2.39</v>
      </c>
      <c r="H9" s="50">
        <v>3.58</v>
      </c>
      <c r="I9" s="50">
        <v>2.39</v>
      </c>
      <c r="J9" s="50">
        <v>4.97</v>
      </c>
      <c r="K9" s="50">
        <v>2.39</v>
      </c>
      <c r="L9" s="50">
        <v>18</v>
      </c>
      <c r="M9" s="50">
        <v>421</v>
      </c>
      <c r="N9" s="50">
        <v>0.5</v>
      </c>
      <c r="O9" s="13"/>
      <c r="P9" s="1"/>
      <c r="Q9" s="1"/>
    </row>
    <row r="10" spans="2:17" ht="21.75">
      <c r="B10" s="53"/>
      <c r="C10" s="13">
        <v>30</v>
      </c>
      <c r="D10" s="49">
        <v>1</v>
      </c>
      <c r="E10" s="50">
        <v>0.11</v>
      </c>
      <c r="F10" s="50">
        <v>2.42</v>
      </c>
      <c r="G10" s="50">
        <v>2.82</v>
      </c>
      <c r="H10" s="50">
        <v>4.1399999999999997</v>
      </c>
      <c r="I10" s="50">
        <v>2.82</v>
      </c>
      <c r="J10" s="50">
        <v>5.86</v>
      </c>
      <c r="K10" s="50">
        <v>2.82</v>
      </c>
      <c r="L10" s="50">
        <v>10</v>
      </c>
      <c r="M10" s="50">
        <v>510</v>
      </c>
      <c r="N10" s="50">
        <v>0.75</v>
      </c>
      <c r="O10" s="13"/>
      <c r="P10" s="1"/>
      <c r="Q10" s="1"/>
    </row>
    <row r="11" spans="2:17" ht="21.75">
      <c r="B11" s="53"/>
      <c r="C11" s="13">
        <v>30</v>
      </c>
      <c r="D11" s="49">
        <v>1.2</v>
      </c>
      <c r="E11" s="50">
        <v>0.125</v>
      </c>
      <c r="F11" s="50">
        <v>2.5499999999999998</v>
      </c>
      <c r="G11" s="50">
        <v>3.25</v>
      </c>
      <c r="H11" s="50">
        <v>4.7</v>
      </c>
      <c r="I11" s="50">
        <v>3.25</v>
      </c>
      <c r="J11" s="50">
        <v>6.75</v>
      </c>
      <c r="K11" s="50">
        <v>3.25</v>
      </c>
      <c r="L11" s="50">
        <v>8</v>
      </c>
      <c r="M11" s="50">
        <v>575</v>
      </c>
      <c r="N11" s="50">
        <v>1</v>
      </c>
      <c r="O11" s="13"/>
      <c r="P11" s="1"/>
      <c r="Q11" s="1"/>
    </row>
    <row r="12" spans="2:17" ht="21.75">
      <c r="B12" s="53"/>
      <c r="C12" s="13">
        <v>30</v>
      </c>
      <c r="D12" s="49">
        <v>1.35</v>
      </c>
      <c r="E12" s="50">
        <v>0.14000000000000001</v>
      </c>
      <c r="F12" s="50">
        <v>2.83</v>
      </c>
      <c r="G12" s="50">
        <v>3.58</v>
      </c>
      <c r="H12" s="50">
        <v>5.13</v>
      </c>
      <c r="I12" s="50">
        <v>3.58</v>
      </c>
      <c r="J12" s="50">
        <v>7.44</v>
      </c>
      <c r="K12" s="50">
        <v>3.58</v>
      </c>
      <c r="L12" s="50">
        <v>5</v>
      </c>
      <c r="M12" s="50">
        <v>575</v>
      </c>
      <c r="N12" s="50">
        <v>1</v>
      </c>
      <c r="O12" s="13"/>
      <c r="P12" s="1"/>
      <c r="Q12" s="1"/>
    </row>
    <row r="13" spans="2:17" ht="21.75">
      <c r="B13" s="37"/>
      <c r="C13" s="38">
        <v>30</v>
      </c>
      <c r="D13" s="72">
        <v>1.5</v>
      </c>
      <c r="E13" s="73">
        <v>0.15</v>
      </c>
      <c r="F13" s="73">
        <v>3</v>
      </c>
      <c r="G13" s="73">
        <v>3.9</v>
      </c>
      <c r="H13" s="73">
        <v>5.55</v>
      </c>
      <c r="I13" s="73">
        <v>3.9</v>
      </c>
      <c r="J13" s="73">
        <v>8.1</v>
      </c>
      <c r="K13" s="73">
        <v>3.9</v>
      </c>
      <c r="L13" s="73">
        <v>5</v>
      </c>
      <c r="M13" s="73">
        <v>635</v>
      </c>
      <c r="N13" s="73">
        <v>1.45</v>
      </c>
      <c r="O13" s="38"/>
      <c r="P13" s="1"/>
      <c r="Q13" s="1"/>
    </row>
    <row r="14" spans="2:17" ht="21.75">
      <c r="B14" s="77" t="s">
        <v>895</v>
      </c>
      <c r="C14" s="78" t="s">
        <v>478</v>
      </c>
      <c r="D14" s="78"/>
      <c r="E14" s="78"/>
      <c r="F14" s="78"/>
      <c r="G14" s="78"/>
      <c r="H14" s="78"/>
      <c r="I14" s="78"/>
      <c r="J14" s="82"/>
      <c r="K14" s="82"/>
      <c r="L14" s="82"/>
      <c r="M14" s="82"/>
      <c r="N14" s="82"/>
      <c r="O14" s="83"/>
    </row>
    <row r="15" spans="2:17" ht="21.7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2:17" ht="21.7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</sheetData>
  <sheetProtection password="C424" sheet="1" objects="1" scenarios="1"/>
  <phoneticPr fontId="31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1">
    <tabColor rgb="FF92D050"/>
  </sheetPr>
  <dimension ref="A1:M47"/>
  <sheetViews>
    <sheetView view="pageBreakPreview" topLeftCell="A37" zoomScale="115" zoomScaleNormal="112" zoomScaleSheetLayoutView="115" workbookViewId="0">
      <selection activeCell="G11" sqref="G11"/>
    </sheetView>
  </sheetViews>
  <sheetFormatPr defaultColWidth="8.83203125" defaultRowHeight="18.75"/>
  <cols>
    <col min="1" max="1" width="6.33203125" style="1283" customWidth="1"/>
    <col min="2" max="2" width="8.83203125" style="1283"/>
    <col min="3" max="6" width="10.83203125" style="1283" customWidth="1"/>
    <col min="7" max="8" width="12.83203125" style="1283" customWidth="1"/>
    <col min="9" max="9" width="5.83203125" style="1283" customWidth="1"/>
    <col min="10" max="10" width="10.83203125" style="1283" customWidth="1"/>
    <col min="11" max="11" width="3.33203125" style="1283" customWidth="1"/>
    <col min="12" max="12" width="12.83203125" style="1283" customWidth="1"/>
    <col min="13" max="13" width="9.83203125" style="1424" customWidth="1"/>
    <col min="14" max="16384" width="8.83203125" style="1283"/>
  </cols>
  <sheetData>
    <row r="1" spans="1:13" ht="21.75" customHeight="1">
      <c r="A1" s="2446" t="s">
        <v>491</v>
      </c>
      <c r="B1" s="2446"/>
      <c r="C1" s="2446"/>
      <c r="D1" s="2446"/>
      <c r="E1" s="2446"/>
      <c r="F1" s="2446"/>
      <c r="G1" s="2446"/>
      <c r="H1" s="2446"/>
      <c r="I1" s="2446"/>
      <c r="J1" s="2446"/>
    </row>
    <row r="2" spans="1:13" ht="30.75">
      <c r="A2" s="2447" t="s">
        <v>492</v>
      </c>
      <c r="B2" s="2447"/>
      <c r="C2" s="2447"/>
      <c r="D2" s="2447"/>
      <c r="E2" s="2447"/>
      <c r="F2" s="2447"/>
      <c r="G2" s="2447"/>
      <c r="H2" s="2447"/>
      <c r="I2" s="2447"/>
      <c r="J2" s="2447"/>
    </row>
    <row r="3" spans="1:13" ht="21.75" customHeight="1">
      <c r="A3" s="1425"/>
      <c r="B3" s="1425" t="s">
        <v>493</v>
      </c>
      <c r="C3" s="1425"/>
      <c r="D3" s="1426">
        <f>กรอกข้อมูล!D10*100</f>
        <v>0</v>
      </c>
      <c r="E3" s="1427" t="s">
        <v>494</v>
      </c>
      <c r="F3" s="1425" t="s">
        <v>495</v>
      </c>
      <c r="G3" s="1428"/>
      <c r="H3" s="1425"/>
      <c r="I3" s="1426">
        <f>กรอกข้อมูล!D11*100</f>
        <v>5</v>
      </c>
      <c r="J3" s="1427" t="s">
        <v>496</v>
      </c>
    </row>
    <row r="4" spans="1:13" ht="21.75" customHeight="1">
      <c r="A4" s="1429"/>
      <c r="B4" s="1425" t="s">
        <v>497</v>
      </c>
      <c r="C4" s="1425"/>
      <c r="D4" s="1426">
        <f>กรอกข้อมูล!D12*100</f>
        <v>0</v>
      </c>
      <c r="E4" s="1427" t="s">
        <v>494</v>
      </c>
      <c r="F4" s="1430" t="s">
        <v>498</v>
      </c>
      <c r="G4" s="1425"/>
      <c r="H4" s="1425"/>
      <c r="I4" s="1426">
        <f>กรอกข้อมูล!D13*100</f>
        <v>7.0000000000000009</v>
      </c>
      <c r="J4" s="1431" t="s">
        <v>494</v>
      </c>
    </row>
    <row r="5" spans="1:13" ht="14.25" customHeight="1">
      <c r="A5" s="1429"/>
      <c r="B5" s="1425"/>
      <c r="C5" s="1425"/>
      <c r="D5" s="1425"/>
      <c r="E5" s="1427"/>
      <c r="F5" s="1430"/>
      <c r="G5" s="1425"/>
      <c r="H5" s="1425"/>
      <c r="I5" s="1425"/>
      <c r="J5" s="1431"/>
      <c r="M5" s="2146">
        <f>IF(M7&gt;10,10,5)</f>
        <v>5</v>
      </c>
    </row>
    <row r="6" spans="1:13" ht="17.25" customHeight="1">
      <c r="A6" s="2448" t="s">
        <v>499</v>
      </c>
      <c r="B6" s="2449"/>
      <c r="C6" s="2448" t="s">
        <v>500</v>
      </c>
      <c r="D6" s="2450"/>
      <c r="E6" s="2450"/>
      <c r="F6" s="2449"/>
      <c r="G6" s="1432" t="s">
        <v>186</v>
      </c>
      <c r="H6" s="1432" t="s">
        <v>501</v>
      </c>
      <c r="I6" s="2448"/>
      <c r="J6" s="2449"/>
      <c r="L6" s="1859" t="s">
        <v>383</v>
      </c>
      <c r="M6" s="2144">
        <f>('ปร.5 road'!E11+'ปร.5 road'!E12+'ปร.5 road'!E13)/1000000</f>
        <v>1.14436699</v>
      </c>
    </row>
    <row r="7" spans="1:13" ht="14.25" customHeight="1">
      <c r="A7" s="2431" t="s">
        <v>502</v>
      </c>
      <c r="B7" s="2432"/>
      <c r="C7" s="2433" t="s">
        <v>494</v>
      </c>
      <c r="D7" s="2434"/>
      <c r="E7" s="2434"/>
      <c r="F7" s="2435"/>
      <c r="G7" s="1433" t="s">
        <v>503</v>
      </c>
      <c r="H7" s="1434"/>
      <c r="I7" s="2436" t="s">
        <v>206</v>
      </c>
      <c r="J7" s="2437"/>
      <c r="L7" s="1859" t="s">
        <v>386</v>
      </c>
      <c r="M7" s="2144">
        <f>ROUND(IF($M$6&lt;=5,$B$10,IF($M$6&lt;=10,$B$11,IF($M$6&lt;=20,$B$12,IF($M$6&lt;=30,$B$13,IF($M$6&lt;=40,$B$14,IF($M$6&lt;=50,$B$15,IF($M$6&lt;=60,$B$16,IF($M$6&lt;=70,$B$17,IF($M$6&lt;=80,$B$18,IF($M$6&lt;=90,$B$19,IF($M$6&lt;=100,$B$20,IF($M$6&lt;=110,$B$21,0)))))))))))),4)</f>
        <v>5</v>
      </c>
    </row>
    <row r="8" spans="1:13" ht="17.25" customHeight="1">
      <c r="A8" s="1435"/>
      <c r="B8" s="1436"/>
      <c r="C8" s="1432" t="s">
        <v>90</v>
      </c>
      <c r="D8" s="1432" t="s">
        <v>90</v>
      </c>
      <c r="E8" s="1432" t="s">
        <v>90</v>
      </c>
      <c r="F8" s="1432" t="s">
        <v>186</v>
      </c>
      <c r="G8" s="1433" t="s">
        <v>392</v>
      </c>
      <c r="H8" s="1433" t="s">
        <v>504</v>
      </c>
      <c r="I8" s="2436"/>
      <c r="J8" s="2437"/>
      <c r="L8" s="1859" t="s">
        <v>387</v>
      </c>
      <c r="M8" s="2145">
        <f>M7-M6</f>
        <v>3.85563301</v>
      </c>
    </row>
    <row r="9" spans="1:13" ht="15.75" customHeight="1">
      <c r="A9" s="2440" t="s">
        <v>505</v>
      </c>
      <c r="B9" s="2441"/>
      <c r="C9" s="1438" t="s">
        <v>506</v>
      </c>
      <c r="D9" s="1438" t="s">
        <v>507</v>
      </c>
      <c r="E9" s="1438" t="s">
        <v>508</v>
      </c>
      <c r="F9" s="1433" t="s">
        <v>509</v>
      </c>
      <c r="G9" s="1433"/>
      <c r="H9" s="1439"/>
      <c r="I9" s="2431"/>
      <c r="J9" s="2432"/>
      <c r="L9" s="1859" t="s">
        <v>384</v>
      </c>
      <c r="M9" s="2144">
        <f>ROUND(IF($M$6&lt;=5,$I$10,IF($M$6&lt;=10,$I$11,IF($M$6&lt;=20,$I$12,IF($M$6&lt;=30,$I$13,IF($M$6&lt;=40,$I$14,IF($M$6&lt;=50,$I$15,IF($M$6&lt;=60,$I$16,IF($M$6&lt;=70,$I$17,IF($M$6&lt;=80,$I$18,IF($M$6&lt;=90,$I$19,IF($M$6&lt;=100,$I$20,IF($M$6&lt;=110,$I$21,0)))))))))))),4)</f>
        <v>1.3607</v>
      </c>
    </row>
    <row r="10" spans="1:13" ht="16.5" customHeight="1">
      <c r="A10" s="1440" t="s">
        <v>510</v>
      </c>
      <c r="B10" s="1441">
        <v>5</v>
      </c>
      <c r="C10" s="1442">
        <f>'อำนวยการ(Road)'!AN50</f>
        <v>18.2361</v>
      </c>
      <c r="D10" s="1442">
        <f>'ดอกเบี้ย(Road)'!G9</f>
        <v>0.83333333333333337</v>
      </c>
      <c r="E10" s="1442">
        <f>'ดอกเบี้ย(Road)'!G52</f>
        <v>5.5</v>
      </c>
      <c r="F10" s="1443">
        <f>(C10+D10+E10)</f>
        <v>24.569433333333333</v>
      </c>
      <c r="G10" s="1444">
        <f>1+(F10/100)</f>
        <v>1.2456943333333332</v>
      </c>
      <c r="H10" s="1444">
        <f>1+($I$4/100)</f>
        <v>1.07</v>
      </c>
      <c r="I10" s="2442">
        <v>1.3607</v>
      </c>
      <c r="J10" s="2443"/>
      <c r="L10" s="1859" t="s">
        <v>385</v>
      </c>
      <c r="M10" s="2144">
        <f>ROUND(IF($M$6&lt;=5,I10,IF($M$6&lt;=10,I10,IF($M$6&lt;=20,I11,IF($M$6&lt;=30,I12,IF($M$6&lt;=40,I13,IF($M$6&lt;=50,I14,IF($M$6&lt;=60,I15,IF($M$6&lt;=70,I16,IF($M$6&lt;=80,I17,IF($M$6&lt;=90,I18,IF($M$6&lt;=100,I19,IF($M$6&lt;=110,I121,IF($M$6&lt;=120,I21))))))))))))),4)</f>
        <v>1.3607</v>
      </c>
    </row>
    <row r="11" spans="1:13" ht="16.5" customHeight="1">
      <c r="A11" s="1445"/>
      <c r="B11" s="1446">
        <v>10</v>
      </c>
      <c r="C11" s="1442">
        <f>'อำนวยการ(Road)'!AN51</f>
        <v>14.04095</v>
      </c>
      <c r="D11" s="1442">
        <f>'ดอกเบี้ย(Road)'!G10</f>
        <v>0.83333333333333337</v>
      </c>
      <c r="E11" s="1442">
        <f>'ดอกเบี้ย(Road)'!G53</f>
        <v>5.5</v>
      </c>
      <c r="F11" s="1442">
        <f t="shared" ref="F11:F45" si="0">(C11+D11+E11)</f>
        <v>20.374283333333334</v>
      </c>
      <c r="G11" s="1447">
        <f t="shared" ref="G11:G45" si="1">1+(F11/100)</f>
        <v>1.2037428333333333</v>
      </c>
      <c r="H11" s="1447">
        <f>1+($I$4/100)</f>
        <v>1.07</v>
      </c>
      <c r="I11" s="2438">
        <v>1.3098000000000001</v>
      </c>
      <c r="J11" s="2439"/>
      <c r="L11" s="1859" t="s">
        <v>206</v>
      </c>
      <c r="M11" s="2145">
        <f>ROUND(M9+((M10-M9)*M8)/M5,4)</f>
        <v>1.3607</v>
      </c>
    </row>
    <row r="12" spans="1:13" ht="16.5" customHeight="1">
      <c r="A12" s="1445"/>
      <c r="B12" s="1446">
        <f>B11+10</f>
        <v>20</v>
      </c>
      <c r="C12" s="1442">
        <f>'อำนวยการ(Road)'!AN52</f>
        <v>9.7858000000000018</v>
      </c>
      <c r="D12" s="1442">
        <f>'ดอกเบี้ย(Road)'!G11</f>
        <v>0.83333333333333337</v>
      </c>
      <c r="E12" s="1442">
        <f>'ดอกเบี้ย(Road)'!G54</f>
        <v>5.5</v>
      </c>
      <c r="F12" s="1442">
        <f t="shared" si="0"/>
        <v>16.119133333333338</v>
      </c>
      <c r="G12" s="1447">
        <f t="shared" si="1"/>
        <v>1.1611913333333335</v>
      </c>
      <c r="H12" s="1447">
        <f t="shared" ref="H12:H46" si="2">1+($I$4/100)</f>
        <v>1.07</v>
      </c>
      <c r="I12" s="2438">
        <v>1.2516</v>
      </c>
      <c r="J12" s="2439"/>
    </row>
    <row r="13" spans="1:13" ht="16.5" customHeight="1">
      <c r="A13" s="1445"/>
      <c r="B13" s="1446">
        <f t="shared" ref="B13:B40" si="3">B12+10</f>
        <v>30</v>
      </c>
      <c r="C13" s="1442">
        <f>'อำนวยการ(Road)'!AN53</f>
        <v>6.9081999999999999</v>
      </c>
      <c r="D13" s="1442">
        <f>'ดอกเบี้ย(Road)'!G12</f>
        <v>0.83333333333333337</v>
      </c>
      <c r="E13" s="1442">
        <f>'ดอกเบี้ย(Road)'!G55</f>
        <v>5.5</v>
      </c>
      <c r="F13" s="1442">
        <f t="shared" si="0"/>
        <v>13.241533333333333</v>
      </c>
      <c r="G13" s="1447">
        <f t="shared" si="1"/>
        <v>1.1324153333333333</v>
      </c>
      <c r="H13" s="1447">
        <f t="shared" si="2"/>
        <v>1.07</v>
      </c>
      <c r="I13" s="2438">
        <v>1.2185999999999999</v>
      </c>
      <c r="J13" s="2439"/>
      <c r="L13" s="1367"/>
      <c r="M13" s="1448"/>
    </row>
    <row r="14" spans="1:13" ht="16.5" customHeight="1">
      <c r="A14" s="1445"/>
      <c r="B14" s="1446">
        <f t="shared" si="3"/>
        <v>40</v>
      </c>
      <c r="C14" s="1442">
        <f>'อำนวยการ(Road)'!AN54</f>
        <v>6.9898410424674227</v>
      </c>
      <c r="D14" s="1442">
        <f>'ดอกเบี้ย(Road)'!G13</f>
        <v>0.83333333333333337</v>
      </c>
      <c r="E14" s="1442">
        <f>'ดอกเบี้ย(Road)'!G56</f>
        <v>5</v>
      </c>
      <c r="F14" s="1442">
        <f t="shared" si="0"/>
        <v>12.823174375800756</v>
      </c>
      <c r="G14" s="1447">
        <f t="shared" si="1"/>
        <v>1.1282317437580076</v>
      </c>
      <c r="H14" s="1447">
        <f t="shared" si="2"/>
        <v>1.07</v>
      </c>
      <c r="I14" s="2438">
        <v>1.2119</v>
      </c>
      <c r="J14" s="2439"/>
      <c r="L14" s="1367"/>
      <c r="M14" s="1448"/>
    </row>
    <row r="15" spans="1:13" ht="16.5" customHeight="1">
      <c r="A15" s="1445"/>
      <c r="B15" s="1446">
        <f t="shared" si="3"/>
        <v>50</v>
      </c>
      <c r="C15" s="1442">
        <f>'อำนวยการ(Road)'!AN55</f>
        <v>6.4551799999999995</v>
      </c>
      <c r="D15" s="1442">
        <f>'ดอกเบี้ย(Road)'!G14</f>
        <v>0.83333333333333337</v>
      </c>
      <c r="E15" s="1442">
        <f>'ดอกเบี้ย(Road)'!G57</f>
        <v>5</v>
      </c>
      <c r="F15" s="1442">
        <f t="shared" si="0"/>
        <v>12.288513333333333</v>
      </c>
      <c r="G15" s="1447">
        <f t="shared" si="1"/>
        <v>1.1228851333333334</v>
      </c>
      <c r="H15" s="1447">
        <f t="shared" si="2"/>
        <v>1.07</v>
      </c>
      <c r="I15" s="2438">
        <v>1.2065999999999999</v>
      </c>
      <c r="J15" s="2439"/>
      <c r="L15" s="1367"/>
      <c r="M15" s="1437"/>
    </row>
    <row r="16" spans="1:13" ht="16.5" customHeight="1">
      <c r="A16" s="1445"/>
      <c r="B16" s="1446">
        <f t="shared" si="3"/>
        <v>60</v>
      </c>
      <c r="C16" s="1442">
        <f>'อำนวยการ(Road)'!AN56</f>
        <v>5.5918999999999999</v>
      </c>
      <c r="D16" s="1442">
        <f>'ดอกเบี้ย(Road)'!G15</f>
        <v>0.83333333333333337</v>
      </c>
      <c r="E16" s="1442">
        <f>'ดอกเบี้ย(Road)'!G58</f>
        <v>5</v>
      </c>
      <c r="F16" s="1442">
        <f t="shared" si="0"/>
        <v>11.425233333333333</v>
      </c>
      <c r="G16" s="1447">
        <f t="shared" si="1"/>
        <v>1.1142523333333334</v>
      </c>
      <c r="H16" s="1447">
        <f t="shared" si="2"/>
        <v>1.07</v>
      </c>
      <c r="I16" s="2438">
        <v>1.2005999999999999</v>
      </c>
      <c r="J16" s="2439"/>
      <c r="L16" s="1367"/>
      <c r="M16" s="1437"/>
    </row>
    <row r="17" spans="1:13" ht="16.5" customHeight="1">
      <c r="A17" s="1445"/>
      <c r="B17" s="1446">
        <f t="shared" si="3"/>
        <v>70</v>
      </c>
      <c r="C17" s="1442">
        <f>'อำนวยการ(Road)'!AN57</f>
        <v>5.4049620135974612</v>
      </c>
      <c r="D17" s="1442">
        <f>'ดอกเบี้ย(Road)'!G16</f>
        <v>0.83333333333333337</v>
      </c>
      <c r="E17" s="1442">
        <f>'ดอกเบี้ย(Road)'!G59</f>
        <v>4.5</v>
      </c>
      <c r="F17" s="1442">
        <f t="shared" si="0"/>
        <v>10.738295346930794</v>
      </c>
      <c r="G17" s="1447">
        <f t="shared" si="1"/>
        <v>1.107382953469308</v>
      </c>
      <c r="H17" s="1447">
        <f t="shared" si="2"/>
        <v>1.07</v>
      </c>
      <c r="I17" s="2438">
        <v>1.1950000000000001</v>
      </c>
      <c r="J17" s="2439"/>
      <c r="L17" s="1367"/>
      <c r="M17" s="1437"/>
    </row>
    <row r="18" spans="1:13" ht="16.5" customHeight="1">
      <c r="A18" s="1445"/>
      <c r="B18" s="1446">
        <f t="shared" si="3"/>
        <v>80</v>
      </c>
      <c r="C18" s="1442">
        <f>'อำนวยการ(Road)'!AN58</f>
        <v>4.7462037037037037</v>
      </c>
      <c r="D18" s="1442">
        <f>'ดอกเบี้ย(Road)'!G17</f>
        <v>0.83333333333333337</v>
      </c>
      <c r="E18" s="1442">
        <f>'ดอกเบี้ย(Road)'!G60</f>
        <v>4.5</v>
      </c>
      <c r="F18" s="1442">
        <f t="shared" si="0"/>
        <v>10.079537037037037</v>
      </c>
      <c r="G18" s="1447">
        <f t="shared" si="1"/>
        <v>1.1007953703703703</v>
      </c>
      <c r="H18" s="1447">
        <f t="shared" si="2"/>
        <v>1.07</v>
      </c>
      <c r="I18" s="2438">
        <v>1.1916</v>
      </c>
      <c r="J18" s="2439"/>
      <c r="M18" s="1437"/>
    </row>
    <row r="19" spans="1:13" ht="16.5" customHeight="1">
      <c r="A19" s="1445"/>
      <c r="B19" s="1446">
        <f t="shared" si="3"/>
        <v>90</v>
      </c>
      <c r="C19" s="1442">
        <f>'อำนวยการ(Road)'!AN59</f>
        <v>4.428481481481481</v>
      </c>
      <c r="D19" s="1442">
        <f>'ดอกเบี้ย(Road)'!G18</f>
        <v>0.83333333333333337</v>
      </c>
      <c r="E19" s="1442">
        <f>'ดอกเบี้ย(Road)'!G61</f>
        <v>4.5</v>
      </c>
      <c r="F19" s="1442">
        <f t="shared" si="0"/>
        <v>9.7618148148148141</v>
      </c>
      <c r="G19" s="1447">
        <f t="shared" si="1"/>
        <v>1.0976181481481482</v>
      </c>
      <c r="H19" s="1447">
        <f t="shared" si="2"/>
        <v>1.07</v>
      </c>
      <c r="I19" s="2438">
        <v>1.1857</v>
      </c>
      <c r="J19" s="2439"/>
      <c r="M19" s="1437"/>
    </row>
    <row r="20" spans="1:13" ht="16.5" customHeight="1">
      <c r="A20" s="1445"/>
      <c r="B20" s="1446">
        <f t="shared" si="3"/>
        <v>100</v>
      </c>
      <c r="C20" s="1442">
        <f>'อำนวยการ(Road)'!AN60</f>
        <v>4.1743037037037043</v>
      </c>
      <c r="D20" s="1442">
        <f>'ดอกเบี้ย(Road)'!G19</f>
        <v>0.83333333333333337</v>
      </c>
      <c r="E20" s="1442">
        <f>'ดอกเบี้ย(Road)'!G62</f>
        <v>4.5</v>
      </c>
      <c r="F20" s="1442">
        <f t="shared" si="0"/>
        <v>9.5076370370370373</v>
      </c>
      <c r="G20" s="1447">
        <f t="shared" si="1"/>
        <v>1.0950763703703703</v>
      </c>
      <c r="H20" s="1447">
        <f t="shared" si="2"/>
        <v>1.07</v>
      </c>
      <c r="I20" s="2444">
        <v>1.1823999999999999</v>
      </c>
      <c r="J20" s="2445"/>
      <c r="M20" s="1437"/>
    </row>
    <row r="21" spans="1:13" ht="16.5" customHeight="1">
      <c r="A21" s="1445"/>
      <c r="B21" s="1446">
        <f t="shared" si="3"/>
        <v>110</v>
      </c>
      <c r="C21" s="1442">
        <f>'อำนวยการ(Road)'!AN61</f>
        <v>4.128201515151515</v>
      </c>
      <c r="D21" s="1442">
        <f>'ดอกเบี้ย(Road)'!G20</f>
        <v>0.83333333333333337</v>
      </c>
      <c r="E21" s="1442">
        <f>'ดอกเบี้ย(Road)'!G63</f>
        <v>4</v>
      </c>
      <c r="F21" s="1442">
        <f t="shared" si="0"/>
        <v>8.9615348484848489</v>
      </c>
      <c r="G21" s="1447">
        <f t="shared" si="1"/>
        <v>1.0896153484848485</v>
      </c>
      <c r="H21" s="1447">
        <f t="shared" si="2"/>
        <v>1.07</v>
      </c>
      <c r="I21" s="2444">
        <v>1.1725000000000001</v>
      </c>
      <c r="J21" s="2445"/>
      <c r="M21" s="1437"/>
    </row>
    <row r="22" spans="1:13" ht="16.5" customHeight="1">
      <c r="A22" s="1445"/>
      <c r="B22" s="1446">
        <f t="shared" si="3"/>
        <v>120</v>
      </c>
      <c r="C22" s="1442">
        <f>'อำนวยการ(Road)'!AN62</f>
        <v>4.1002814814814812</v>
      </c>
      <c r="D22" s="1442">
        <f>'ดอกเบี้ย(Road)'!G21</f>
        <v>0.83333333333333337</v>
      </c>
      <c r="E22" s="1442">
        <f>'ดอกเบี้ย(Road)'!G64</f>
        <v>4</v>
      </c>
      <c r="F22" s="1442">
        <f t="shared" si="0"/>
        <v>8.9336148148148133</v>
      </c>
      <c r="G22" s="1447">
        <f t="shared" si="1"/>
        <v>1.0893361481481481</v>
      </c>
      <c r="H22" s="1447">
        <f t="shared" si="2"/>
        <v>1.07</v>
      </c>
      <c r="I22" s="2444">
        <v>1.1712</v>
      </c>
      <c r="J22" s="2445"/>
      <c r="M22" s="1437"/>
    </row>
    <row r="23" spans="1:13" ht="16.5" customHeight="1">
      <c r="A23" s="1445"/>
      <c r="B23" s="1446">
        <f t="shared" si="3"/>
        <v>130</v>
      </c>
      <c r="C23" s="1442">
        <f>'อำนวยการ(Road)'!AN63</f>
        <v>3.9389763532763533</v>
      </c>
      <c r="D23" s="1442">
        <f>'ดอกเบี้ย(Road)'!G22</f>
        <v>0.83333333333333337</v>
      </c>
      <c r="E23" s="1442">
        <f>'ดอกเบี้ย(Road)'!G65</f>
        <v>4</v>
      </c>
      <c r="F23" s="1442">
        <f t="shared" si="0"/>
        <v>8.7723096866096864</v>
      </c>
      <c r="G23" s="1447">
        <f t="shared" si="1"/>
        <v>1.0877230968660969</v>
      </c>
      <c r="H23" s="1447">
        <f t="shared" si="2"/>
        <v>1.07</v>
      </c>
      <c r="I23" s="2444">
        <v>1.1693</v>
      </c>
      <c r="J23" s="2445"/>
      <c r="M23" s="1437"/>
    </row>
    <row r="24" spans="1:13" ht="16.5" customHeight="1">
      <c r="A24" s="1445"/>
      <c r="B24" s="1446">
        <f t="shared" si="3"/>
        <v>140</v>
      </c>
      <c r="C24" s="1442">
        <f>'อำนวยการ(Road)'!AN64</f>
        <v>3.8007148148148149</v>
      </c>
      <c r="D24" s="1442">
        <f>'ดอกเบี้ย(Road)'!G23</f>
        <v>0.83333333333333337</v>
      </c>
      <c r="E24" s="1442">
        <f>'ดอกเบี้ย(Road)'!G66</f>
        <v>4</v>
      </c>
      <c r="F24" s="1442">
        <f t="shared" si="0"/>
        <v>8.6340481481481479</v>
      </c>
      <c r="G24" s="1447">
        <f t="shared" si="1"/>
        <v>1.0863404814814814</v>
      </c>
      <c r="H24" s="1447">
        <f t="shared" si="2"/>
        <v>1.07</v>
      </c>
      <c r="I24" s="2444">
        <v>1.1679999999999999</v>
      </c>
      <c r="J24" s="2445"/>
      <c r="M24" s="1437"/>
    </row>
    <row r="25" spans="1:13" ht="16.5" customHeight="1">
      <c r="A25" s="1445"/>
      <c r="B25" s="1446">
        <f t="shared" si="3"/>
        <v>150</v>
      </c>
      <c r="C25" s="1442">
        <f>'อำนวยการ(Road)'!AN65</f>
        <v>3.6808881481481484</v>
      </c>
      <c r="D25" s="1442">
        <f>'ดอกเบี้ย(Road)'!G24</f>
        <v>0.83333333333333337</v>
      </c>
      <c r="E25" s="1442">
        <f>'ดอกเบี้ย(Road)'!G67</f>
        <v>4</v>
      </c>
      <c r="F25" s="1442">
        <f t="shared" si="0"/>
        <v>8.5142214814814814</v>
      </c>
      <c r="G25" s="1447">
        <f t="shared" si="1"/>
        <v>1.0851422148148149</v>
      </c>
      <c r="H25" s="1447">
        <f t="shared" si="2"/>
        <v>1.07</v>
      </c>
      <c r="I25" s="2444">
        <v>1.1665000000000001</v>
      </c>
      <c r="J25" s="2445"/>
    </row>
    <row r="26" spans="1:13" ht="16.5" customHeight="1">
      <c r="A26" s="1445"/>
      <c r="B26" s="1446">
        <f t="shared" si="3"/>
        <v>160</v>
      </c>
      <c r="C26" s="1442">
        <f>'อำนวยการ(Road)'!AN66</f>
        <v>3.5431416666666666</v>
      </c>
      <c r="D26" s="1442">
        <f>'ดอกเบี้ย(Road)'!G25</f>
        <v>0.83333333333333337</v>
      </c>
      <c r="E26" s="1442">
        <f>'ดอกเบี้ย(Road)'!G68</f>
        <v>4</v>
      </c>
      <c r="F26" s="1442">
        <f t="shared" si="0"/>
        <v>8.3764749999999992</v>
      </c>
      <c r="G26" s="1447">
        <f t="shared" si="1"/>
        <v>1.0837647500000001</v>
      </c>
      <c r="H26" s="1447">
        <f t="shared" si="2"/>
        <v>1.07</v>
      </c>
      <c r="I26" s="2444">
        <v>1.1654</v>
      </c>
      <c r="J26" s="2445"/>
    </row>
    <row r="27" spans="1:13" ht="16.5" customHeight="1">
      <c r="A27" s="1445"/>
      <c r="B27" s="1446">
        <f t="shared" si="3"/>
        <v>170</v>
      </c>
      <c r="C27" s="1442">
        <f>'อำนวยการ(Road)'!AN67</f>
        <v>3.4604002178649238</v>
      </c>
      <c r="D27" s="1442">
        <f>'ดอกเบี้ย(Road)'!G26</f>
        <v>0.83333333333333337</v>
      </c>
      <c r="E27" s="1442">
        <f>'ดอกเบี้ย(Road)'!G69</f>
        <v>4</v>
      </c>
      <c r="F27" s="1442">
        <f t="shared" si="0"/>
        <v>8.2937335511982582</v>
      </c>
      <c r="G27" s="1447">
        <f t="shared" si="1"/>
        <v>1.0829373355119827</v>
      </c>
      <c r="H27" s="1447">
        <f t="shared" si="2"/>
        <v>1.07</v>
      </c>
      <c r="I27" s="2444">
        <v>1.1646000000000001</v>
      </c>
      <c r="J27" s="2445"/>
    </row>
    <row r="28" spans="1:13" ht="16.5" customHeight="1">
      <c r="A28" s="1445"/>
      <c r="B28" s="1446">
        <f t="shared" si="3"/>
        <v>180</v>
      </c>
      <c r="C28" s="1442">
        <f>'อำนวยการ(Road)'!AN68</f>
        <v>3.3788851851851853</v>
      </c>
      <c r="D28" s="1442">
        <f>'ดอกเบี้ย(Road)'!G27</f>
        <v>0.83333333333333337</v>
      </c>
      <c r="E28" s="1442">
        <f>'ดอกเบี้ย(Road)'!G70</f>
        <v>4</v>
      </c>
      <c r="F28" s="1442">
        <f t="shared" si="0"/>
        <v>8.2122185185185188</v>
      </c>
      <c r="G28" s="1447">
        <f t="shared" si="1"/>
        <v>1.0821221851851852</v>
      </c>
      <c r="H28" s="1447">
        <f t="shared" si="2"/>
        <v>1.07</v>
      </c>
      <c r="I28" s="2444">
        <v>1.1638999999999999</v>
      </c>
      <c r="J28" s="2445"/>
    </row>
    <row r="29" spans="1:13" ht="16.5" customHeight="1">
      <c r="A29" s="1445"/>
      <c r="B29" s="1446">
        <f t="shared" si="3"/>
        <v>190</v>
      </c>
      <c r="C29" s="1442">
        <f>'อำนวยการ(Road)'!AN69</f>
        <v>3.4211243664717346</v>
      </c>
      <c r="D29" s="1442">
        <f>'ดอกเบี้ย(Road)'!G28</f>
        <v>0.83333333333333337</v>
      </c>
      <c r="E29" s="1442">
        <f>'ดอกเบี้ย(Road)'!G71</f>
        <v>3.5</v>
      </c>
      <c r="F29" s="1442">
        <f t="shared" si="0"/>
        <v>7.7544576998050676</v>
      </c>
      <c r="G29" s="1447">
        <f t="shared" si="1"/>
        <v>1.0775445769980507</v>
      </c>
      <c r="H29" s="1447">
        <f t="shared" si="2"/>
        <v>1.07</v>
      </c>
      <c r="I29" s="2444">
        <v>1.1611</v>
      </c>
      <c r="J29" s="2445"/>
    </row>
    <row r="30" spans="1:13" ht="16.5" customHeight="1">
      <c r="A30" s="1445"/>
      <c r="B30" s="1446">
        <f t="shared" si="3"/>
        <v>200</v>
      </c>
      <c r="C30" s="1442">
        <f>'อำนวยการ(Road)'!AN70</f>
        <v>3.3524996296296292</v>
      </c>
      <c r="D30" s="1442">
        <f>'ดอกเบี้ย(Road)'!G29</f>
        <v>0.83333333333333337</v>
      </c>
      <c r="E30" s="1442">
        <f>'ดอกเบี้ย(Road)'!G72</f>
        <v>3.5</v>
      </c>
      <c r="F30" s="1442">
        <f t="shared" si="0"/>
        <v>7.6858329629629623</v>
      </c>
      <c r="G30" s="1447">
        <f t="shared" si="1"/>
        <v>1.0768583296296297</v>
      </c>
      <c r="H30" s="1447">
        <f t="shared" si="2"/>
        <v>1.07</v>
      </c>
      <c r="I30" s="2444">
        <v>1.1608000000000001</v>
      </c>
      <c r="J30" s="2445"/>
    </row>
    <row r="31" spans="1:13" ht="16.5" customHeight="1">
      <c r="A31" s="1445"/>
      <c r="B31" s="1446">
        <f t="shared" si="3"/>
        <v>210</v>
      </c>
      <c r="C31" s="1442">
        <f>'อำนวยการ(Road)'!AN71</f>
        <v>3.290410582010582</v>
      </c>
      <c r="D31" s="1442">
        <f>'ดอกเบี้ย(Road)'!G30</f>
        <v>0.83333333333333337</v>
      </c>
      <c r="E31" s="1442">
        <f>'ดอกเบี้ย(Road)'!G73</f>
        <v>3.5</v>
      </c>
      <c r="F31" s="1442">
        <f t="shared" si="0"/>
        <v>7.6237439153439155</v>
      </c>
      <c r="G31" s="1447">
        <f t="shared" si="1"/>
        <v>1.0762374391534391</v>
      </c>
      <c r="H31" s="1447">
        <f t="shared" si="2"/>
        <v>1.07</v>
      </c>
      <c r="I31" s="2444">
        <v>1.1597999999999999</v>
      </c>
      <c r="J31" s="2445"/>
    </row>
    <row r="32" spans="1:13" ht="16.5" customHeight="1">
      <c r="A32" s="1445"/>
      <c r="B32" s="1446">
        <f t="shared" si="3"/>
        <v>220</v>
      </c>
      <c r="C32" s="1442">
        <f>'อำนวยการ(Road)'!AN72</f>
        <v>3.2339659932659934</v>
      </c>
      <c r="D32" s="1442">
        <f>'ดอกเบี้ย(Road)'!G31</f>
        <v>0.83333333333333337</v>
      </c>
      <c r="E32" s="1442">
        <f>'ดอกเบี้ย(Road)'!G74</f>
        <v>3.5</v>
      </c>
      <c r="F32" s="1442">
        <f t="shared" si="0"/>
        <v>7.5672993265993265</v>
      </c>
      <c r="G32" s="1447">
        <f t="shared" si="1"/>
        <v>1.0756729932659932</v>
      </c>
      <c r="H32" s="1447">
        <f t="shared" si="2"/>
        <v>1.07</v>
      </c>
      <c r="I32" s="2444">
        <v>1.1595</v>
      </c>
      <c r="J32" s="2445"/>
    </row>
    <row r="33" spans="1:10" ht="16.5" customHeight="1">
      <c r="A33" s="1445"/>
      <c r="B33" s="1446">
        <f t="shared" si="3"/>
        <v>230</v>
      </c>
      <c r="C33" s="1442">
        <f>'อำนวยการ(Road)'!AN73</f>
        <v>3.1824296296296297</v>
      </c>
      <c r="D33" s="1442">
        <f>'ดอกเบี้ย(Road)'!G32</f>
        <v>0.83333333333333337</v>
      </c>
      <c r="E33" s="1442">
        <f>'ดอกเบี้ย(Road)'!G75</f>
        <v>3.5</v>
      </c>
      <c r="F33" s="1442">
        <f t="shared" si="0"/>
        <v>7.5157629629629632</v>
      </c>
      <c r="G33" s="1447">
        <f t="shared" si="1"/>
        <v>1.0751576296296297</v>
      </c>
      <c r="H33" s="1447">
        <f t="shared" si="2"/>
        <v>1.07</v>
      </c>
      <c r="I33" s="2444">
        <v>1.1585000000000001</v>
      </c>
      <c r="J33" s="2445"/>
    </row>
    <row r="34" spans="1:10" ht="16.5" customHeight="1">
      <c r="A34" s="1445"/>
      <c r="B34" s="1446">
        <f t="shared" si="3"/>
        <v>240</v>
      </c>
      <c r="C34" s="1442">
        <f>'อำนวยการ(Road)'!AN74</f>
        <v>3.1351879629629629</v>
      </c>
      <c r="D34" s="1442">
        <f>'ดอกเบี้ย(Road)'!G33</f>
        <v>0.83333333333333337</v>
      </c>
      <c r="E34" s="1442">
        <f>'ดอกเบี้ย(Road)'!G76</f>
        <v>3.5</v>
      </c>
      <c r="F34" s="1442">
        <f t="shared" si="0"/>
        <v>7.4685212962962968</v>
      </c>
      <c r="G34" s="1447">
        <f t="shared" si="1"/>
        <v>1.0746852129629629</v>
      </c>
      <c r="H34" s="1447">
        <f t="shared" si="2"/>
        <v>1.07</v>
      </c>
      <c r="I34" s="2444">
        <v>1.1577</v>
      </c>
      <c r="J34" s="2445"/>
    </row>
    <row r="35" spans="1:10" ht="16.5" customHeight="1">
      <c r="A35" s="1445"/>
      <c r="B35" s="1446">
        <f t="shared" si="3"/>
        <v>250</v>
      </c>
      <c r="C35" s="1442">
        <f>'อำนวยการ(Road)'!AN75</f>
        <v>3.0917256296296296</v>
      </c>
      <c r="D35" s="1442">
        <f>'ดอกเบี้ย(Road)'!G34</f>
        <v>0.83333333333333337</v>
      </c>
      <c r="E35" s="1442">
        <f>'ดอกเบี้ย(Road)'!G77</f>
        <v>3.5</v>
      </c>
      <c r="F35" s="1442">
        <f t="shared" si="0"/>
        <v>7.4250589629629626</v>
      </c>
      <c r="G35" s="1447">
        <f t="shared" si="1"/>
        <v>1.0742505896296297</v>
      </c>
      <c r="H35" s="1447">
        <f t="shared" si="2"/>
        <v>1.07</v>
      </c>
      <c r="I35" s="2444">
        <v>1.1566000000000001</v>
      </c>
      <c r="J35" s="2445"/>
    </row>
    <row r="36" spans="1:10" ht="16.5" customHeight="1">
      <c r="A36" s="1445"/>
      <c r="B36" s="1446">
        <f t="shared" si="3"/>
        <v>260</v>
      </c>
      <c r="C36" s="1442">
        <f>'อำนวยการ(Road)'!AN76</f>
        <v>3.0516065527065526</v>
      </c>
      <c r="D36" s="1442">
        <f>'ดอกเบี้ย(Road)'!G35</f>
        <v>0.83333333333333337</v>
      </c>
      <c r="E36" s="1442">
        <f>'ดอกเบี้ย(Road)'!G78</f>
        <v>3.5</v>
      </c>
      <c r="F36" s="1442">
        <f t="shared" si="0"/>
        <v>7.384939886039886</v>
      </c>
      <c r="G36" s="1447">
        <f t="shared" si="1"/>
        <v>1.0738493988603988</v>
      </c>
      <c r="H36" s="1447">
        <f t="shared" si="2"/>
        <v>1.07</v>
      </c>
      <c r="I36" s="2444">
        <v>1.1554</v>
      </c>
      <c r="J36" s="2445"/>
    </row>
    <row r="37" spans="1:10" ht="16.5" customHeight="1">
      <c r="A37" s="1445"/>
      <c r="B37" s="1446">
        <f t="shared" si="3"/>
        <v>270</v>
      </c>
      <c r="C37" s="1442">
        <f>'อำนวยการ(Road)'!AN77</f>
        <v>3.0144592592592589</v>
      </c>
      <c r="D37" s="1442">
        <f>'ดอกเบี้ย(Road)'!G36</f>
        <v>0.83333333333333337</v>
      </c>
      <c r="E37" s="1442">
        <f>'ดอกเบี้ย(Road)'!G79</f>
        <v>3.5</v>
      </c>
      <c r="F37" s="1442">
        <f t="shared" si="0"/>
        <v>7.347792592592592</v>
      </c>
      <c r="G37" s="1447">
        <f t="shared" si="1"/>
        <v>1.0734779259259259</v>
      </c>
      <c r="H37" s="1447">
        <f t="shared" si="2"/>
        <v>1.07</v>
      </c>
      <c r="I37" s="2444">
        <v>1.1544000000000001</v>
      </c>
      <c r="J37" s="2445"/>
    </row>
    <row r="38" spans="1:10" ht="16.5" customHeight="1">
      <c r="A38" s="1445"/>
      <c r="B38" s="1446">
        <f t="shared" si="3"/>
        <v>280</v>
      </c>
      <c r="C38" s="1442">
        <f>'อำนวยการ(Road)'!AN78</f>
        <v>2.9799653439153437</v>
      </c>
      <c r="D38" s="1442">
        <f>'ดอกเบี้ย(Road)'!G37</f>
        <v>0.83333333333333337</v>
      </c>
      <c r="E38" s="1442">
        <f>'ดอกเบี้ย(Road)'!G80</f>
        <v>3.5</v>
      </c>
      <c r="F38" s="1442">
        <f t="shared" si="0"/>
        <v>7.3132986772486772</v>
      </c>
      <c r="G38" s="1447">
        <f t="shared" si="1"/>
        <v>1.0731329867724868</v>
      </c>
      <c r="H38" s="1447">
        <f t="shared" si="2"/>
        <v>1.07</v>
      </c>
      <c r="I38" s="2444">
        <v>1.1535</v>
      </c>
      <c r="J38" s="2445"/>
    </row>
    <row r="39" spans="1:10" ht="16.5" customHeight="1">
      <c r="A39" s="1445"/>
      <c r="B39" s="1446">
        <f t="shared" si="3"/>
        <v>290</v>
      </c>
      <c r="C39" s="1442">
        <f>'อำนวยการ(Road)'!AN79</f>
        <v>2.947850319284802</v>
      </c>
      <c r="D39" s="1442">
        <f>'ดอกเบี้ย(Road)'!G38</f>
        <v>0.83333333333333337</v>
      </c>
      <c r="E39" s="1442">
        <f>'ดอกเบี้ย(Road)'!G81</f>
        <v>3.5</v>
      </c>
      <c r="F39" s="1442">
        <f t="shared" si="0"/>
        <v>7.2811836526181359</v>
      </c>
      <c r="G39" s="1447">
        <f t="shared" si="1"/>
        <v>1.0728118365261814</v>
      </c>
      <c r="H39" s="1447">
        <f t="shared" si="2"/>
        <v>1.07</v>
      </c>
      <c r="I39" s="2444">
        <v>1.1526000000000001</v>
      </c>
      <c r="J39" s="2445"/>
    </row>
    <row r="40" spans="1:10" ht="16.5" customHeight="1">
      <c r="A40" s="1445"/>
      <c r="B40" s="1446">
        <f t="shared" si="3"/>
        <v>300</v>
      </c>
      <c r="C40" s="1442">
        <f>'อำนวยการ(Road)'!AN80</f>
        <v>2.9178762962962961</v>
      </c>
      <c r="D40" s="1442">
        <f>'ดอกเบี้ย(Road)'!G39</f>
        <v>0.83333333333333337</v>
      </c>
      <c r="E40" s="1442">
        <f>'ดอกเบี้ย(Road)'!G82</f>
        <v>3.5</v>
      </c>
      <c r="F40" s="1442">
        <f t="shared" si="0"/>
        <v>7.2512096296296296</v>
      </c>
      <c r="G40" s="1447">
        <f t="shared" si="1"/>
        <v>1.0725120962962964</v>
      </c>
      <c r="H40" s="1447">
        <f t="shared" si="2"/>
        <v>1.07</v>
      </c>
      <c r="I40" s="2444">
        <v>1.1518999999999999</v>
      </c>
      <c r="J40" s="2445"/>
    </row>
    <row r="41" spans="1:10" ht="16.5" customHeight="1">
      <c r="A41" s="1445"/>
      <c r="B41" s="1446">
        <f>B40+50</f>
        <v>350</v>
      </c>
      <c r="C41" s="1442">
        <f>'อำนวยการ(Road)'!AN81</f>
        <v>2.7603085714285713</v>
      </c>
      <c r="D41" s="1442">
        <f>'ดอกเบี้ย(Road)'!G40</f>
        <v>0.83333333333333337</v>
      </c>
      <c r="E41" s="1442">
        <f>'ดอกเบี้ย(Road)'!G83</f>
        <v>3.5</v>
      </c>
      <c r="F41" s="1442">
        <f t="shared" si="0"/>
        <v>7.0936419047619044</v>
      </c>
      <c r="G41" s="1447">
        <f t="shared" si="1"/>
        <v>1.0709364190476189</v>
      </c>
      <c r="H41" s="1447">
        <f t="shared" si="2"/>
        <v>1.07</v>
      </c>
      <c r="I41" s="2444">
        <v>1.1514</v>
      </c>
      <c r="J41" s="2445"/>
    </row>
    <row r="42" spans="1:10" ht="16.5" customHeight="1">
      <c r="A42" s="1445"/>
      <c r="B42" s="1446">
        <f>B41+50</f>
        <v>400</v>
      </c>
      <c r="C42" s="1442">
        <f>'อำนวยการ(Road)'!AN82</f>
        <v>2.5687199999999999</v>
      </c>
      <c r="D42" s="1442">
        <f>'ดอกเบี้ย(Road)'!G41</f>
        <v>0.83333333333333337</v>
      </c>
      <c r="E42" s="1442">
        <f>'ดอกเบี้ย(Road)'!G84</f>
        <v>3.5</v>
      </c>
      <c r="F42" s="1442">
        <f t="shared" si="0"/>
        <v>6.9020533333333329</v>
      </c>
      <c r="G42" s="1447">
        <f t="shared" si="1"/>
        <v>1.0690205333333334</v>
      </c>
      <c r="H42" s="1447">
        <f t="shared" si="2"/>
        <v>1.07</v>
      </c>
      <c r="I42" s="2444">
        <v>1.1499999999999999</v>
      </c>
      <c r="J42" s="2445"/>
    </row>
    <row r="43" spans="1:10" ht="16.5" customHeight="1">
      <c r="A43" s="1445"/>
      <c r="B43" s="1446">
        <f>B42+50</f>
        <v>450</v>
      </c>
      <c r="C43" s="1442">
        <f>'อำนวยการ(Road)'!AN83</f>
        <v>2.4197066666666665</v>
      </c>
      <c r="D43" s="1442">
        <f>'ดอกเบี้ย(Road)'!G42</f>
        <v>0.83333333333333337</v>
      </c>
      <c r="E43" s="1442">
        <f>'ดอกเบี้ย(Road)'!G85</f>
        <v>3.5</v>
      </c>
      <c r="F43" s="1442">
        <f t="shared" si="0"/>
        <v>6.7530400000000004</v>
      </c>
      <c r="G43" s="1447">
        <f t="shared" si="1"/>
        <v>1.0675304000000001</v>
      </c>
      <c r="H43" s="1447">
        <f t="shared" si="2"/>
        <v>1.07</v>
      </c>
      <c r="I43" s="2444">
        <v>1.1497999999999999</v>
      </c>
      <c r="J43" s="2445"/>
    </row>
    <row r="44" spans="1:10" ht="16.5" customHeight="1">
      <c r="A44" s="1445"/>
      <c r="B44" s="1446">
        <f>B43+50</f>
        <v>500</v>
      </c>
      <c r="C44" s="1442">
        <f>'อำนวยการ(Road)'!AN84</f>
        <v>2.3004959999999999</v>
      </c>
      <c r="D44" s="1442">
        <f>'ดอกเบี้ย(Road)'!G43</f>
        <v>0.83333333333333337</v>
      </c>
      <c r="E44" s="1442">
        <f>'ดอกเบี้ย(Road)'!G86</f>
        <v>3.5</v>
      </c>
      <c r="F44" s="1442">
        <f t="shared" si="0"/>
        <v>6.6338293333333329</v>
      </c>
      <c r="G44" s="1447">
        <f t="shared" si="1"/>
        <v>1.0663382933333334</v>
      </c>
      <c r="H44" s="1447">
        <f t="shared" si="2"/>
        <v>1.07</v>
      </c>
      <c r="I44" s="2444">
        <v>1.1486000000000001</v>
      </c>
      <c r="J44" s="2445"/>
    </row>
    <row r="45" spans="1:10" ht="16.5" customHeight="1">
      <c r="A45" s="1449"/>
      <c r="B45" s="1450">
        <v>700</v>
      </c>
      <c r="C45" s="1451">
        <f>'อำนวยการ(Road)'!AN85</f>
        <v>2.1592388571428569</v>
      </c>
      <c r="D45" s="1451">
        <f>'ดอกเบี้ย(Road)'!G44</f>
        <v>0.83333333333333337</v>
      </c>
      <c r="E45" s="1452">
        <f>'ดอกเบี้ย(Road)'!G87</f>
        <v>3.5</v>
      </c>
      <c r="F45" s="1451">
        <f t="shared" si="0"/>
        <v>6.4925721904761904</v>
      </c>
      <c r="G45" s="1452">
        <f t="shared" si="1"/>
        <v>1.0649257219047619</v>
      </c>
      <c r="H45" s="1452">
        <f t="shared" si="2"/>
        <v>1.07</v>
      </c>
      <c r="I45" s="2451">
        <v>1.1460999999999999</v>
      </c>
      <c r="J45" s="2452"/>
    </row>
    <row r="46" spans="1:10" ht="16.5" customHeight="1">
      <c r="A46" s="1449" t="s">
        <v>511</v>
      </c>
      <c r="B46" s="1450">
        <v>700</v>
      </c>
      <c r="C46" s="1451">
        <f>'อำนวยการ(Road)'!AN86</f>
        <v>0</v>
      </c>
      <c r="D46" s="1451">
        <f>'ดอกเบี้ย(Road)'!G45</f>
        <v>0</v>
      </c>
      <c r="E46" s="1452">
        <f>'ดอกเบี้ย(Road)'!G88</f>
        <v>0</v>
      </c>
      <c r="F46" s="1451">
        <f t="shared" ref="F46" si="4">(C46+D46+E46)</f>
        <v>0</v>
      </c>
      <c r="G46" s="1452">
        <f t="shared" ref="G46" si="5">1+(F46/100)</f>
        <v>1</v>
      </c>
      <c r="H46" s="1452">
        <f t="shared" si="2"/>
        <v>1.07</v>
      </c>
      <c r="I46" s="2429">
        <v>1.1460999999999999</v>
      </c>
      <c r="J46" s="2430"/>
    </row>
    <row r="47" spans="1:10" ht="24" customHeight="1">
      <c r="A47" s="1453" t="s">
        <v>634</v>
      </c>
      <c r="B47" s="1454"/>
      <c r="C47" s="1455"/>
      <c r="D47" s="1455"/>
      <c r="E47" s="1455"/>
      <c r="F47" s="1455"/>
      <c r="G47" s="1455"/>
      <c r="H47" s="1455"/>
      <c r="I47" s="2428" t="s">
        <v>1992</v>
      </c>
      <c r="J47" s="2428"/>
    </row>
  </sheetData>
  <mergeCells count="48">
    <mergeCell ref="I29:J29"/>
    <mergeCell ref="I30:J30"/>
    <mergeCell ref="I31:J31"/>
    <mergeCell ref="I44:J44"/>
    <mergeCell ref="I45:J45"/>
    <mergeCell ref="I38:J38"/>
    <mergeCell ref="I39:J39"/>
    <mergeCell ref="I40:J40"/>
    <mergeCell ref="I41:J41"/>
    <mergeCell ref="I42:J42"/>
    <mergeCell ref="I43:J43"/>
    <mergeCell ref="I21:J21"/>
    <mergeCell ref="I18:J18"/>
    <mergeCell ref="I19:J19"/>
    <mergeCell ref="I36:J36"/>
    <mergeCell ref="I37:J37"/>
    <mergeCell ref="I22:J22"/>
    <mergeCell ref="I23:J23"/>
    <mergeCell ref="I24:J24"/>
    <mergeCell ref="I25:J25"/>
    <mergeCell ref="I26:J26"/>
    <mergeCell ref="I27:J27"/>
    <mergeCell ref="I32:J32"/>
    <mergeCell ref="I33:J33"/>
    <mergeCell ref="I34:J34"/>
    <mergeCell ref="I35:J35"/>
    <mergeCell ref="I28:J28"/>
    <mergeCell ref="A1:J1"/>
    <mergeCell ref="A2:J2"/>
    <mergeCell ref="A6:B6"/>
    <mergeCell ref="C6:F6"/>
    <mergeCell ref="I6:J6"/>
    <mergeCell ref="I47:J47"/>
    <mergeCell ref="I46:J46"/>
    <mergeCell ref="A7:B7"/>
    <mergeCell ref="C7:F7"/>
    <mergeCell ref="I7:J8"/>
    <mergeCell ref="I15:J15"/>
    <mergeCell ref="I11:J11"/>
    <mergeCell ref="I12:J12"/>
    <mergeCell ref="I13:J13"/>
    <mergeCell ref="A9:B9"/>
    <mergeCell ref="I9:J9"/>
    <mergeCell ref="I10:J10"/>
    <mergeCell ref="I14:J14"/>
    <mergeCell ref="I16:J16"/>
    <mergeCell ref="I17:J17"/>
    <mergeCell ref="I20:J20"/>
  </mergeCells>
  <phoneticPr fontId="31" type="noConversion"/>
  <printOptions horizontalCentered="1"/>
  <pageMargins left="0.19685039370078741" right="0" top="0.59055118110236227" bottom="0.39370078740157483" header="0.19685039370078741" footer="0.19685039370078741"/>
  <pageSetup paperSize="9" scale="9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1">
    <tabColor rgb="FF92D050"/>
  </sheetPr>
  <dimension ref="A1:N205"/>
  <sheetViews>
    <sheetView workbookViewId="0">
      <selection activeCell="M15" sqref="M15"/>
    </sheetView>
  </sheetViews>
  <sheetFormatPr defaultRowHeight="21"/>
  <cols>
    <col min="1" max="1" width="6.6640625" customWidth="1"/>
    <col min="3" max="6" width="11.33203125" customWidth="1"/>
    <col min="7" max="7" width="13.6640625" customWidth="1"/>
    <col min="8" max="8" width="14.83203125" customWidth="1"/>
    <col min="9" max="9" width="6.6640625" customWidth="1"/>
    <col min="10" max="10" width="12.6640625" customWidth="1"/>
    <col min="12" max="12" width="14.5" bestFit="1" customWidth="1"/>
    <col min="13" max="13" width="14.5" customWidth="1"/>
  </cols>
  <sheetData>
    <row r="1" spans="1:13" ht="18" customHeight="1">
      <c r="A1" s="2339" t="s">
        <v>491</v>
      </c>
      <c r="B1" s="2339"/>
      <c r="C1" s="2339"/>
      <c r="D1" s="2339"/>
      <c r="E1" s="2339"/>
      <c r="F1" s="2339"/>
      <c r="G1" s="2339"/>
      <c r="H1" s="2339"/>
      <c r="I1" s="2339"/>
      <c r="J1" s="2339"/>
    </row>
    <row r="2" spans="1:13" ht="24" customHeight="1">
      <c r="A2" s="2457" t="s">
        <v>1044</v>
      </c>
      <c r="B2" s="2457"/>
      <c r="C2" s="2457"/>
      <c r="D2" s="2457"/>
      <c r="E2" s="2457"/>
      <c r="F2" s="2457"/>
      <c r="G2" s="2457"/>
      <c r="H2" s="2457"/>
      <c r="I2" s="2457"/>
      <c r="J2" s="2457"/>
    </row>
    <row r="3" spans="1:13" ht="21.75" customHeight="1">
      <c r="A3" s="92"/>
      <c r="B3" s="92" t="s">
        <v>493</v>
      </c>
      <c r="C3" s="92"/>
      <c r="D3" s="236">
        <f>กรอกข้อมูล!D10*100</f>
        <v>0</v>
      </c>
      <c r="E3" s="93" t="s">
        <v>494</v>
      </c>
      <c r="F3" s="92" t="s">
        <v>495</v>
      </c>
      <c r="G3" s="94"/>
      <c r="H3" s="92"/>
      <c r="I3" s="236">
        <f>กรอกข้อมูล!D11*100</f>
        <v>5</v>
      </c>
      <c r="J3" s="93" t="s">
        <v>496</v>
      </c>
    </row>
    <row r="4" spans="1:13" ht="21.75" customHeight="1">
      <c r="A4" s="95"/>
      <c r="B4" s="92" t="s">
        <v>497</v>
      </c>
      <c r="C4" s="92"/>
      <c r="D4" s="236">
        <f>กรอกข้อมูล!D12*100</f>
        <v>0</v>
      </c>
      <c r="E4" s="93" t="s">
        <v>494</v>
      </c>
      <c r="F4" s="96" t="s">
        <v>498</v>
      </c>
      <c r="G4" s="92"/>
      <c r="H4" s="92"/>
      <c r="I4" s="236">
        <f>กรอกข้อมูล!D13*100</f>
        <v>7.0000000000000009</v>
      </c>
      <c r="J4" s="97" t="s">
        <v>494</v>
      </c>
    </row>
    <row r="5" spans="1:13">
      <c r="A5" s="153"/>
      <c r="B5" s="153"/>
      <c r="C5" s="153"/>
      <c r="D5" s="153"/>
      <c r="E5" s="153"/>
      <c r="F5" s="153"/>
      <c r="G5" s="153"/>
      <c r="H5" s="153"/>
      <c r="I5" s="153"/>
      <c r="J5" s="153"/>
      <c r="M5" s="586">
        <f>IF(M7&gt;5,5,5)</f>
        <v>5</v>
      </c>
    </row>
    <row r="6" spans="1:13" ht="17.25" customHeight="1">
      <c r="A6" s="2458" t="s">
        <v>499</v>
      </c>
      <c r="B6" s="2459"/>
      <c r="C6" s="2458" t="s">
        <v>500</v>
      </c>
      <c r="D6" s="2460"/>
      <c r="E6" s="2460"/>
      <c r="F6" s="2459"/>
      <c r="G6" s="98" t="s">
        <v>186</v>
      </c>
      <c r="H6" s="98" t="s">
        <v>501</v>
      </c>
      <c r="I6" s="2458"/>
      <c r="J6" s="2459"/>
      <c r="L6" s="85" t="s">
        <v>383</v>
      </c>
      <c r="M6" s="234">
        <f>('ปร.5 road'!E11+'ปร.5 road'!E12+'ปร.5 road'!E13)/1000000</f>
        <v>1.14436699</v>
      </c>
    </row>
    <row r="7" spans="1:13" ht="17.25" customHeight="1">
      <c r="A7" s="2461" t="s">
        <v>502</v>
      </c>
      <c r="B7" s="2462"/>
      <c r="C7" s="2463" t="s">
        <v>494</v>
      </c>
      <c r="D7" s="2464"/>
      <c r="E7" s="2464"/>
      <c r="F7" s="2465"/>
      <c r="G7" s="99" t="s">
        <v>503</v>
      </c>
      <c r="H7" s="100"/>
      <c r="I7" s="2466" t="s">
        <v>206</v>
      </c>
      <c r="J7" s="2467"/>
      <c r="L7" s="85" t="s">
        <v>386</v>
      </c>
      <c r="M7" s="234">
        <f>ROUND(IF($M$6&lt;=5,$B$10,IF($M$6&lt;=10,$B$11,IF($M$6&lt;=15,$B$12,IF($M$6&lt;=20,$B$13,IF($M$6&lt;=25,$B$14,IF($M$6&lt;=30,$B$15,0)))))),4)</f>
        <v>5</v>
      </c>
    </row>
    <row r="8" spans="1:13" ht="17.25" customHeight="1">
      <c r="A8" s="272"/>
      <c r="B8" s="273"/>
      <c r="C8" s="98" t="s">
        <v>90</v>
      </c>
      <c r="D8" s="98" t="s">
        <v>90</v>
      </c>
      <c r="E8" s="98" t="s">
        <v>90</v>
      </c>
      <c r="F8" s="98" t="s">
        <v>186</v>
      </c>
      <c r="G8" s="99" t="s">
        <v>392</v>
      </c>
      <c r="H8" s="99" t="s">
        <v>504</v>
      </c>
      <c r="I8" s="2468"/>
      <c r="J8" s="2469"/>
      <c r="L8" s="85" t="s">
        <v>387</v>
      </c>
      <c r="M8" s="235">
        <f>M7-M6</f>
        <v>3.85563301</v>
      </c>
    </row>
    <row r="9" spans="1:13" ht="17.25" customHeight="1">
      <c r="A9" s="2463" t="s">
        <v>505</v>
      </c>
      <c r="B9" s="2465"/>
      <c r="C9" s="101" t="s">
        <v>506</v>
      </c>
      <c r="D9" s="101" t="s">
        <v>507</v>
      </c>
      <c r="E9" s="101" t="s">
        <v>508</v>
      </c>
      <c r="F9" s="99" t="s">
        <v>509</v>
      </c>
      <c r="G9" s="99"/>
      <c r="H9" s="102"/>
      <c r="I9" s="2461"/>
      <c r="J9" s="2462"/>
      <c r="L9" s="85" t="s">
        <v>384</v>
      </c>
      <c r="M9" s="234">
        <f>ROUND(IF($M$6&lt;=5,$I$10,IF($M$6&lt;=10,$I$11,IF($M$6&lt;=15,$I$12,IF($M$6&lt;=20,$I$13,IF($M$6&lt;=25,$I$14,IF($M$6&lt;=30,$I$15,0)))))),4)</f>
        <v>1.2782</v>
      </c>
    </row>
    <row r="10" spans="1:13" ht="17.100000000000001" customHeight="1">
      <c r="A10" s="103" t="s">
        <v>510</v>
      </c>
      <c r="B10" s="104">
        <v>5</v>
      </c>
      <c r="C10" s="105">
        <f>'อำนวยการ(Bridge)'!AN54</f>
        <v>10.2393</v>
      </c>
      <c r="D10" s="105">
        <f>'ดอกเบี้ย(Bridge)'!G9</f>
        <v>0.83333333333333337</v>
      </c>
      <c r="E10" s="105">
        <f>'ดอกเบี้ย(Bridge)'!G56</f>
        <v>5.5</v>
      </c>
      <c r="F10" s="106">
        <f>(C10+D10+E10)</f>
        <v>16.572633333333336</v>
      </c>
      <c r="G10" s="107">
        <f>1+(F10/100)</f>
        <v>1.1657263333333334</v>
      </c>
      <c r="H10" s="107">
        <f>1+($I$4/100)</f>
        <v>1.07</v>
      </c>
      <c r="I10" s="2470">
        <v>1.2782</v>
      </c>
      <c r="J10" s="2471"/>
      <c r="L10" s="85" t="s">
        <v>385</v>
      </c>
      <c r="M10" s="234">
        <f>ROUND(IF($M$6&lt;=5,I10,IF($M$6&lt;=10,I10,IF($M$6&lt;=15,I11,IF($M$6&lt;=20,I12,IF($M$6&lt;=25,I13,IF($M$6&lt;=30,I14,IF($M$6&lt;=35,I15))))))),4)</f>
        <v>1.2782</v>
      </c>
    </row>
    <row r="11" spans="1:13" ht="17.100000000000001" customHeight="1">
      <c r="A11" s="108"/>
      <c r="B11" s="109">
        <v>10</v>
      </c>
      <c r="C11" s="105">
        <f>'อำนวยการ(Bridge)'!AN55</f>
        <v>7.9533500000000004</v>
      </c>
      <c r="D11" s="105">
        <f>'ดอกเบี้ย(Bridge)'!G10</f>
        <v>0.83333333333333337</v>
      </c>
      <c r="E11" s="105">
        <f>'ดอกเบี้ย(Bridge)'!G57</f>
        <v>5.5</v>
      </c>
      <c r="F11" s="105">
        <f t="shared" ref="F11:F44" si="0">(C11+D11+E11)</f>
        <v>14.286683333333334</v>
      </c>
      <c r="G11" s="110">
        <f t="shared" ref="G11:G46" si="1">1+(F11/100)</f>
        <v>1.1428668333333334</v>
      </c>
      <c r="H11" s="110">
        <f>1+($I$4/100)</f>
        <v>1.07</v>
      </c>
      <c r="I11" s="2453">
        <v>1.2445999999999999</v>
      </c>
      <c r="J11" s="2454"/>
      <c r="L11" s="85" t="s">
        <v>206</v>
      </c>
      <c r="M11" s="235">
        <f>ROUND(M9+((M10-M9)*M8)/M5,4)</f>
        <v>1.2782</v>
      </c>
    </row>
    <row r="12" spans="1:13" ht="17.100000000000001" customHeight="1">
      <c r="A12" s="108"/>
      <c r="B12" s="109">
        <v>15</v>
      </c>
      <c r="C12" s="105">
        <f>'อำนวยการ(Bridge)'!AN56</f>
        <v>7.8041999999999998</v>
      </c>
      <c r="D12" s="105">
        <f>'ดอกเบี้ย(Bridge)'!G11</f>
        <v>0.83333333333333337</v>
      </c>
      <c r="E12" s="105">
        <f>'ดอกเบี้ย(Bridge)'!G58</f>
        <v>5.5</v>
      </c>
      <c r="F12" s="105">
        <f t="shared" si="0"/>
        <v>14.137533333333334</v>
      </c>
      <c r="G12" s="110">
        <f t="shared" si="1"/>
        <v>1.1413753333333334</v>
      </c>
      <c r="H12" s="110">
        <f t="shared" ref="H12:H46" si="2">1+($I$4/100)</f>
        <v>1.07</v>
      </c>
      <c r="I12" s="2453">
        <v>1.2375</v>
      </c>
      <c r="J12" s="2454"/>
      <c r="L12" s="85"/>
      <c r="M12" s="85"/>
    </row>
    <row r="13" spans="1:13" ht="17.100000000000001" customHeight="1">
      <c r="A13" s="108"/>
      <c r="B13" s="109">
        <v>20</v>
      </c>
      <c r="C13" s="105">
        <f>'อำนวยการ(Bridge)'!AN57</f>
        <v>7.5434999999999999</v>
      </c>
      <c r="D13" s="105">
        <f>'ดอกเบี้ย(Bridge)'!G12</f>
        <v>0.83333333333333337</v>
      </c>
      <c r="E13" s="105">
        <f>'ดอกเบี้ย(Bridge)'!G59</f>
        <v>5.5</v>
      </c>
      <c r="F13" s="105">
        <f t="shared" si="0"/>
        <v>13.876833333333334</v>
      </c>
      <c r="G13" s="110">
        <f t="shared" si="1"/>
        <v>1.1387683333333334</v>
      </c>
      <c r="H13" s="110">
        <f t="shared" si="2"/>
        <v>1.07</v>
      </c>
      <c r="I13" s="2453">
        <v>1.2303999999999999</v>
      </c>
      <c r="J13" s="2454"/>
      <c r="L13" s="85"/>
    </row>
    <row r="14" spans="1:13" ht="17.100000000000001" customHeight="1">
      <c r="A14" s="108"/>
      <c r="B14" s="109">
        <v>25</v>
      </c>
      <c r="C14" s="105">
        <f>'อำนวยการ(Bridge)'!AN58</f>
        <v>6.3526499999999997</v>
      </c>
      <c r="D14" s="105">
        <f>'ดอกเบี้ย(Bridge)'!G13</f>
        <v>0.83333333333333337</v>
      </c>
      <c r="E14" s="105">
        <f>'ดอกเบี้ย(Bridge)'!G60</f>
        <v>5.5</v>
      </c>
      <c r="F14" s="105">
        <f t="shared" si="0"/>
        <v>12.685983333333333</v>
      </c>
      <c r="G14" s="110">
        <f t="shared" si="1"/>
        <v>1.1268598333333333</v>
      </c>
      <c r="H14" s="110">
        <f t="shared" si="2"/>
        <v>1.07</v>
      </c>
      <c r="I14" s="2453">
        <v>1.2144999999999999</v>
      </c>
      <c r="J14" s="2454"/>
      <c r="L14" s="85"/>
    </row>
    <row r="15" spans="1:13" ht="17.100000000000001" customHeight="1">
      <c r="A15" s="108"/>
      <c r="B15" s="109">
        <v>30</v>
      </c>
      <c r="C15" s="105">
        <f>'อำนวยการ(Bridge)'!AN59</f>
        <v>6.4889000000000001</v>
      </c>
      <c r="D15" s="105">
        <f>'ดอกเบี้ย(Bridge)'!G14</f>
        <v>0.83333333333333337</v>
      </c>
      <c r="E15" s="105">
        <f>'ดอกเบี้ย(Bridge)'!G61</f>
        <v>5</v>
      </c>
      <c r="F15" s="105">
        <f t="shared" si="0"/>
        <v>12.322233333333333</v>
      </c>
      <c r="G15" s="110">
        <f t="shared" si="1"/>
        <v>1.1232223333333333</v>
      </c>
      <c r="H15" s="110">
        <f t="shared" si="2"/>
        <v>1.07</v>
      </c>
      <c r="I15" s="2453">
        <v>1.2133</v>
      </c>
      <c r="J15" s="2454"/>
      <c r="L15" s="85"/>
    </row>
    <row r="16" spans="1:13" ht="17.100000000000001" customHeight="1">
      <c r="A16" s="108"/>
      <c r="B16" s="109">
        <v>35</v>
      </c>
      <c r="C16" s="105">
        <f>'อำนวยการ(Bridge)'!AN60</f>
        <v>6.0806007518344751</v>
      </c>
      <c r="D16" s="105">
        <f>'ดอกเบี้ย(Bridge)'!G15</f>
        <v>0.83333333333333337</v>
      </c>
      <c r="E16" s="105">
        <f>'ดอกเบี้ย(Bridge)'!G62</f>
        <v>5</v>
      </c>
      <c r="F16" s="105">
        <f t="shared" si="0"/>
        <v>11.913934085167808</v>
      </c>
      <c r="G16" s="110">
        <f t="shared" si="1"/>
        <v>1.1191393408516781</v>
      </c>
      <c r="H16" s="110">
        <f t="shared" si="2"/>
        <v>1.07</v>
      </c>
      <c r="I16" s="2453">
        <v>1.2079</v>
      </c>
      <c r="J16" s="2454"/>
      <c r="L16" s="85"/>
      <c r="M16" s="585"/>
    </row>
    <row r="17" spans="1:12" ht="17.100000000000001" customHeight="1">
      <c r="A17" s="108"/>
      <c r="B17" s="109">
        <v>40</v>
      </c>
      <c r="C17" s="105">
        <f>'อำนวยการ(Bridge)'!AN61</f>
        <v>5.5419866690352118</v>
      </c>
      <c r="D17" s="105">
        <f>'ดอกเบี้ย(Bridge)'!G16</f>
        <v>0.83333333333333337</v>
      </c>
      <c r="E17" s="105">
        <f>'ดอกเบี้ย(Bridge)'!G63</f>
        <v>5</v>
      </c>
      <c r="F17" s="105">
        <f t="shared" si="0"/>
        <v>11.375320002368545</v>
      </c>
      <c r="G17" s="110">
        <f t="shared" si="1"/>
        <v>1.1137532000236854</v>
      </c>
      <c r="H17" s="110">
        <f t="shared" si="2"/>
        <v>1.07</v>
      </c>
      <c r="I17" s="2453">
        <v>1.2000999999999999</v>
      </c>
      <c r="J17" s="2454"/>
      <c r="L17" s="85"/>
    </row>
    <row r="18" spans="1:12" ht="17.100000000000001" customHeight="1">
      <c r="A18" s="108"/>
      <c r="B18" s="109">
        <v>45</v>
      </c>
      <c r="C18" s="105">
        <f>'อำนวยการ(Bridge)'!AN62</f>
        <v>5.1229388888888883</v>
      </c>
      <c r="D18" s="105">
        <f>'ดอกเบี้ย(Bridge)'!G17</f>
        <v>0.83333333333333337</v>
      </c>
      <c r="E18" s="105">
        <f>'ดอกเบี้ย(Bridge)'!G64</f>
        <v>4.5</v>
      </c>
      <c r="F18" s="105">
        <f t="shared" si="0"/>
        <v>10.456272222222221</v>
      </c>
      <c r="G18" s="110">
        <f t="shared" si="1"/>
        <v>1.1045627222222223</v>
      </c>
      <c r="H18" s="110">
        <f t="shared" si="2"/>
        <v>1.07</v>
      </c>
      <c r="I18" s="2453">
        <v>1.1887000000000001</v>
      </c>
      <c r="J18" s="2454"/>
    </row>
    <row r="19" spans="1:12" ht="17.100000000000001" customHeight="1">
      <c r="A19" s="108"/>
      <c r="B19" s="109">
        <v>50</v>
      </c>
      <c r="C19" s="105">
        <f>'อำนวยการ(Bridge)'!AN63</f>
        <v>4.7877078678792468</v>
      </c>
      <c r="D19" s="105">
        <f>'ดอกเบี้ย(Bridge)'!G18</f>
        <v>0.83333333333333337</v>
      </c>
      <c r="E19" s="105">
        <f>'ดอกเบี้ย(Bridge)'!G65</f>
        <v>4.5</v>
      </c>
      <c r="F19" s="105">
        <f t="shared" si="0"/>
        <v>10.121041201212581</v>
      </c>
      <c r="G19" s="110">
        <f t="shared" si="1"/>
        <v>1.1012104120121258</v>
      </c>
      <c r="H19" s="110">
        <f t="shared" si="2"/>
        <v>1.07</v>
      </c>
      <c r="I19" s="2455">
        <v>1.1766000000000001</v>
      </c>
      <c r="J19" s="2456"/>
    </row>
    <row r="20" spans="1:12" ht="17.100000000000001" customHeight="1">
      <c r="A20" s="108"/>
      <c r="B20" s="109">
        <v>55</v>
      </c>
      <c r="C20" s="105">
        <f>'อำนวยการ(Bridge)'!AN64</f>
        <v>4.0596573863636367</v>
      </c>
      <c r="D20" s="105">
        <f>'ดอกเบี้ย(Bridge)'!G19</f>
        <v>0.83333333333333337</v>
      </c>
      <c r="E20" s="105">
        <f>'ดอกเบี้ย(Bridge)'!G66</f>
        <v>4.5</v>
      </c>
      <c r="F20" s="105">
        <f t="shared" si="0"/>
        <v>9.3929907196969697</v>
      </c>
      <c r="G20" s="110">
        <f t="shared" si="1"/>
        <v>1.0939299071969697</v>
      </c>
      <c r="H20" s="110">
        <f t="shared" si="2"/>
        <v>1.07</v>
      </c>
      <c r="I20" s="2455">
        <v>1.1753</v>
      </c>
      <c r="J20" s="2456"/>
    </row>
    <row r="21" spans="1:12" ht="17.100000000000001" customHeight="1">
      <c r="A21" s="108"/>
      <c r="B21" s="109">
        <v>60</v>
      </c>
      <c r="C21" s="105">
        <f>'อำนวยการ(Bridge)'!AN65</f>
        <v>3.9593604166666667</v>
      </c>
      <c r="D21" s="105">
        <f>'ดอกเบี้ย(Bridge)'!G20</f>
        <v>0.83333333333333337</v>
      </c>
      <c r="E21" s="105">
        <f>'ดอกเบี้ย(Bridge)'!G67</f>
        <v>4.5</v>
      </c>
      <c r="F21" s="105">
        <f t="shared" si="0"/>
        <v>9.2926937499999998</v>
      </c>
      <c r="G21" s="110">
        <f t="shared" si="1"/>
        <v>1.0929269374999999</v>
      </c>
      <c r="H21" s="110">
        <f t="shared" si="2"/>
        <v>1.07</v>
      </c>
      <c r="I21" s="2455">
        <v>1.1737</v>
      </c>
      <c r="J21" s="2456"/>
    </row>
    <row r="22" spans="1:12" ht="17.100000000000001" customHeight="1">
      <c r="A22" s="108"/>
      <c r="B22" s="109">
        <v>65</v>
      </c>
      <c r="C22" s="105">
        <f>'อำนวยการ(Bridge)'!AN66</f>
        <v>4.1982322115384614</v>
      </c>
      <c r="D22" s="105">
        <f>'ดอกเบี้ย(Bridge)'!G21</f>
        <v>0.83333333333333337</v>
      </c>
      <c r="E22" s="105">
        <f>'ดอกเบี้ย(Bridge)'!G68</f>
        <v>4</v>
      </c>
      <c r="F22" s="105">
        <f t="shared" si="0"/>
        <v>9.0315655448717944</v>
      </c>
      <c r="G22" s="110">
        <f t="shared" si="1"/>
        <v>1.0903156554487179</v>
      </c>
      <c r="H22" s="110">
        <f t="shared" si="2"/>
        <v>1.07</v>
      </c>
      <c r="I22" s="2455">
        <v>1.1696</v>
      </c>
      <c r="J22" s="2456"/>
    </row>
    <row r="23" spans="1:12" ht="17.100000000000001" customHeight="1">
      <c r="A23" s="108"/>
      <c r="B23" s="109">
        <v>70</v>
      </c>
      <c r="C23" s="105">
        <f>'อำนวยการ(Bridge)'!AN67</f>
        <v>4.1122937500000001</v>
      </c>
      <c r="D23" s="105">
        <f>'ดอกเบี้ย(Bridge)'!G22</f>
        <v>0.83333333333333337</v>
      </c>
      <c r="E23" s="105">
        <f>'ดอกเบี้ย(Bridge)'!G69</f>
        <v>4</v>
      </c>
      <c r="F23" s="105">
        <f t="shared" si="0"/>
        <v>8.9456270833333331</v>
      </c>
      <c r="G23" s="110">
        <f t="shared" si="1"/>
        <v>1.0894562708333333</v>
      </c>
      <c r="H23" s="110">
        <f t="shared" si="2"/>
        <v>1.07</v>
      </c>
      <c r="I23" s="2455">
        <v>1.1682999999999999</v>
      </c>
      <c r="J23" s="2456"/>
    </row>
    <row r="24" spans="1:12" ht="17.100000000000001" customHeight="1">
      <c r="A24" s="108"/>
      <c r="B24" s="109">
        <v>75</v>
      </c>
      <c r="C24" s="105">
        <f>'อำนวยการ(Bridge)'!AN68</f>
        <v>4.0378137499999998</v>
      </c>
      <c r="D24" s="105">
        <f>'ดอกเบี้ย(Bridge)'!G23</f>
        <v>0.83333333333333337</v>
      </c>
      <c r="E24" s="105">
        <f>'ดอกเบี้ย(Bridge)'!G70</f>
        <v>4</v>
      </c>
      <c r="F24" s="105">
        <f t="shared" si="0"/>
        <v>8.8711470833333337</v>
      </c>
      <c r="G24" s="110">
        <f t="shared" si="1"/>
        <v>1.0887114708333334</v>
      </c>
      <c r="H24" s="110">
        <f t="shared" si="2"/>
        <v>1.07</v>
      </c>
      <c r="I24" s="2455">
        <v>1.1657999999999999</v>
      </c>
      <c r="J24" s="2456"/>
    </row>
    <row r="25" spans="1:12" ht="17.100000000000001" customHeight="1">
      <c r="A25" s="108"/>
      <c r="B25" s="109">
        <v>80</v>
      </c>
      <c r="C25" s="105">
        <f>'อำนวยการ(Bridge)'!AN69</f>
        <v>3.97264375</v>
      </c>
      <c r="D25" s="105">
        <f>'ดอกเบี้ย(Bridge)'!G24</f>
        <v>0.83333333333333337</v>
      </c>
      <c r="E25" s="105">
        <f>'ดอกเบี้ย(Bridge)'!G71</f>
        <v>4</v>
      </c>
      <c r="F25" s="105">
        <f t="shared" si="0"/>
        <v>8.8059770833333335</v>
      </c>
      <c r="G25" s="110">
        <f t="shared" si="1"/>
        <v>1.0880597708333333</v>
      </c>
      <c r="H25" s="110">
        <f t="shared" si="2"/>
        <v>1.07</v>
      </c>
      <c r="I25" s="2455">
        <v>1.1633</v>
      </c>
      <c r="J25" s="2456"/>
    </row>
    <row r="26" spans="1:12" ht="17.100000000000001" customHeight="1">
      <c r="A26" s="108"/>
      <c r="B26" s="109">
        <v>85</v>
      </c>
      <c r="C26" s="105">
        <f>'อำนวยการ(Bridge)'!AN70</f>
        <v>3.9151408088235291</v>
      </c>
      <c r="D26" s="105">
        <f>'ดอกเบี้ย(Bridge)'!G25</f>
        <v>0.83333333333333337</v>
      </c>
      <c r="E26" s="105">
        <f>'ดอกเบี้ย(Bridge)'!G72</f>
        <v>4</v>
      </c>
      <c r="F26" s="105">
        <f t="shared" si="0"/>
        <v>8.7484741421568621</v>
      </c>
      <c r="G26" s="110">
        <f t="shared" si="1"/>
        <v>1.0874847414215687</v>
      </c>
      <c r="H26" s="110">
        <f t="shared" si="2"/>
        <v>1.07</v>
      </c>
      <c r="I26" s="2455">
        <v>1.1612</v>
      </c>
      <c r="J26" s="2456"/>
    </row>
    <row r="27" spans="1:12" ht="17.100000000000001" customHeight="1">
      <c r="A27" s="108"/>
      <c r="B27" s="109">
        <v>90</v>
      </c>
      <c r="C27" s="105">
        <f>'อำนวยการ(Bridge)'!AN71</f>
        <v>3.8640270833333332</v>
      </c>
      <c r="D27" s="105">
        <f>'ดอกเบี้ย(Bridge)'!G26</f>
        <v>0.83333333333333337</v>
      </c>
      <c r="E27" s="105">
        <f>'ดอกเบี้ย(Bridge)'!G73</f>
        <v>4</v>
      </c>
      <c r="F27" s="105">
        <f t="shared" si="0"/>
        <v>8.6973604166666654</v>
      </c>
      <c r="G27" s="110">
        <f t="shared" si="1"/>
        <v>1.0869736041666667</v>
      </c>
      <c r="H27" s="110">
        <f t="shared" si="2"/>
        <v>1.07</v>
      </c>
      <c r="I27" s="2455">
        <v>1.1597999999999999</v>
      </c>
      <c r="J27" s="2456"/>
    </row>
    <row r="28" spans="1:12" ht="17.100000000000001" customHeight="1">
      <c r="A28" s="108"/>
      <c r="B28" s="109">
        <v>95</v>
      </c>
      <c r="C28" s="105">
        <f>'อำนวยการ(Bridge)'!AN72</f>
        <v>3.81829375</v>
      </c>
      <c r="D28" s="105">
        <f>'ดอกเบี้ย(Bridge)'!G27</f>
        <v>0.83333333333333337</v>
      </c>
      <c r="E28" s="105">
        <f>'ดอกเบี้ย(Bridge)'!G74</f>
        <v>4</v>
      </c>
      <c r="F28" s="105">
        <f t="shared" si="0"/>
        <v>8.6516270833333344</v>
      </c>
      <c r="G28" s="110">
        <f t="shared" si="1"/>
        <v>1.0865162708333334</v>
      </c>
      <c r="H28" s="110">
        <f t="shared" si="2"/>
        <v>1.07</v>
      </c>
      <c r="I28" s="2455">
        <v>1.1589</v>
      </c>
      <c r="J28" s="2456"/>
    </row>
    <row r="29" spans="1:12" ht="17.100000000000001" customHeight="1">
      <c r="A29" s="108"/>
      <c r="B29" s="109">
        <v>100</v>
      </c>
      <c r="C29" s="105">
        <f>'อำนวยการ(Bridge)'!AN73</f>
        <v>3.77713375</v>
      </c>
      <c r="D29" s="105">
        <f>'ดอกเบี้ย(Bridge)'!G28</f>
        <v>0.83333333333333337</v>
      </c>
      <c r="E29" s="105">
        <f>'ดอกเบี้ย(Bridge)'!G75</f>
        <v>4</v>
      </c>
      <c r="F29" s="105">
        <f t="shared" si="0"/>
        <v>8.610467083333333</v>
      </c>
      <c r="G29" s="110">
        <f t="shared" si="1"/>
        <v>1.0861046708333333</v>
      </c>
      <c r="H29" s="110">
        <f t="shared" si="2"/>
        <v>1.07</v>
      </c>
      <c r="I29" s="2455">
        <v>1.1573</v>
      </c>
      <c r="J29" s="2456"/>
    </row>
    <row r="30" spans="1:12" ht="17.100000000000001" customHeight="1">
      <c r="A30" s="108"/>
      <c r="B30" s="109">
        <v>105</v>
      </c>
      <c r="C30" s="105">
        <f>'อำนวยการ(Bridge)'!AN74</f>
        <v>3.72876875</v>
      </c>
      <c r="D30" s="105">
        <f>'ดอกเบี้ย(Bridge)'!G29</f>
        <v>0.83333333333333337</v>
      </c>
      <c r="E30" s="105">
        <f>'ดอกเบี้ย(Bridge)'!G76</f>
        <v>3.5</v>
      </c>
      <c r="F30" s="105">
        <f t="shared" si="0"/>
        <v>8.0621020833333326</v>
      </c>
      <c r="G30" s="110">
        <f t="shared" si="1"/>
        <v>1.0806210208333333</v>
      </c>
      <c r="H30" s="110">
        <f t="shared" si="2"/>
        <v>1.07</v>
      </c>
      <c r="I30" s="2455">
        <v>1.1569</v>
      </c>
      <c r="J30" s="2456"/>
    </row>
    <row r="31" spans="1:12" ht="17.100000000000001" customHeight="1">
      <c r="A31" s="108"/>
      <c r="B31" s="109">
        <v>110</v>
      </c>
      <c r="C31" s="105">
        <f>'อำนวยการ(Bridge)'!AN75</f>
        <v>3.6165505681818182</v>
      </c>
      <c r="D31" s="105">
        <f>'ดอกเบี้ย(Bridge)'!G30</f>
        <v>0.83333333333333337</v>
      </c>
      <c r="E31" s="105">
        <f>'ดอกเบี้ย(Bridge)'!G77</f>
        <v>3.5</v>
      </c>
      <c r="F31" s="105">
        <f t="shared" si="0"/>
        <v>7.9498839015151512</v>
      </c>
      <c r="G31" s="110">
        <f t="shared" si="1"/>
        <v>1.0794988390151514</v>
      </c>
      <c r="H31" s="110">
        <f t="shared" si="2"/>
        <v>1.07</v>
      </c>
      <c r="I31" s="2455">
        <v>1.1556999999999999</v>
      </c>
      <c r="J31" s="2456"/>
    </row>
    <row r="32" spans="1:12" ht="17.100000000000001" customHeight="1">
      <c r="A32" s="108"/>
      <c r="B32" s="109">
        <v>115</v>
      </c>
      <c r="C32" s="105">
        <f>'อำนวยการ(Bridge)'!AN76</f>
        <v>3.5140904891304343</v>
      </c>
      <c r="D32" s="105">
        <f>'ดอกเบี้ย(Bridge)'!G31</f>
        <v>0.83333333333333337</v>
      </c>
      <c r="E32" s="105">
        <f>'ดอกเบี้ย(Bridge)'!G78</f>
        <v>3.5</v>
      </c>
      <c r="F32" s="105">
        <f t="shared" si="0"/>
        <v>7.8474238224637674</v>
      </c>
      <c r="G32" s="110">
        <f t="shared" si="1"/>
        <v>1.0784742382246377</v>
      </c>
      <c r="H32" s="110">
        <f t="shared" si="2"/>
        <v>1.07</v>
      </c>
      <c r="I32" s="2455">
        <v>1.1541999999999999</v>
      </c>
      <c r="J32" s="2456"/>
    </row>
    <row r="33" spans="1:10" ht="17.100000000000001" customHeight="1">
      <c r="A33" s="108"/>
      <c r="B33" s="109">
        <v>120</v>
      </c>
      <c r="C33" s="105">
        <f>'อำนวยการ(Bridge)'!AN77</f>
        <v>3.4201687499999998</v>
      </c>
      <c r="D33" s="105">
        <f>'ดอกเบี้ย(Bridge)'!G32</f>
        <v>0.83333333333333337</v>
      </c>
      <c r="E33" s="105">
        <f>'ดอกเบี้ย(Bridge)'!G79</f>
        <v>3.5</v>
      </c>
      <c r="F33" s="105">
        <f t="shared" si="0"/>
        <v>7.7535020833333332</v>
      </c>
      <c r="G33" s="110">
        <f t="shared" si="1"/>
        <v>1.0775350208333334</v>
      </c>
      <c r="H33" s="110">
        <f t="shared" si="2"/>
        <v>1.07</v>
      </c>
      <c r="I33" s="2455">
        <v>1.1528</v>
      </c>
      <c r="J33" s="2456"/>
    </row>
    <row r="34" spans="1:10" ht="17.100000000000001" customHeight="1">
      <c r="A34" s="108"/>
      <c r="B34" s="109">
        <v>125</v>
      </c>
      <c r="C34" s="105">
        <f>'อำนวยการ(Bridge)'!AN78</f>
        <v>3.3337607499999997</v>
      </c>
      <c r="D34" s="105">
        <f>'ดอกเบี้ย(Bridge)'!G33</f>
        <v>0.83333333333333337</v>
      </c>
      <c r="E34" s="105">
        <f>'ดอกเบี้ย(Bridge)'!G80</f>
        <v>3.5</v>
      </c>
      <c r="F34" s="105">
        <f t="shared" si="0"/>
        <v>7.6670940833333328</v>
      </c>
      <c r="G34" s="110">
        <f t="shared" si="1"/>
        <v>1.0766709408333333</v>
      </c>
      <c r="H34" s="110">
        <f t="shared" si="2"/>
        <v>1.07</v>
      </c>
      <c r="I34" s="2455">
        <v>1.1518999999999999</v>
      </c>
      <c r="J34" s="2456"/>
    </row>
    <row r="35" spans="1:10" ht="17.100000000000001" customHeight="1">
      <c r="A35" s="108"/>
      <c r="B35" s="109">
        <v>130</v>
      </c>
      <c r="C35" s="105">
        <f>'อำนวยการ(Bridge)'!AN79</f>
        <v>3.2539995192307689</v>
      </c>
      <c r="D35" s="105">
        <f>'ดอกเบี้ย(Bridge)'!G34</f>
        <v>0.83333333333333337</v>
      </c>
      <c r="E35" s="105">
        <f>'ดอกเบี้ย(Bridge)'!G81</f>
        <v>3.5</v>
      </c>
      <c r="F35" s="105">
        <f t="shared" si="0"/>
        <v>7.5873328525641019</v>
      </c>
      <c r="G35" s="110">
        <f t="shared" si="1"/>
        <v>1.075873328525641</v>
      </c>
      <c r="H35" s="110">
        <f t="shared" si="2"/>
        <v>1.07</v>
      </c>
      <c r="I35" s="2455">
        <v>1.1516</v>
      </c>
      <c r="J35" s="2456"/>
    </row>
    <row r="36" spans="1:10" ht="17.100000000000001" customHeight="1">
      <c r="A36" s="108"/>
      <c r="B36" s="109">
        <v>135</v>
      </c>
      <c r="C36" s="105">
        <f>'อำนวยการ(Bridge)'!AN80</f>
        <v>3.1801465277777776</v>
      </c>
      <c r="D36" s="105">
        <f>'ดอกเบี้ย(Bridge)'!G35</f>
        <v>0.83333333333333337</v>
      </c>
      <c r="E36" s="105">
        <f>'ดอกเบี้ย(Bridge)'!G82</f>
        <v>3.5</v>
      </c>
      <c r="F36" s="105">
        <f t="shared" si="0"/>
        <v>7.5134798611111107</v>
      </c>
      <c r="G36" s="110">
        <f t="shared" si="1"/>
        <v>1.0751347986111111</v>
      </c>
      <c r="H36" s="110">
        <f t="shared" si="2"/>
        <v>1.07</v>
      </c>
      <c r="I36" s="2455">
        <v>1.1505000000000001</v>
      </c>
      <c r="J36" s="2456"/>
    </row>
    <row r="37" spans="1:10" ht="17.100000000000001" customHeight="1">
      <c r="A37" s="108"/>
      <c r="B37" s="109">
        <v>140</v>
      </c>
      <c r="C37" s="105">
        <f>'อำนวยการ(Bridge)'!AN81</f>
        <v>3.11156875</v>
      </c>
      <c r="D37" s="105">
        <f>'ดอกเบี้ย(Bridge)'!G36</f>
        <v>0.83333333333333337</v>
      </c>
      <c r="E37" s="105">
        <f>'ดอกเบี้ย(Bridge)'!G83</f>
        <v>3.5</v>
      </c>
      <c r="F37" s="105">
        <f t="shared" si="0"/>
        <v>7.4449020833333339</v>
      </c>
      <c r="G37" s="110">
        <f t="shared" si="1"/>
        <v>1.0744490208333333</v>
      </c>
      <c r="H37" s="110">
        <f t="shared" si="2"/>
        <v>1.07</v>
      </c>
      <c r="I37" s="2455">
        <v>1.1494</v>
      </c>
      <c r="J37" s="2456"/>
    </row>
    <row r="38" spans="1:10" ht="17.100000000000001" customHeight="1">
      <c r="A38" s="108"/>
      <c r="B38" s="109">
        <v>145</v>
      </c>
      <c r="C38" s="105">
        <f>'อำนวยการ(Bridge)'!AN82</f>
        <v>3.0477204741379307</v>
      </c>
      <c r="D38" s="105">
        <f>'ดอกเบี้ย(Bridge)'!G37</f>
        <v>0.83333333333333337</v>
      </c>
      <c r="E38" s="105">
        <f>'ดอกเบี้ย(Bridge)'!G84</f>
        <v>3.5</v>
      </c>
      <c r="F38" s="105">
        <f t="shared" si="0"/>
        <v>7.3810538074712646</v>
      </c>
      <c r="G38" s="110">
        <f t="shared" si="1"/>
        <v>1.0738105380747127</v>
      </c>
      <c r="H38" s="110">
        <f t="shared" si="2"/>
        <v>1.07</v>
      </c>
      <c r="I38" s="2455">
        <v>1.1484000000000001</v>
      </c>
      <c r="J38" s="2456"/>
    </row>
    <row r="39" spans="1:10" ht="17.100000000000001" customHeight="1">
      <c r="A39" s="108"/>
      <c r="B39" s="109">
        <v>150</v>
      </c>
      <c r="C39" s="105">
        <f>'อำนวยการ(Bridge)'!AN83</f>
        <v>2.9881287499999996</v>
      </c>
      <c r="D39" s="105">
        <f>'ดอกเบี้ย(Bridge)'!G38</f>
        <v>0.83333333333333337</v>
      </c>
      <c r="E39" s="105">
        <f>'ดอกเบี้ย(Bridge)'!G85</f>
        <v>3.5</v>
      </c>
      <c r="F39" s="105">
        <f t="shared" si="0"/>
        <v>7.3214620833333335</v>
      </c>
      <c r="G39" s="110">
        <f t="shared" si="1"/>
        <v>1.0732146208333333</v>
      </c>
      <c r="H39" s="110">
        <f t="shared" si="2"/>
        <v>1.07</v>
      </c>
      <c r="I39" s="2455">
        <v>1.1475</v>
      </c>
      <c r="J39" s="2456"/>
    </row>
    <row r="40" spans="1:10" ht="17.100000000000001" customHeight="1">
      <c r="A40" s="108"/>
      <c r="B40" s="109">
        <v>155</v>
      </c>
      <c r="C40" s="105">
        <f>'อำนวยการ(Bridge)'!AN84</f>
        <v>2.9323816532258062</v>
      </c>
      <c r="D40" s="105">
        <f>'ดอกเบี้ย(Bridge)'!G39</f>
        <v>0.83333333333333337</v>
      </c>
      <c r="E40" s="105">
        <f>'ดอกเบี้ย(Bridge)'!G86</f>
        <v>3.5</v>
      </c>
      <c r="F40" s="105">
        <f t="shared" si="0"/>
        <v>7.2657149865591393</v>
      </c>
      <c r="G40" s="110">
        <f t="shared" si="1"/>
        <v>1.0726571498655915</v>
      </c>
      <c r="H40" s="110">
        <f t="shared" si="2"/>
        <v>1.07</v>
      </c>
      <c r="I40" s="2455">
        <v>1.1466000000000001</v>
      </c>
      <c r="J40" s="2456"/>
    </row>
    <row r="41" spans="1:10" ht="17.100000000000001" customHeight="1">
      <c r="A41" s="108"/>
      <c r="B41" s="109">
        <v>160</v>
      </c>
      <c r="C41" s="105">
        <f>'อำนวยการ(Bridge)'!AN85</f>
        <v>2.8801187500000003</v>
      </c>
      <c r="D41" s="105">
        <f>'ดอกเบี้ย(Bridge)'!G40</f>
        <v>0.83333333333333337</v>
      </c>
      <c r="E41" s="105">
        <f>'ดอกเบี้ย(Bridge)'!G87</f>
        <v>3.5</v>
      </c>
      <c r="F41" s="105">
        <f t="shared" si="0"/>
        <v>7.2134520833333333</v>
      </c>
      <c r="G41" s="110">
        <f t="shared" si="1"/>
        <v>1.0721345208333333</v>
      </c>
      <c r="H41" s="110">
        <f t="shared" si="2"/>
        <v>1.07</v>
      </c>
      <c r="I41" s="2455">
        <v>1.1457999999999999</v>
      </c>
      <c r="J41" s="2456"/>
    </row>
    <row r="42" spans="1:10" ht="17.100000000000001" customHeight="1">
      <c r="A42" s="108"/>
      <c r="B42" s="109">
        <v>165</v>
      </c>
      <c r="C42" s="105">
        <f>'อำนวยการ(Bridge)'!AN86</f>
        <v>2.8310232954545453</v>
      </c>
      <c r="D42" s="105">
        <f>'ดอกเบี้ย(Bridge)'!G41</f>
        <v>0.83333333333333337</v>
      </c>
      <c r="E42" s="105">
        <f>'ดอกเบี้ย(Bridge)'!G88</f>
        <v>3.5</v>
      </c>
      <c r="F42" s="105">
        <f t="shared" si="0"/>
        <v>7.1643566287878784</v>
      </c>
      <c r="G42" s="110">
        <f t="shared" si="1"/>
        <v>1.0716435662878787</v>
      </c>
      <c r="H42" s="110">
        <f t="shared" si="2"/>
        <v>1.07</v>
      </c>
      <c r="I42" s="2455">
        <v>1.145</v>
      </c>
      <c r="J42" s="2456"/>
    </row>
    <row r="43" spans="1:10" ht="17.100000000000001" customHeight="1">
      <c r="A43" s="108"/>
      <c r="B43" s="109">
        <v>170</v>
      </c>
      <c r="C43" s="105">
        <f>'อำนวยการ(Bridge)'!AN87</f>
        <v>2.7848158088235291</v>
      </c>
      <c r="D43" s="105">
        <f>'ดอกเบี้ย(Bridge)'!G42</f>
        <v>0.83333333333333337</v>
      </c>
      <c r="E43" s="105">
        <f>'ดอกเบี้ย(Bridge)'!G89</f>
        <v>3.5</v>
      </c>
      <c r="F43" s="105">
        <f t="shared" si="0"/>
        <v>7.118149142156863</v>
      </c>
      <c r="G43" s="110">
        <f t="shared" si="1"/>
        <v>1.0711814914215687</v>
      </c>
      <c r="H43" s="110">
        <f t="shared" si="2"/>
        <v>1.07</v>
      </c>
      <c r="I43" s="2455">
        <v>1.1443000000000001</v>
      </c>
      <c r="J43" s="2456"/>
    </row>
    <row r="44" spans="1:10" ht="17.100000000000001" customHeight="1">
      <c r="A44" s="108"/>
      <c r="B44" s="109">
        <v>175</v>
      </c>
      <c r="C44" s="105">
        <f>'อำนวยการ(Bridge)'!AN88</f>
        <v>2.7412487499999996</v>
      </c>
      <c r="D44" s="105">
        <f>'ดอกเบี้ย(Bridge)'!G43</f>
        <v>0.83333333333333337</v>
      </c>
      <c r="E44" s="105">
        <f>'ดอกเบี้ย(Bridge)'!G90</f>
        <v>3.5</v>
      </c>
      <c r="F44" s="105">
        <f t="shared" si="0"/>
        <v>7.0745820833333326</v>
      </c>
      <c r="G44" s="110">
        <f t="shared" si="1"/>
        <v>1.0707458208333334</v>
      </c>
      <c r="H44" s="110">
        <f t="shared" si="2"/>
        <v>1.07</v>
      </c>
      <c r="I44" s="2455">
        <v>1.1435999999999999</v>
      </c>
      <c r="J44" s="2456"/>
    </row>
    <row r="45" spans="1:10" ht="17.100000000000001" customHeight="1">
      <c r="A45" s="108"/>
      <c r="B45" s="109">
        <v>180</v>
      </c>
      <c r="C45" s="105">
        <f>'อำนวยการ(Bridge)'!AN89</f>
        <v>2.7001020833333333</v>
      </c>
      <c r="D45" s="105">
        <f>'ดอกเบี้ย(Bridge)'!G44</f>
        <v>0.83333333333333337</v>
      </c>
      <c r="E45" s="105">
        <f>'ดอกเบี้ย(Bridge)'!G91</f>
        <v>3.5</v>
      </c>
      <c r="F45" s="105">
        <f>(C45+D45+E45)</f>
        <v>7.0334354166666664</v>
      </c>
      <c r="G45" s="110">
        <f t="shared" si="1"/>
        <v>1.0703343541666666</v>
      </c>
      <c r="H45" s="110">
        <f t="shared" si="2"/>
        <v>1.07</v>
      </c>
      <c r="I45" s="2455">
        <v>1.143</v>
      </c>
      <c r="J45" s="2456"/>
    </row>
    <row r="46" spans="1:10" ht="16.5" customHeight="1">
      <c r="A46" s="108"/>
      <c r="B46" s="109">
        <v>185</v>
      </c>
      <c r="C46" s="105">
        <f>'อำนวยการ(Bridge)'!AN90</f>
        <v>2.6611795608108109</v>
      </c>
      <c r="D46" s="105">
        <f>'ดอกเบี้ย(Bridge)'!G45</f>
        <v>0.83333333333333337</v>
      </c>
      <c r="E46" s="105">
        <f>'ดอกเบี้ย(Bridge)'!G92</f>
        <v>3.5</v>
      </c>
      <c r="F46" s="105">
        <f>(C46+D46+E46)</f>
        <v>6.9945128941441439</v>
      </c>
      <c r="G46" s="110">
        <f t="shared" si="1"/>
        <v>1.0699451289414414</v>
      </c>
      <c r="H46" s="110">
        <f t="shared" si="2"/>
        <v>1.07</v>
      </c>
      <c r="I46" s="2455">
        <v>1.1423000000000001</v>
      </c>
      <c r="J46" s="2456"/>
    </row>
    <row r="47" spans="1:10" ht="16.5" customHeight="1">
      <c r="A47" s="108"/>
      <c r="B47" s="109">
        <v>190</v>
      </c>
      <c r="C47" s="105">
        <f>'อำนวยการ(Bridge)'!AN91</f>
        <v>2.6243055921052632</v>
      </c>
      <c r="D47" s="105">
        <f>'ดอกเบี้ย(Bridge)'!G46</f>
        <v>0.83333333333333337</v>
      </c>
      <c r="E47" s="105">
        <f>'ดอกเบี้ย(Bridge)'!G93</f>
        <v>3.5</v>
      </c>
      <c r="F47" s="105">
        <f>(C47+D47+E47)</f>
        <v>6.9576389254385962</v>
      </c>
      <c r="G47" s="110">
        <f>1+(F47/100)</f>
        <v>1.0695763892543859</v>
      </c>
      <c r="H47" s="110">
        <f>1+($I$4/100)</f>
        <v>1.07</v>
      </c>
      <c r="I47" s="2455">
        <v>1.1417999999999999</v>
      </c>
      <c r="J47" s="2456"/>
    </row>
    <row r="48" spans="1:10" ht="17.25" customHeight="1">
      <c r="A48" s="108"/>
      <c r="B48" s="109">
        <v>195</v>
      </c>
      <c r="C48" s="105">
        <f>'อำนวยการ(Bridge)'!AN92</f>
        <v>2.589322596153846</v>
      </c>
      <c r="D48" s="105">
        <f>'ดอกเบี้ย(Bridge)'!G47</f>
        <v>0.83333333333333337</v>
      </c>
      <c r="E48" s="105">
        <f>'ดอกเบี้ย(Bridge)'!G94</f>
        <v>3.5</v>
      </c>
      <c r="F48" s="105">
        <f>(C48+D48+E48)</f>
        <v>6.9226559294871794</v>
      </c>
      <c r="G48" s="110">
        <f>1+(F48/100)</f>
        <v>1.0692265592948718</v>
      </c>
      <c r="H48" s="110">
        <f>1+($I$4/100)</f>
        <v>1.07</v>
      </c>
      <c r="I48" s="2455">
        <v>1.1413</v>
      </c>
      <c r="J48" s="2456"/>
    </row>
    <row r="49" spans="1:10" ht="16.5" customHeight="1">
      <c r="A49" s="111" t="s">
        <v>511</v>
      </c>
      <c r="B49" s="112">
        <v>200</v>
      </c>
      <c r="C49" s="113">
        <f>'อำนวยการ(Bridge)'!AN93</f>
        <v>2.5560887499999998</v>
      </c>
      <c r="D49" s="114">
        <f>'ดอกเบี้ย(Bridge)'!G48</f>
        <v>0.83333333333333337</v>
      </c>
      <c r="E49" s="113">
        <f>'ดอกเบี้ย(Bridge)'!G95</f>
        <v>3.5</v>
      </c>
      <c r="F49" s="114">
        <f>(C49+D49+E49)</f>
        <v>6.8894220833333328</v>
      </c>
      <c r="G49" s="113">
        <f>1+(F49/100)</f>
        <v>1.0688942208333334</v>
      </c>
      <c r="H49" s="113">
        <f>1+($I$4/100)</f>
        <v>1.07</v>
      </c>
      <c r="I49" s="2476">
        <v>1.1407</v>
      </c>
      <c r="J49" s="2477"/>
    </row>
    <row r="50" spans="1:10" ht="16.5" customHeight="1">
      <c r="A50" s="274" t="s">
        <v>1045</v>
      </c>
      <c r="B50" s="115"/>
      <c r="C50" s="116"/>
      <c r="D50" s="116"/>
      <c r="E50" s="116"/>
      <c r="F50" s="116"/>
      <c r="G50" s="116"/>
      <c r="H50" s="116"/>
      <c r="I50" s="2478" t="s">
        <v>1737</v>
      </c>
      <c r="J50" s="2478"/>
    </row>
    <row r="51" spans="1:10" ht="21.75" hidden="1" customHeight="1">
      <c r="A51" s="2336" t="s">
        <v>1047</v>
      </c>
      <c r="B51" s="2336"/>
      <c r="C51" s="2336"/>
      <c r="D51" s="2336"/>
      <c r="E51" s="2336"/>
      <c r="F51" s="2336"/>
      <c r="G51" s="2336"/>
      <c r="H51" s="2336"/>
      <c r="I51" s="2336"/>
      <c r="J51" s="2336"/>
    </row>
    <row r="52" spans="1:10" ht="24" hidden="1" customHeight="1">
      <c r="A52" s="2457" t="s">
        <v>1048</v>
      </c>
      <c r="B52" s="2457"/>
      <c r="C52" s="2457"/>
      <c r="D52" s="2457"/>
      <c r="E52" s="2457"/>
      <c r="F52" s="2457"/>
      <c r="G52" s="2457"/>
      <c r="H52" s="2457"/>
      <c r="I52" s="2457"/>
      <c r="J52" s="2457"/>
    </row>
    <row r="53" spans="1:10" ht="18" hidden="1" customHeight="1">
      <c r="A53" s="156"/>
      <c r="B53" s="92" t="s">
        <v>493</v>
      </c>
      <c r="C53" s="92"/>
      <c r="D53" s="92">
        <v>15</v>
      </c>
      <c r="E53" s="93" t="s">
        <v>494</v>
      </c>
      <c r="F53" s="92" t="s">
        <v>495</v>
      </c>
      <c r="G53" s="94"/>
      <c r="H53" s="92"/>
      <c r="I53" s="92">
        <f>I3</f>
        <v>5</v>
      </c>
      <c r="J53" s="93" t="s">
        <v>496</v>
      </c>
    </row>
    <row r="54" spans="1:10" ht="18" hidden="1" customHeight="1">
      <c r="A54" s="153"/>
      <c r="B54" s="92" t="s">
        <v>497</v>
      </c>
      <c r="C54" s="92"/>
      <c r="D54" s="92">
        <f>D4</f>
        <v>0</v>
      </c>
      <c r="E54" s="93" t="s">
        <v>494</v>
      </c>
      <c r="F54" s="96" t="s">
        <v>498</v>
      </c>
      <c r="G54" s="92"/>
      <c r="H54" s="92"/>
      <c r="I54" s="92">
        <v>0</v>
      </c>
      <c r="J54" s="97" t="s">
        <v>496</v>
      </c>
    </row>
    <row r="55" spans="1:10" ht="8.25" hidden="1" customHeight="1"/>
    <row r="56" spans="1:10" ht="16.5" hidden="1" customHeight="1">
      <c r="A56" s="2458" t="s">
        <v>499</v>
      </c>
      <c r="B56" s="2459"/>
      <c r="C56" s="2458" t="s">
        <v>500</v>
      </c>
      <c r="D56" s="2460"/>
      <c r="E56" s="2460"/>
      <c r="F56" s="2459"/>
      <c r="G56" s="98" t="s">
        <v>186</v>
      </c>
      <c r="H56" s="98" t="s">
        <v>501</v>
      </c>
      <c r="I56" s="2458"/>
      <c r="J56" s="2459"/>
    </row>
    <row r="57" spans="1:10" ht="16.5" hidden="1" customHeight="1">
      <c r="A57" s="2461" t="s">
        <v>502</v>
      </c>
      <c r="B57" s="2462"/>
      <c r="C57" s="2463" t="s">
        <v>494</v>
      </c>
      <c r="D57" s="2464"/>
      <c r="E57" s="2464"/>
      <c r="F57" s="2465"/>
      <c r="G57" s="99" t="s">
        <v>503</v>
      </c>
      <c r="H57" s="100"/>
      <c r="I57" s="2466" t="s">
        <v>206</v>
      </c>
      <c r="J57" s="2467"/>
    </row>
    <row r="58" spans="1:10" ht="16.5" hidden="1" customHeight="1">
      <c r="A58" s="272"/>
      <c r="B58" s="273"/>
      <c r="C58" s="98" t="s">
        <v>90</v>
      </c>
      <c r="D58" s="98" t="s">
        <v>90</v>
      </c>
      <c r="E58" s="98" t="s">
        <v>90</v>
      </c>
      <c r="F58" s="98" t="s">
        <v>186</v>
      </c>
      <c r="G58" s="99" t="s">
        <v>392</v>
      </c>
      <c r="H58" s="99" t="s">
        <v>504</v>
      </c>
      <c r="I58" s="2472"/>
      <c r="J58" s="2473"/>
    </row>
    <row r="59" spans="1:10" ht="16.5" hidden="1" customHeight="1">
      <c r="A59" s="2463" t="s">
        <v>505</v>
      </c>
      <c r="B59" s="2465"/>
      <c r="C59" s="101" t="s">
        <v>506</v>
      </c>
      <c r="D59" s="101" t="s">
        <v>507</v>
      </c>
      <c r="E59" s="101" t="s">
        <v>508</v>
      </c>
      <c r="F59" s="99" t="s">
        <v>509</v>
      </c>
      <c r="G59" s="99"/>
      <c r="H59" s="102"/>
      <c r="I59" s="2461"/>
      <c r="J59" s="2462"/>
    </row>
    <row r="60" spans="1:10" ht="16.5" hidden="1" customHeight="1">
      <c r="A60" s="103" t="s">
        <v>510</v>
      </c>
      <c r="B60" s="104">
        <f t="shared" ref="B60:G75" si="3">B10</f>
        <v>5</v>
      </c>
      <c r="C60" s="105">
        <f t="shared" si="3"/>
        <v>10.2393</v>
      </c>
      <c r="D60" s="105">
        <f t="shared" si="3"/>
        <v>0.83333333333333337</v>
      </c>
      <c r="E60" s="105">
        <f t="shared" si="3"/>
        <v>5.5</v>
      </c>
      <c r="F60" s="106">
        <f t="shared" si="3"/>
        <v>16.572633333333336</v>
      </c>
      <c r="G60" s="107">
        <f t="shared" si="3"/>
        <v>1.1657263333333334</v>
      </c>
      <c r="H60" s="107">
        <f>$I$54+1</f>
        <v>1</v>
      </c>
      <c r="I60" s="2479">
        <f>(G60*H60)</f>
        <v>1.1657263333333334</v>
      </c>
      <c r="J60" s="2480"/>
    </row>
    <row r="61" spans="1:10" ht="16.5" hidden="1" customHeight="1">
      <c r="A61" s="108"/>
      <c r="B61" s="109">
        <f t="shared" si="3"/>
        <v>10</v>
      </c>
      <c r="C61" s="105">
        <f t="shared" si="3"/>
        <v>7.9533500000000004</v>
      </c>
      <c r="D61" s="105">
        <f t="shared" si="3"/>
        <v>0.83333333333333337</v>
      </c>
      <c r="E61" s="105">
        <f t="shared" si="3"/>
        <v>5.5</v>
      </c>
      <c r="F61" s="105">
        <f t="shared" si="3"/>
        <v>14.286683333333334</v>
      </c>
      <c r="G61" s="110">
        <f t="shared" si="3"/>
        <v>1.1428668333333334</v>
      </c>
      <c r="H61" s="110">
        <f>$I$54+1</f>
        <v>1</v>
      </c>
      <c r="I61" s="2474">
        <f t="shared" ref="I61:I99" si="4">(G61*H61)</f>
        <v>1.1428668333333334</v>
      </c>
      <c r="J61" s="2475"/>
    </row>
    <row r="62" spans="1:10" ht="16.5" hidden="1" customHeight="1">
      <c r="A62" s="108"/>
      <c r="B62" s="109">
        <v>15</v>
      </c>
      <c r="C62" s="105">
        <f t="shared" si="3"/>
        <v>7.8041999999999998</v>
      </c>
      <c r="D62" s="105">
        <f t="shared" si="3"/>
        <v>0.83333333333333337</v>
      </c>
      <c r="E62" s="105">
        <f t="shared" si="3"/>
        <v>5.5</v>
      </c>
      <c r="F62" s="105">
        <f t="shared" si="3"/>
        <v>14.137533333333334</v>
      </c>
      <c r="G62" s="110">
        <f t="shared" si="3"/>
        <v>1.1413753333333334</v>
      </c>
      <c r="H62" s="110">
        <f t="shared" ref="H62:H99" si="5">$I$54+1</f>
        <v>1</v>
      </c>
      <c r="I62" s="2474">
        <f t="shared" si="4"/>
        <v>1.1413753333333334</v>
      </c>
      <c r="J62" s="2475"/>
    </row>
    <row r="63" spans="1:10" ht="16.5" hidden="1" customHeight="1">
      <c r="A63" s="108"/>
      <c r="B63" s="109">
        <v>20</v>
      </c>
      <c r="C63" s="105">
        <f t="shared" si="3"/>
        <v>7.5434999999999999</v>
      </c>
      <c r="D63" s="105">
        <f t="shared" si="3"/>
        <v>0.83333333333333337</v>
      </c>
      <c r="E63" s="105">
        <f t="shared" si="3"/>
        <v>5.5</v>
      </c>
      <c r="F63" s="105">
        <f t="shared" si="3"/>
        <v>13.876833333333334</v>
      </c>
      <c r="G63" s="110">
        <f t="shared" si="3"/>
        <v>1.1387683333333334</v>
      </c>
      <c r="H63" s="110">
        <f t="shared" si="5"/>
        <v>1</v>
      </c>
      <c r="I63" s="2474">
        <f t="shared" si="4"/>
        <v>1.1387683333333334</v>
      </c>
      <c r="J63" s="2475"/>
    </row>
    <row r="64" spans="1:10" ht="16.5" hidden="1" customHeight="1">
      <c r="A64" s="108"/>
      <c r="B64" s="109">
        <v>25</v>
      </c>
      <c r="C64" s="105">
        <f t="shared" si="3"/>
        <v>6.3526499999999997</v>
      </c>
      <c r="D64" s="105">
        <f t="shared" si="3"/>
        <v>0.83333333333333337</v>
      </c>
      <c r="E64" s="105">
        <f t="shared" si="3"/>
        <v>5.5</v>
      </c>
      <c r="F64" s="105">
        <f t="shared" si="3"/>
        <v>12.685983333333333</v>
      </c>
      <c r="G64" s="110">
        <f t="shared" si="3"/>
        <v>1.1268598333333333</v>
      </c>
      <c r="H64" s="110">
        <f t="shared" si="5"/>
        <v>1</v>
      </c>
      <c r="I64" s="2474">
        <f t="shared" si="4"/>
        <v>1.1268598333333333</v>
      </c>
      <c r="J64" s="2475"/>
    </row>
    <row r="65" spans="1:10" ht="16.5" hidden="1" customHeight="1">
      <c r="A65" s="108"/>
      <c r="B65" s="109">
        <v>30</v>
      </c>
      <c r="C65" s="105">
        <f t="shared" si="3"/>
        <v>6.4889000000000001</v>
      </c>
      <c r="D65" s="105">
        <f t="shared" si="3"/>
        <v>0.83333333333333337</v>
      </c>
      <c r="E65" s="105">
        <f t="shared" si="3"/>
        <v>5</v>
      </c>
      <c r="F65" s="105">
        <f t="shared" si="3"/>
        <v>12.322233333333333</v>
      </c>
      <c r="G65" s="110">
        <f t="shared" si="3"/>
        <v>1.1232223333333333</v>
      </c>
      <c r="H65" s="110">
        <f t="shared" si="5"/>
        <v>1</v>
      </c>
      <c r="I65" s="2474">
        <f t="shared" si="4"/>
        <v>1.1232223333333333</v>
      </c>
      <c r="J65" s="2475"/>
    </row>
    <row r="66" spans="1:10" ht="16.5" hidden="1" customHeight="1">
      <c r="A66" s="108"/>
      <c r="B66" s="109">
        <v>35</v>
      </c>
      <c r="C66" s="105">
        <f t="shared" si="3"/>
        <v>6.0806007518344751</v>
      </c>
      <c r="D66" s="105">
        <f t="shared" si="3"/>
        <v>0.83333333333333337</v>
      </c>
      <c r="E66" s="105">
        <f t="shared" si="3"/>
        <v>5</v>
      </c>
      <c r="F66" s="105">
        <f t="shared" si="3"/>
        <v>11.913934085167808</v>
      </c>
      <c r="G66" s="110">
        <f t="shared" si="3"/>
        <v>1.1191393408516781</v>
      </c>
      <c r="H66" s="110">
        <f t="shared" si="5"/>
        <v>1</v>
      </c>
      <c r="I66" s="2474">
        <f t="shared" si="4"/>
        <v>1.1191393408516781</v>
      </c>
      <c r="J66" s="2475"/>
    </row>
    <row r="67" spans="1:10" ht="16.5" hidden="1" customHeight="1">
      <c r="A67" s="108"/>
      <c r="B67" s="109">
        <v>40</v>
      </c>
      <c r="C67" s="105">
        <f t="shared" si="3"/>
        <v>5.5419866690352118</v>
      </c>
      <c r="D67" s="105">
        <f t="shared" si="3"/>
        <v>0.83333333333333337</v>
      </c>
      <c r="E67" s="105">
        <f t="shared" si="3"/>
        <v>5</v>
      </c>
      <c r="F67" s="105">
        <f t="shared" si="3"/>
        <v>11.375320002368545</v>
      </c>
      <c r="G67" s="110">
        <f t="shared" si="3"/>
        <v>1.1137532000236854</v>
      </c>
      <c r="H67" s="110">
        <f t="shared" si="5"/>
        <v>1</v>
      </c>
      <c r="I67" s="2474">
        <f t="shared" si="4"/>
        <v>1.1137532000236854</v>
      </c>
      <c r="J67" s="2475"/>
    </row>
    <row r="68" spans="1:10" ht="16.5" hidden="1" customHeight="1">
      <c r="A68" s="108"/>
      <c r="B68" s="109">
        <v>45</v>
      </c>
      <c r="C68" s="105">
        <f t="shared" si="3"/>
        <v>5.1229388888888883</v>
      </c>
      <c r="D68" s="105">
        <f t="shared" si="3"/>
        <v>0.83333333333333337</v>
      </c>
      <c r="E68" s="105">
        <f t="shared" si="3"/>
        <v>4.5</v>
      </c>
      <c r="F68" s="105">
        <f t="shared" si="3"/>
        <v>10.456272222222221</v>
      </c>
      <c r="G68" s="110">
        <f t="shared" si="3"/>
        <v>1.1045627222222223</v>
      </c>
      <c r="H68" s="110">
        <f t="shared" si="5"/>
        <v>1</v>
      </c>
      <c r="I68" s="2474">
        <f t="shared" si="4"/>
        <v>1.1045627222222223</v>
      </c>
      <c r="J68" s="2475"/>
    </row>
    <row r="69" spans="1:10" ht="16.5" hidden="1" customHeight="1">
      <c r="A69" s="108"/>
      <c r="B69" s="109">
        <v>50</v>
      </c>
      <c r="C69" s="105">
        <f t="shared" si="3"/>
        <v>4.7877078678792468</v>
      </c>
      <c r="D69" s="105">
        <f t="shared" si="3"/>
        <v>0.83333333333333337</v>
      </c>
      <c r="E69" s="105">
        <f t="shared" si="3"/>
        <v>4.5</v>
      </c>
      <c r="F69" s="105">
        <f t="shared" si="3"/>
        <v>10.121041201212581</v>
      </c>
      <c r="G69" s="110">
        <f t="shared" si="3"/>
        <v>1.1012104120121258</v>
      </c>
      <c r="H69" s="110">
        <f t="shared" si="5"/>
        <v>1</v>
      </c>
      <c r="I69" s="2474">
        <f t="shared" si="4"/>
        <v>1.1012104120121258</v>
      </c>
      <c r="J69" s="2475"/>
    </row>
    <row r="70" spans="1:10" ht="16.5" hidden="1" customHeight="1">
      <c r="A70" s="108"/>
      <c r="B70" s="109">
        <v>55</v>
      </c>
      <c r="C70" s="105">
        <f t="shared" si="3"/>
        <v>4.0596573863636367</v>
      </c>
      <c r="D70" s="105">
        <f t="shared" si="3"/>
        <v>0.83333333333333337</v>
      </c>
      <c r="E70" s="105">
        <f t="shared" si="3"/>
        <v>4.5</v>
      </c>
      <c r="F70" s="105">
        <f t="shared" si="3"/>
        <v>9.3929907196969697</v>
      </c>
      <c r="G70" s="110">
        <f t="shared" si="3"/>
        <v>1.0939299071969697</v>
      </c>
      <c r="H70" s="110">
        <f t="shared" si="5"/>
        <v>1</v>
      </c>
      <c r="I70" s="2474">
        <f t="shared" si="4"/>
        <v>1.0939299071969697</v>
      </c>
      <c r="J70" s="2475"/>
    </row>
    <row r="71" spans="1:10" ht="16.5" hidden="1" customHeight="1">
      <c r="A71" s="108"/>
      <c r="B71" s="109">
        <v>60</v>
      </c>
      <c r="C71" s="105">
        <f t="shared" si="3"/>
        <v>3.9593604166666667</v>
      </c>
      <c r="D71" s="105">
        <f t="shared" si="3"/>
        <v>0.83333333333333337</v>
      </c>
      <c r="E71" s="105">
        <f t="shared" si="3"/>
        <v>4.5</v>
      </c>
      <c r="F71" s="105">
        <f t="shared" si="3"/>
        <v>9.2926937499999998</v>
      </c>
      <c r="G71" s="110">
        <f t="shared" si="3"/>
        <v>1.0929269374999999</v>
      </c>
      <c r="H71" s="110">
        <f t="shared" si="5"/>
        <v>1</v>
      </c>
      <c r="I71" s="2474">
        <f t="shared" si="4"/>
        <v>1.0929269374999999</v>
      </c>
      <c r="J71" s="2475"/>
    </row>
    <row r="72" spans="1:10" ht="16.5" hidden="1" customHeight="1">
      <c r="A72" s="108"/>
      <c r="B72" s="109">
        <v>65</v>
      </c>
      <c r="C72" s="105">
        <f t="shared" si="3"/>
        <v>4.1982322115384614</v>
      </c>
      <c r="D72" s="105">
        <f t="shared" si="3"/>
        <v>0.83333333333333337</v>
      </c>
      <c r="E72" s="105">
        <f t="shared" si="3"/>
        <v>4</v>
      </c>
      <c r="F72" s="105">
        <f t="shared" si="3"/>
        <v>9.0315655448717944</v>
      </c>
      <c r="G72" s="110">
        <f t="shared" si="3"/>
        <v>1.0903156554487179</v>
      </c>
      <c r="H72" s="110">
        <f t="shared" si="5"/>
        <v>1</v>
      </c>
      <c r="I72" s="2474">
        <f t="shared" si="4"/>
        <v>1.0903156554487179</v>
      </c>
      <c r="J72" s="2475"/>
    </row>
    <row r="73" spans="1:10" ht="16.5" hidden="1" customHeight="1">
      <c r="A73" s="108"/>
      <c r="B73" s="109">
        <v>70</v>
      </c>
      <c r="C73" s="105">
        <f t="shared" si="3"/>
        <v>4.1122937500000001</v>
      </c>
      <c r="D73" s="105">
        <f t="shared" si="3"/>
        <v>0.83333333333333337</v>
      </c>
      <c r="E73" s="105">
        <f t="shared" si="3"/>
        <v>4</v>
      </c>
      <c r="F73" s="105">
        <f t="shared" si="3"/>
        <v>8.9456270833333331</v>
      </c>
      <c r="G73" s="110">
        <f t="shared" si="3"/>
        <v>1.0894562708333333</v>
      </c>
      <c r="H73" s="110">
        <f t="shared" si="5"/>
        <v>1</v>
      </c>
      <c r="I73" s="2474">
        <f t="shared" si="4"/>
        <v>1.0894562708333333</v>
      </c>
      <c r="J73" s="2475"/>
    </row>
    <row r="74" spans="1:10" ht="16.5" hidden="1" customHeight="1">
      <c r="A74" s="108"/>
      <c r="B74" s="109">
        <v>75</v>
      </c>
      <c r="C74" s="105">
        <f t="shared" si="3"/>
        <v>4.0378137499999998</v>
      </c>
      <c r="D74" s="105">
        <f t="shared" si="3"/>
        <v>0.83333333333333337</v>
      </c>
      <c r="E74" s="105">
        <f t="shared" si="3"/>
        <v>4</v>
      </c>
      <c r="F74" s="105">
        <f t="shared" si="3"/>
        <v>8.8711470833333337</v>
      </c>
      <c r="G74" s="110">
        <f t="shared" si="3"/>
        <v>1.0887114708333334</v>
      </c>
      <c r="H74" s="110">
        <f t="shared" si="5"/>
        <v>1</v>
      </c>
      <c r="I74" s="2474">
        <f t="shared" si="4"/>
        <v>1.0887114708333334</v>
      </c>
      <c r="J74" s="2475"/>
    </row>
    <row r="75" spans="1:10" ht="16.5" hidden="1" customHeight="1">
      <c r="A75" s="108"/>
      <c r="B75" s="109">
        <v>80</v>
      </c>
      <c r="C75" s="105">
        <f t="shared" si="3"/>
        <v>3.97264375</v>
      </c>
      <c r="D75" s="105">
        <f t="shared" si="3"/>
        <v>0.83333333333333337</v>
      </c>
      <c r="E75" s="105">
        <f t="shared" si="3"/>
        <v>4</v>
      </c>
      <c r="F75" s="105">
        <f t="shared" si="3"/>
        <v>8.8059770833333335</v>
      </c>
      <c r="G75" s="110">
        <f t="shared" si="3"/>
        <v>1.0880597708333333</v>
      </c>
      <c r="H75" s="110">
        <f t="shared" si="5"/>
        <v>1</v>
      </c>
      <c r="I75" s="2474">
        <f t="shared" si="4"/>
        <v>1.0880597708333333</v>
      </c>
      <c r="J75" s="2475"/>
    </row>
    <row r="76" spans="1:10" ht="16.5" hidden="1" customHeight="1">
      <c r="A76" s="108"/>
      <c r="B76" s="109">
        <v>85</v>
      </c>
      <c r="C76" s="105">
        <f t="shared" ref="C76:G91" si="6">C26</f>
        <v>3.9151408088235291</v>
      </c>
      <c r="D76" s="105">
        <f t="shared" si="6"/>
        <v>0.83333333333333337</v>
      </c>
      <c r="E76" s="105">
        <f t="shared" si="6"/>
        <v>4</v>
      </c>
      <c r="F76" s="105">
        <f t="shared" si="6"/>
        <v>8.7484741421568621</v>
      </c>
      <c r="G76" s="110">
        <f t="shared" si="6"/>
        <v>1.0874847414215687</v>
      </c>
      <c r="H76" s="110">
        <f t="shared" si="5"/>
        <v>1</v>
      </c>
      <c r="I76" s="2474">
        <f t="shared" si="4"/>
        <v>1.0874847414215687</v>
      </c>
      <c r="J76" s="2475"/>
    </row>
    <row r="77" spans="1:10" ht="16.5" hidden="1" customHeight="1">
      <c r="A77" s="108"/>
      <c r="B77" s="109">
        <v>90</v>
      </c>
      <c r="C77" s="105">
        <f t="shared" si="6"/>
        <v>3.8640270833333332</v>
      </c>
      <c r="D77" s="105">
        <f t="shared" si="6"/>
        <v>0.83333333333333337</v>
      </c>
      <c r="E77" s="105">
        <f t="shared" si="6"/>
        <v>4</v>
      </c>
      <c r="F77" s="105">
        <f t="shared" si="6"/>
        <v>8.6973604166666654</v>
      </c>
      <c r="G77" s="110">
        <f t="shared" si="6"/>
        <v>1.0869736041666667</v>
      </c>
      <c r="H77" s="110">
        <f t="shared" si="5"/>
        <v>1</v>
      </c>
      <c r="I77" s="2474">
        <f t="shared" si="4"/>
        <v>1.0869736041666667</v>
      </c>
      <c r="J77" s="2475"/>
    </row>
    <row r="78" spans="1:10" ht="16.5" hidden="1" customHeight="1">
      <c r="A78" s="108"/>
      <c r="B78" s="109">
        <v>95</v>
      </c>
      <c r="C78" s="105">
        <f t="shared" si="6"/>
        <v>3.81829375</v>
      </c>
      <c r="D78" s="105">
        <f t="shared" si="6"/>
        <v>0.83333333333333337</v>
      </c>
      <c r="E78" s="105">
        <f t="shared" si="6"/>
        <v>4</v>
      </c>
      <c r="F78" s="105">
        <f t="shared" si="6"/>
        <v>8.6516270833333344</v>
      </c>
      <c r="G78" s="110">
        <f t="shared" si="6"/>
        <v>1.0865162708333334</v>
      </c>
      <c r="H78" s="110">
        <f t="shared" si="5"/>
        <v>1</v>
      </c>
      <c r="I78" s="2474">
        <f t="shared" si="4"/>
        <v>1.0865162708333334</v>
      </c>
      <c r="J78" s="2475"/>
    </row>
    <row r="79" spans="1:10" ht="16.5" hidden="1" customHeight="1">
      <c r="A79" s="108"/>
      <c r="B79" s="109">
        <v>100</v>
      </c>
      <c r="C79" s="105">
        <f t="shared" si="6"/>
        <v>3.77713375</v>
      </c>
      <c r="D79" s="105">
        <f t="shared" si="6"/>
        <v>0.83333333333333337</v>
      </c>
      <c r="E79" s="105">
        <f t="shared" si="6"/>
        <v>4</v>
      </c>
      <c r="F79" s="105">
        <f t="shared" si="6"/>
        <v>8.610467083333333</v>
      </c>
      <c r="G79" s="110">
        <f t="shared" si="6"/>
        <v>1.0861046708333333</v>
      </c>
      <c r="H79" s="110">
        <f t="shared" si="5"/>
        <v>1</v>
      </c>
      <c r="I79" s="2474">
        <f t="shared" si="4"/>
        <v>1.0861046708333333</v>
      </c>
      <c r="J79" s="2475"/>
    </row>
    <row r="80" spans="1:10" ht="16.5" hidden="1" customHeight="1">
      <c r="A80" s="108"/>
      <c r="B80" s="109">
        <v>105</v>
      </c>
      <c r="C80" s="105">
        <f t="shared" si="6"/>
        <v>3.72876875</v>
      </c>
      <c r="D80" s="105">
        <f t="shared" si="6"/>
        <v>0.83333333333333337</v>
      </c>
      <c r="E80" s="105">
        <f t="shared" si="6"/>
        <v>3.5</v>
      </c>
      <c r="F80" s="105">
        <f t="shared" si="6"/>
        <v>8.0621020833333326</v>
      </c>
      <c r="G80" s="110">
        <f t="shared" si="6"/>
        <v>1.0806210208333333</v>
      </c>
      <c r="H80" s="110">
        <f t="shared" si="5"/>
        <v>1</v>
      </c>
      <c r="I80" s="2474">
        <f t="shared" si="4"/>
        <v>1.0806210208333333</v>
      </c>
      <c r="J80" s="2475"/>
    </row>
    <row r="81" spans="1:10" ht="16.5" hidden="1" customHeight="1">
      <c r="A81" s="108"/>
      <c r="B81" s="109">
        <v>110</v>
      </c>
      <c r="C81" s="105">
        <f t="shared" si="6"/>
        <v>3.6165505681818182</v>
      </c>
      <c r="D81" s="105">
        <f t="shared" si="6"/>
        <v>0.83333333333333337</v>
      </c>
      <c r="E81" s="105">
        <f t="shared" si="6"/>
        <v>3.5</v>
      </c>
      <c r="F81" s="105">
        <f t="shared" si="6"/>
        <v>7.9498839015151512</v>
      </c>
      <c r="G81" s="110">
        <f t="shared" si="6"/>
        <v>1.0794988390151514</v>
      </c>
      <c r="H81" s="110">
        <f t="shared" si="5"/>
        <v>1</v>
      </c>
      <c r="I81" s="2474">
        <f t="shared" si="4"/>
        <v>1.0794988390151514</v>
      </c>
      <c r="J81" s="2475"/>
    </row>
    <row r="82" spans="1:10" ht="16.5" hidden="1" customHeight="1">
      <c r="A82" s="108"/>
      <c r="B82" s="109">
        <v>115</v>
      </c>
      <c r="C82" s="105">
        <f t="shared" si="6"/>
        <v>3.5140904891304343</v>
      </c>
      <c r="D82" s="105">
        <f t="shared" si="6"/>
        <v>0.83333333333333337</v>
      </c>
      <c r="E82" s="105">
        <f t="shared" si="6"/>
        <v>3.5</v>
      </c>
      <c r="F82" s="105">
        <f t="shared" si="6"/>
        <v>7.8474238224637674</v>
      </c>
      <c r="G82" s="110">
        <f t="shared" si="6"/>
        <v>1.0784742382246377</v>
      </c>
      <c r="H82" s="110">
        <f t="shared" si="5"/>
        <v>1</v>
      </c>
      <c r="I82" s="2474">
        <f t="shared" si="4"/>
        <v>1.0784742382246377</v>
      </c>
      <c r="J82" s="2475"/>
    </row>
    <row r="83" spans="1:10" ht="16.5" hidden="1" customHeight="1">
      <c r="A83" s="108"/>
      <c r="B83" s="109">
        <v>120</v>
      </c>
      <c r="C83" s="105">
        <f t="shared" si="6"/>
        <v>3.4201687499999998</v>
      </c>
      <c r="D83" s="105">
        <f t="shared" si="6"/>
        <v>0.83333333333333337</v>
      </c>
      <c r="E83" s="105">
        <f t="shared" si="6"/>
        <v>3.5</v>
      </c>
      <c r="F83" s="105">
        <f t="shared" si="6"/>
        <v>7.7535020833333332</v>
      </c>
      <c r="G83" s="110">
        <f t="shared" si="6"/>
        <v>1.0775350208333334</v>
      </c>
      <c r="H83" s="110">
        <f t="shared" si="5"/>
        <v>1</v>
      </c>
      <c r="I83" s="2474">
        <f t="shared" si="4"/>
        <v>1.0775350208333334</v>
      </c>
      <c r="J83" s="2475"/>
    </row>
    <row r="84" spans="1:10" ht="16.5" hidden="1" customHeight="1">
      <c r="A84" s="108"/>
      <c r="B84" s="109">
        <v>125</v>
      </c>
      <c r="C84" s="105">
        <f t="shared" si="6"/>
        <v>3.3337607499999997</v>
      </c>
      <c r="D84" s="105">
        <f t="shared" si="6"/>
        <v>0.83333333333333337</v>
      </c>
      <c r="E84" s="105">
        <f t="shared" si="6"/>
        <v>3.5</v>
      </c>
      <c r="F84" s="105">
        <f t="shared" si="6"/>
        <v>7.6670940833333328</v>
      </c>
      <c r="G84" s="110">
        <f t="shared" si="6"/>
        <v>1.0766709408333333</v>
      </c>
      <c r="H84" s="110">
        <f t="shared" si="5"/>
        <v>1</v>
      </c>
      <c r="I84" s="2474">
        <f t="shared" si="4"/>
        <v>1.0766709408333333</v>
      </c>
      <c r="J84" s="2475"/>
    </row>
    <row r="85" spans="1:10" ht="16.5" hidden="1" customHeight="1">
      <c r="A85" s="108"/>
      <c r="B85" s="109">
        <v>130</v>
      </c>
      <c r="C85" s="105">
        <f t="shared" si="6"/>
        <v>3.2539995192307689</v>
      </c>
      <c r="D85" s="105">
        <f t="shared" si="6"/>
        <v>0.83333333333333337</v>
      </c>
      <c r="E85" s="105">
        <f t="shared" si="6"/>
        <v>3.5</v>
      </c>
      <c r="F85" s="105">
        <f t="shared" si="6"/>
        <v>7.5873328525641019</v>
      </c>
      <c r="G85" s="110">
        <f t="shared" si="6"/>
        <v>1.075873328525641</v>
      </c>
      <c r="H85" s="110">
        <f t="shared" si="5"/>
        <v>1</v>
      </c>
      <c r="I85" s="2474">
        <f t="shared" si="4"/>
        <v>1.075873328525641</v>
      </c>
      <c r="J85" s="2475"/>
    </row>
    <row r="86" spans="1:10" ht="16.5" hidden="1" customHeight="1">
      <c r="A86" s="108"/>
      <c r="B86" s="109">
        <v>135</v>
      </c>
      <c r="C86" s="105">
        <f t="shared" si="6"/>
        <v>3.1801465277777776</v>
      </c>
      <c r="D86" s="105">
        <f t="shared" si="6"/>
        <v>0.83333333333333337</v>
      </c>
      <c r="E86" s="105">
        <f t="shared" si="6"/>
        <v>3.5</v>
      </c>
      <c r="F86" s="105">
        <f t="shared" si="6"/>
        <v>7.5134798611111107</v>
      </c>
      <c r="G86" s="110">
        <f t="shared" si="6"/>
        <v>1.0751347986111111</v>
      </c>
      <c r="H86" s="110">
        <f t="shared" si="5"/>
        <v>1</v>
      </c>
      <c r="I86" s="2474">
        <f t="shared" si="4"/>
        <v>1.0751347986111111</v>
      </c>
      <c r="J86" s="2475"/>
    </row>
    <row r="87" spans="1:10" ht="16.5" hidden="1" customHeight="1">
      <c r="A87" s="108"/>
      <c r="B87" s="109">
        <v>140</v>
      </c>
      <c r="C87" s="105">
        <f t="shared" si="6"/>
        <v>3.11156875</v>
      </c>
      <c r="D87" s="105">
        <f t="shared" si="6"/>
        <v>0.83333333333333337</v>
      </c>
      <c r="E87" s="105">
        <f t="shared" si="6"/>
        <v>3.5</v>
      </c>
      <c r="F87" s="105">
        <f t="shared" si="6"/>
        <v>7.4449020833333339</v>
      </c>
      <c r="G87" s="110">
        <f t="shared" si="6"/>
        <v>1.0744490208333333</v>
      </c>
      <c r="H87" s="110">
        <f t="shared" si="5"/>
        <v>1</v>
      </c>
      <c r="I87" s="2474">
        <f t="shared" si="4"/>
        <v>1.0744490208333333</v>
      </c>
      <c r="J87" s="2475"/>
    </row>
    <row r="88" spans="1:10" ht="16.5" hidden="1" customHeight="1">
      <c r="A88" s="108"/>
      <c r="B88" s="109">
        <v>145</v>
      </c>
      <c r="C88" s="105">
        <f t="shared" si="6"/>
        <v>3.0477204741379307</v>
      </c>
      <c r="D88" s="105">
        <f t="shared" si="6"/>
        <v>0.83333333333333337</v>
      </c>
      <c r="E88" s="105">
        <f t="shared" si="6"/>
        <v>3.5</v>
      </c>
      <c r="F88" s="105">
        <f t="shared" si="6"/>
        <v>7.3810538074712646</v>
      </c>
      <c r="G88" s="110">
        <f t="shared" si="6"/>
        <v>1.0738105380747127</v>
      </c>
      <c r="H88" s="110">
        <f t="shared" si="5"/>
        <v>1</v>
      </c>
      <c r="I88" s="2474">
        <f t="shared" si="4"/>
        <v>1.0738105380747127</v>
      </c>
      <c r="J88" s="2475"/>
    </row>
    <row r="89" spans="1:10" ht="16.5" hidden="1" customHeight="1">
      <c r="A89" s="108"/>
      <c r="B89" s="109">
        <v>150</v>
      </c>
      <c r="C89" s="105">
        <f t="shared" si="6"/>
        <v>2.9881287499999996</v>
      </c>
      <c r="D89" s="105">
        <f t="shared" si="6"/>
        <v>0.83333333333333337</v>
      </c>
      <c r="E89" s="105">
        <f t="shared" si="6"/>
        <v>3.5</v>
      </c>
      <c r="F89" s="105">
        <f t="shared" si="6"/>
        <v>7.3214620833333335</v>
      </c>
      <c r="G89" s="110">
        <f t="shared" si="6"/>
        <v>1.0732146208333333</v>
      </c>
      <c r="H89" s="110">
        <f t="shared" si="5"/>
        <v>1</v>
      </c>
      <c r="I89" s="2474">
        <f t="shared" si="4"/>
        <v>1.0732146208333333</v>
      </c>
      <c r="J89" s="2475"/>
    </row>
    <row r="90" spans="1:10" ht="16.5" hidden="1" customHeight="1">
      <c r="A90" s="108"/>
      <c r="B90" s="109">
        <v>155</v>
      </c>
      <c r="C90" s="105">
        <f t="shared" si="6"/>
        <v>2.9323816532258062</v>
      </c>
      <c r="D90" s="105">
        <f t="shared" si="6"/>
        <v>0.83333333333333337</v>
      </c>
      <c r="E90" s="105">
        <f t="shared" si="6"/>
        <v>3.5</v>
      </c>
      <c r="F90" s="105">
        <f t="shared" si="6"/>
        <v>7.2657149865591393</v>
      </c>
      <c r="G90" s="110">
        <f t="shared" si="6"/>
        <v>1.0726571498655915</v>
      </c>
      <c r="H90" s="110">
        <f t="shared" si="5"/>
        <v>1</v>
      </c>
      <c r="I90" s="2474">
        <f t="shared" si="4"/>
        <v>1.0726571498655915</v>
      </c>
      <c r="J90" s="2475"/>
    </row>
    <row r="91" spans="1:10" ht="16.5" hidden="1" customHeight="1">
      <c r="A91" s="108"/>
      <c r="B91" s="109">
        <v>160</v>
      </c>
      <c r="C91" s="105">
        <f t="shared" si="6"/>
        <v>2.8801187500000003</v>
      </c>
      <c r="D91" s="105">
        <f t="shared" si="6"/>
        <v>0.83333333333333337</v>
      </c>
      <c r="E91" s="105">
        <f t="shared" si="6"/>
        <v>3.5</v>
      </c>
      <c r="F91" s="105">
        <f t="shared" si="6"/>
        <v>7.2134520833333333</v>
      </c>
      <c r="G91" s="110">
        <f t="shared" si="6"/>
        <v>1.0721345208333333</v>
      </c>
      <c r="H91" s="110">
        <f t="shared" si="5"/>
        <v>1</v>
      </c>
      <c r="I91" s="2474">
        <f t="shared" si="4"/>
        <v>1.0721345208333333</v>
      </c>
      <c r="J91" s="2475"/>
    </row>
    <row r="92" spans="1:10" ht="16.5" hidden="1" customHeight="1">
      <c r="A92" s="108"/>
      <c r="B92" s="109">
        <v>165</v>
      </c>
      <c r="C92" s="105">
        <f t="shared" ref="C92:G99" si="7">C42</f>
        <v>2.8310232954545453</v>
      </c>
      <c r="D92" s="105">
        <f t="shared" si="7"/>
        <v>0.83333333333333337</v>
      </c>
      <c r="E92" s="105">
        <f t="shared" si="7"/>
        <v>3.5</v>
      </c>
      <c r="F92" s="105">
        <f t="shared" si="7"/>
        <v>7.1643566287878784</v>
      </c>
      <c r="G92" s="110">
        <f t="shared" si="7"/>
        <v>1.0716435662878787</v>
      </c>
      <c r="H92" s="110">
        <f t="shared" si="5"/>
        <v>1</v>
      </c>
      <c r="I92" s="2474">
        <f t="shared" si="4"/>
        <v>1.0716435662878787</v>
      </c>
      <c r="J92" s="2475"/>
    </row>
    <row r="93" spans="1:10" ht="16.5" hidden="1" customHeight="1">
      <c r="A93" s="108"/>
      <c r="B93" s="109">
        <v>170</v>
      </c>
      <c r="C93" s="105">
        <f t="shared" si="7"/>
        <v>2.7848158088235291</v>
      </c>
      <c r="D93" s="105">
        <f t="shared" si="7"/>
        <v>0.83333333333333337</v>
      </c>
      <c r="E93" s="105">
        <f t="shared" si="7"/>
        <v>3.5</v>
      </c>
      <c r="F93" s="105">
        <f t="shared" si="7"/>
        <v>7.118149142156863</v>
      </c>
      <c r="G93" s="110">
        <f t="shared" si="7"/>
        <v>1.0711814914215687</v>
      </c>
      <c r="H93" s="110">
        <f t="shared" si="5"/>
        <v>1</v>
      </c>
      <c r="I93" s="2474">
        <f t="shared" si="4"/>
        <v>1.0711814914215687</v>
      </c>
      <c r="J93" s="2475"/>
    </row>
    <row r="94" spans="1:10" ht="16.5" hidden="1" customHeight="1">
      <c r="A94" s="108"/>
      <c r="B94" s="109">
        <v>175</v>
      </c>
      <c r="C94" s="105">
        <f t="shared" si="7"/>
        <v>2.7412487499999996</v>
      </c>
      <c r="D94" s="105">
        <f t="shared" si="7"/>
        <v>0.83333333333333337</v>
      </c>
      <c r="E94" s="105">
        <f t="shared" si="7"/>
        <v>3.5</v>
      </c>
      <c r="F94" s="105">
        <f t="shared" si="7"/>
        <v>7.0745820833333326</v>
      </c>
      <c r="G94" s="110">
        <f t="shared" si="7"/>
        <v>1.0707458208333334</v>
      </c>
      <c r="H94" s="110">
        <f t="shared" si="5"/>
        <v>1</v>
      </c>
      <c r="I94" s="2474">
        <f t="shared" si="4"/>
        <v>1.0707458208333334</v>
      </c>
      <c r="J94" s="2475"/>
    </row>
    <row r="95" spans="1:10" ht="16.5" hidden="1" customHeight="1">
      <c r="A95" s="108"/>
      <c r="B95" s="109">
        <v>180</v>
      </c>
      <c r="C95" s="105">
        <f t="shared" si="7"/>
        <v>2.7001020833333333</v>
      </c>
      <c r="D95" s="105">
        <f t="shared" si="7"/>
        <v>0.83333333333333337</v>
      </c>
      <c r="E95" s="105">
        <f t="shared" si="7"/>
        <v>3.5</v>
      </c>
      <c r="F95" s="105">
        <f t="shared" si="7"/>
        <v>7.0334354166666664</v>
      </c>
      <c r="G95" s="110">
        <f t="shared" si="7"/>
        <v>1.0703343541666666</v>
      </c>
      <c r="H95" s="110">
        <f t="shared" si="5"/>
        <v>1</v>
      </c>
      <c r="I95" s="2474">
        <f t="shared" si="4"/>
        <v>1.0703343541666666</v>
      </c>
      <c r="J95" s="2475"/>
    </row>
    <row r="96" spans="1:10" ht="16.5" hidden="1" customHeight="1">
      <c r="A96" s="108"/>
      <c r="B96" s="109">
        <v>185</v>
      </c>
      <c r="C96" s="105">
        <f t="shared" si="7"/>
        <v>2.6611795608108109</v>
      </c>
      <c r="D96" s="105">
        <f t="shared" si="7"/>
        <v>0.83333333333333337</v>
      </c>
      <c r="E96" s="105">
        <f t="shared" si="7"/>
        <v>3.5</v>
      </c>
      <c r="F96" s="105">
        <f t="shared" si="7"/>
        <v>6.9945128941441439</v>
      </c>
      <c r="G96" s="110">
        <f t="shared" si="7"/>
        <v>1.0699451289414414</v>
      </c>
      <c r="H96" s="110">
        <f t="shared" si="5"/>
        <v>1</v>
      </c>
      <c r="I96" s="2474">
        <f t="shared" si="4"/>
        <v>1.0699451289414414</v>
      </c>
      <c r="J96" s="2475"/>
    </row>
    <row r="97" spans="1:10" ht="16.5" hidden="1" customHeight="1">
      <c r="A97" s="108"/>
      <c r="B97" s="109">
        <v>190</v>
      </c>
      <c r="C97" s="105">
        <f t="shared" si="7"/>
        <v>2.6243055921052632</v>
      </c>
      <c r="D97" s="105">
        <f t="shared" si="7"/>
        <v>0.83333333333333337</v>
      </c>
      <c r="E97" s="105">
        <f t="shared" si="7"/>
        <v>3.5</v>
      </c>
      <c r="F97" s="105">
        <f t="shared" si="7"/>
        <v>6.9576389254385962</v>
      </c>
      <c r="G97" s="110">
        <f t="shared" si="7"/>
        <v>1.0695763892543859</v>
      </c>
      <c r="H97" s="110">
        <f t="shared" si="5"/>
        <v>1</v>
      </c>
      <c r="I97" s="2474">
        <f t="shared" si="4"/>
        <v>1.0695763892543859</v>
      </c>
      <c r="J97" s="2475"/>
    </row>
    <row r="98" spans="1:10" ht="16.5" hidden="1" customHeight="1">
      <c r="A98" s="108"/>
      <c r="B98" s="109">
        <v>195</v>
      </c>
      <c r="C98" s="105">
        <f t="shared" si="7"/>
        <v>2.589322596153846</v>
      </c>
      <c r="D98" s="105">
        <f t="shared" si="7"/>
        <v>0.83333333333333337</v>
      </c>
      <c r="E98" s="105">
        <f t="shared" si="7"/>
        <v>3.5</v>
      </c>
      <c r="F98" s="105">
        <f t="shared" si="7"/>
        <v>6.9226559294871794</v>
      </c>
      <c r="G98" s="110">
        <f t="shared" si="7"/>
        <v>1.0692265592948718</v>
      </c>
      <c r="H98" s="110">
        <f t="shared" si="5"/>
        <v>1</v>
      </c>
      <c r="I98" s="2474">
        <f t="shared" si="4"/>
        <v>1.0692265592948718</v>
      </c>
      <c r="J98" s="2475"/>
    </row>
    <row r="99" spans="1:10" ht="16.5" hidden="1" customHeight="1">
      <c r="A99" s="111" t="s">
        <v>511</v>
      </c>
      <c r="B99" s="112">
        <v>200</v>
      </c>
      <c r="C99" s="114">
        <f t="shared" si="7"/>
        <v>2.5560887499999998</v>
      </c>
      <c r="D99" s="114">
        <f t="shared" si="7"/>
        <v>0.83333333333333337</v>
      </c>
      <c r="E99" s="114">
        <f t="shared" si="7"/>
        <v>3.5</v>
      </c>
      <c r="F99" s="114">
        <f t="shared" si="7"/>
        <v>6.8894220833333328</v>
      </c>
      <c r="G99" s="113">
        <f t="shared" si="7"/>
        <v>1.0688942208333334</v>
      </c>
      <c r="H99" s="113">
        <f t="shared" si="5"/>
        <v>1</v>
      </c>
      <c r="I99" s="2482">
        <f t="shared" si="4"/>
        <v>1.0688942208333334</v>
      </c>
      <c r="J99" s="2483"/>
    </row>
    <row r="100" spans="1:10" ht="21.75" hidden="1" customHeight="1">
      <c r="A100" s="274" t="s">
        <v>1045</v>
      </c>
      <c r="B100" s="115"/>
      <c r="C100" s="116"/>
      <c r="D100" s="116"/>
      <c r="E100" s="116"/>
      <c r="F100" s="116"/>
      <c r="G100" s="116"/>
      <c r="H100" s="116"/>
      <c r="I100" s="275" t="s">
        <v>1046</v>
      </c>
      <c r="J100" s="276"/>
    </row>
    <row r="101" spans="1:10" ht="21.75" hidden="1" customHeight="1">
      <c r="A101" s="2339" t="s">
        <v>1049</v>
      </c>
      <c r="B101" s="2339"/>
      <c r="C101" s="2339"/>
      <c r="D101" s="2339"/>
      <c r="E101" s="2339"/>
      <c r="F101" s="2339"/>
      <c r="G101" s="2339"/>
      <c r="H101" s="2339"/>
      <c r="I101" s="2339"/>
      <c r="J101" s="2339"/>
    </row>
    <row r="102" spans="1:10">
      <c r="A102" s="115"/>
      <c r="B102" s="115"/>
      <c r="C102" s="116"/>
      <c r="D102" s="116"/>
      <c r="E102" s="116"/>
      <c r="F102" s="116"/>
      <c r="G102" s="116"/>
      <c r="H102" s="116"/>
    </row>
    <row r="103" spans="1:10" ht="29.25">
      <c r="A103" s="2457" t="s">
        <v>1050</v>
      </c>
      <c r="B103" s="2457"/>
      <c r="C103" s="2457"/>
      <c r="D103" s="2457"/>
      <c r="E103" s="2457"/>
      <c r="F103" s="2457"/>
      <c r="G103" s="2457"/>
      <c r="H103" s="2457"/>
      <c r="I103" s="2457"/>
      <c r="J103" s="2457"/>
    </row>
    <row r="104" spans="1:10">
      <c r="A104" s="115"/>
      <c r="B104" s="115"/>
      <c r="C104" s="116"/>
      <c r="D104" s="116"/>
      <c r="E104" s="116"/>
      <c r="F104" s="116"/>
      <c r="G104" s="116"/>
      <c r="H104" s="116"/>
    </row>
    <row r="105" spans="1:10" ht="21.75">
      <c r="A105" s="277">
        <v>1</v>
      </c>
      <c r="B105" s="277" t="s">
        <v>1051</v>
      </c>
      <c r="C105" s="277"/>
      <c r="D105" s="277"/>
      <c r="E105" s="277"/>
      <c r="F105" s="277"/>
      <c r="G105" s="277"/>
      <c r="H105" s="277"/>
      <c r="I105" s="277"/>
      <c r="J105" s="277"/>
    </row>
    <row r="106" spans="1:10" ht="21.75">
      <c r="A106" s="277">
        <v>2</v>
      </c>
      <c r="B106" s="277" t="s">
        <v>1060</v>
      </c>
      <c r="C106" s="277"/>
      <c r="D106" s="277"/>
      <c r="E106" s="277"/>
      <c r="F106" s="277"/>
      <c r="G106" s="277"/>
      <c r="H106" s="277"/>
      <c r="I106" s="277"/>
      <c r="J106" s="277"/>
    </row>
    <row r="107" spans="1:10" ht="21.75">
      <c r="A107" s="277"/>
      <c r="B107" s="277" t="s">
        <v>1061</v>
      </c>
      <c r="C107" s="277"/>
      <c r="D107" s="277"/>
      <c r="E107" s="277"/>
      <c r="F107" s="277"/>
      <c r="G107" s="277"/>
      <c r="H107" s="277"/>
      <c r="I107" s="277"/>
      <c r="J107" s="277"/>
    </row>
    <row r="108" spans="1:10" ht="21.75">
      <c r="A108" s="277">
        <v>3</v>
      </c>
      <c r="B108" s="277" t="s">
        <v>1062</v>
      </c>
      <c r="C108" s="277"/>
      <c r="D108" s="277"/>
      <c r="E108" s="277"/>
      <c r="F108" s="277"/>
      <c r="G108" s="277"/>
      <c r="H108" s="277"/>
      <c r="I108" s="277"/>
      <c r="J108" s="277"/>
    </row>
    <row r="109" spans="1:10" ht="21.75">
      <c r="A109" s="277"/>
      <c r="B109" s="277" t="s">
        <v>1063</v>
      </c>
      <c r="C109" s="277"/>
      <c r="D109" s="277"/>
      <c r="E109" s="277"/>
      <c r="F109" s="277"/>
      <c r="G109" s="277"/>
      <c r="H109" s="277"/>
      <c r="I109" s="277"/>
      <c r="J109" s="277"/>
    </row>
    <row r="110" spans="1:10" ht="21.75">
      <c r="A110" s="277">
        <v>4</v>
      </c>
      <c r="B110" s="277" t="s">
        <v>1064</v>
      </c>
      <c r="C110" s="277"/>
      <c r="D110" s="277"/>
      <c r="E110" s="277"/>
      <c r="F110" s="277"/>
      <c r="G110" s="277"/>
      <c r="H110" s="277"/>
      <c r="I110" s="277"/>
      <c r="J110" s="277"/>
    </row>
    <row r="111" spans="1:10" ht="21.75">
      <c r="A111" s="277"/>
      <c r="B111" s="277" t="s">
        <v>79</v>
      </c>
      <c r="C111" s="277"/>
      <c r="D111" s="277"/>
      <c r="E111" s="277"/>
      <c r="F111" s="277"/>
      <c r="G111" s="277"/>
      <c r="H111" s="277"/>
      <c r="I111" s="277"/>
      <c r="J111" s="277"/>
    </row>
    <row r="112" spans="1:10" ht="21.75">
      <c r="A112" s="277">
        <v>5</v>
      </c>
      <c r="B112" s="277" t="s">
        <v>80</v>
      </c>
      <c r="C112" s="277"/>
      <c r="D112" s="277"/>
      <c r="E112" s="277"/>
      <c r="F112" s="277"/>
      <c r="G112" s="277"/>
      <c r="H112" s="277"/>
      <c r="I112" s="277"/>
      <c r="J112" s="277"/>
    </row>
    <row r="113" spans="1:10" ht="21.75">
      <c r="A113" s="277"/>
      <c r="B113" s="277"/>
      <c r="C113" s="277"/>
      <c r="D113" s="277"/>
      <c r="E113" s="277"/>
      <c r="F113" s="277"/>
      <c r="G113" s="277"/>
      <c r="H113" s="277"/>
      <c r="I113" s="277"/>
      <c r="J113" s="277"/>
    </row>
    <row r="114" spans="1:10" ht="21.75">
      <c r="A114" s="277"/>
      <c r="B114" s="277"/>
      <c r="C114" s="277"/>
      <c r="D114" s="277"/>
      <c r="E114" s="277"/>
      <c r="F114" s="277"/>
      <c r="G114" s="277"/>
      <c r="H114" s="277"/>
      <c r="I114" s="277"/>
      <c r="J114" s="277"/>
    </row>
    <row r="115" spans="1:10" ht="21.75">
      <c r="A115" s="277"/>
      <c r="B115" s="277"/>
      <c r="C115" s="277"/>
      <c r="D115" s="277"/>
      <c r="E115" s="277"/>
      <c r="F115" s="277"/>
      <c r="G115" s="277"/>
      <c r="H115" s="277"/>
      <c r="I115" s="277"/>
      <c r="J115" s="277"/>
    </row>
    <row r="116" spans="1:10" ht="21.75">
      <c r="A116" s="277"/>
      <c r="B116" s="277"/>
      <c r="C116" s="277"/>
      <c r="D116" s="277"/>
      <c r="E116" s="277"/>
      <c r="F116" s="277"/>
      <c r="G116" s="277"/>
      <c r="H116" s="277"/>
      <c r="I116" s="277"/>
      <c r="J116" s="277"/>
    </row>
    <row r="117" spans="1:10" ht="21.75">
      <c r="A117" s="277"/>
      <c r="B117" s="277"/>
      <c r="C117" s="277"/>
      <c r="D117" s="277"/>
      <c r="E117" s="277"/>
      <c r="F117" s="277"/>
      <c r="G117" s="277"/>
      <c r="H117" s="277"/>
      <c r="I117" s="277"/>
      <c r="J117" s="277"/>
    </row>
    <row r="118" spans="1:10" ht="21.75">
      <c r="A118" s="277"/>
      <c r="B118" s="277"/>
      <c r="C118" s="277"/>
      <c r="D118" s="277"/>
      <c r="E118" s="277"/>
      <c r="F118" s="277"/>
      <c r="G118" s="277"/>
      <c r="H118" s="277"/>
      <c r="I118" s="277"/>
      <c r="J118" s="277"/>
    </row>
    <row r="119" spans="1:10" ht="21.75">
      <c r="A119" s="277"/>
      <c r="B119" s="277"/>
      <c r="C119" s="277"/>
      <c r="D119" s="277"/>
      <c r="E119" s="277"/>
      <c r="F119" s="277"/>
      <c r="G119" s="277"/>
      <c r="H119" s="277"/>
      <c r="I119" s="277"/>
      <c r="J119" s="277"/>
    </row>
    <row r="120" spans="1:10" ht="21.75">
      <c r="A120" s="277"/>
      <c r="B120" s="277"/>
      <c r="C120" s="277"/>
      <c r="D120" s="277"/>
      <c r="E120" s="277"/>
      <c r="F120" s="277"/>
      <c r="G120" s="277"/>
      <c r="H120" s="277"/>
      <c r="I120" s="277"/>
      <c r="J120" s="277"/>
    </row>
    <row r="121" spans="1:10" ht="21.75">
      <c r="A121" s="277"/>
      <c r="B121" s="277"/>
      <c r="C121" s="277"/>
      <c r="D121" s="277"/>
      <c r="E121" s="277"/>
      <c r="F121" s="277"/>
      <c r="G121" s="277"/>
      <c r="H121" s="277"/>
      <c r="I121" s="277"/>
      <c r="J121" s="277"/>
    </row>
    <row r="122" spans="1:10" ht="21.75">
      <c r="A122" s="277"/>
      <c r="B122" s="277"/>
      <c r="C122" s="277"/>
      <c r="D122" s="277"/>
      <c r="E122" s="277"/>
      <c r="F122" s="277"/>
      <c r="G122" s="277"/>
      <c r="H122" s="277"/>
      <c r="I122" s="277"/>
      <c r="J122" s="277"/>
    </row>
    <row r="123" spans="1:10" ht="21.75">
      <c r="A123" s="277"/>
      <c r="B123" s="277"/>
      <c r="C123" s="277"/>
      <c r="D123" s="277"/>
      <c r="E123" s="277"/>
      <c r="F123" s="277"/>
      <c r="G123" s="277"/>
      <c r="H123" s="277"/>
      <c r="I123" s="277"/>
      <c r="J123" s="277"/>
    </row>
    <row r="124" spans="1:10" ht="21.75">
      <c r="A124" s="277"/>
      <c r="B124" s="277"/>
      <c r="C124" s="277"/>
      <c r="D124" s="277"/>
      <c r="E124" s="277"/>
      <c r="F124" s="277"/>
      <c r="G124" s="277"/>
      <c r="H124" s="277"/>
      <c r="I124" s="277"/>
      <c r="J124" s="277"/>
    </row>
    <row r="125" spans="1:10" ht="21.75">
      <c r="A125" s="277"/>
      <c r="B125" s="277"/>
      <c r="C125" s="277"/>
      <c r="D125" s="277"/>
      <c r="E125" s="277"/>
      <c r="F125" s="277"/>
      <c r="G125" s="277"/>
      <c r="H125" s="277"/>
      <c r="I125" s="277"/>
      <c r="J125" s="277"/>
    </row>
    <row r="126" spans="1:10" ht="21.75">
      <c r="A126" s="277"/>
      <c r="B126" s="277"/>
      <c r="C126" s="277"/>
      <c r="D126" s="277"/>
      <c r="E126" s="277"/>
      <c r="F126" s="277"/>
      <c r="G126" s="277"/>
      <c r="H126" s="277"/>
      <c r="I126" s="277"/>
      <c r="J126" s="277"/>
    </row>
    <row r="127" spans="1:10" ht="21.75">
      <c r="A127" s="277"/>
      <c r="B127" s="277"/>
      <c r="C127" s="277"/>
      <c r="D127" s="277"/>
      <c r="E127" s="277"/>
      <c r="F127" s="277"/>
      <c r="G127" s="277"/>
      <c r="H127" s="277"/>
      <c r="I127" s="277"/>
      <c r="J127" s="277"/>
    </row>
    <row r="128" spans="1:10" ht="21.75">
      <c r="A128" s="277"/>
      <c r="B128" s="277"/>
      <c r="C128" s="277"/>
      <c r="D128" s="277"/>
      <c r="E128" s="277"/>
      <c r="F128" s="277"/>
      <c r="G128" s="277"/>
      <c r="H128" s="277"/>
      <c r="I128" s="277"/>
      <c r="J128" s="277"/>
    </row>
    <row r="129" spans="1:10" ht="21.75">
      <c r="A129" s="277"/>
      <c r="B129" s="277"/>
      <c r="C129" s="277"/>
      <c r="D129" s="277"/>
      <c r="E129" s="277"/>
      <c r="F129" s="277"/>
      <c r="G129" s="277"/>
      <c r="H129" s="277"/>
      <c r="I129" s="277"/>
      <c r="J129" s="277"/>
    </row>
    <row r="130" spans="1:10" ht="21.75">
      <c r="A130" s="277"/>
      <c r="B130" s="277"/>
      <c r="C130" s="277"/>
      <c r="D130" s="277"/>
      <c r="E130" s="277"/>
      <c r="F130" s="277"/>
      <c r="G130" s="277"/>
      <c r="H130" s="277"/>
      <c r="I130" s="277"/>
      <c r="J130" s="277"/>
    </row>
    <row r="131" spans="1:10" ht="21.75">
      <c r="A131" s="277"/>
      <c r="B131" s="277"/>
      <c r="C131" s="277"/>
      <c r="D131" s="277"/>
      <c r="E131" s="277"/>
      <c r="F131" s="277"/>
      <c r="G131" s="277"/>
      <c r="H131" s="277"/>
      <c r="I131" s="277"/>
      <c r="J131" s="277"/>
    </row>
    <row r="132" spans="1:10" ht="21.75">
      <c r="A132" s="277"/>
      <c r="B132" s="277"/>
      <c r="C132" s="277"/>
      <c r="D132" s="277"/>
      <c r="E132" s="277"/>
      <c r="F132" s="277"/>
      <c r="G132" s="277"/>
      <c r="H132" s="277"/>
      <c r="I132" s="277"/>
      <c r="J132" s="277"/>
    </row>
    <row r="133" spans="1:10" ht="21.75">
      <c r="A133" s="277"/>
      <c r="B133" s="277"/>
      <c r="C133" s="277"/>
      <c r="D133" s="277"/>
      <c r="E133" s="277"/>
      <c r="F133" s="277"/>
      <c r="G133" s="277"/>
      <c r="H133" s="277"/>
      <c r="I133" s="277"/>
      <c r="J133" s="277"/>
    </row>
    <row r="134" spans="1:10" ht="21.75">
      <c r="A134" s="277"/>
      <c r="B134" s="277"/>
      <c r="C134" s="277"/>
      <c r="D134" s="277"/>
      <c r="E134" s="277"/>
      <c r="F134" s="277"/>
      <c r="G134" s="277"/>
      <c r="H134" s="277"/>
      <c r="I134" s="277"/>
      <c r="J134" s="277"/>
    </row>
    <row r="135" spans="1:10" ht="21.75">
      <c r="A135" s="277"/>
      <c r="B135" s="277"/>
      <c r="C135" s="277"/>
      <c r="D135" s="277"/>
      <c r="E135" s="277"/>
      <c r="F135" s="277"/>
      <c r="G135" s="277"/>
      <c r="H135" s="277"/>
      <c r="I135" s="277"/>
      <c r="J135" s="277"/>
    </row>
    <row r="136" spans="1:10" ht="21.75">
      <c r="A136" s="277"/>
      <c r="B136" s="277"/>
      <c r="C136" s="277"/>
      <c r="D136" s="277"/>
      <c r="E136" s="277"/>
      <c r="F136" s="277"/>
      <c r="G136" s="277"/>
      <c r="H136" s="277"/>
      <c r="I136" s="277"/>
      <c r="J136" s="277"/>
    </row>
    <row r="137" spans="1:10" ht="21.75">
      <c r="A137" s="277"/>
      <c r="B137" s="277"/>
      <c r="C137" s="277"/>
      <c r="D137" s="277"/>
      <c r="E137" s="277"/>
      <c r="F137" s="277"/>
      <c r="G137" s="277"/>
      <c r="H137" s="277"/>
      <c r="I137" s="277"/>
      <c r="J137" s="277"/>
    </row>
    <row r="138" spans="1:10" ht="21.75">
      <c r="A138" s="277"/>
      <c r="B138" s="277"/>
      <c r="C138" s="277"/>
      <c r="D138" s="277"/>
      <c r="E138" s="277"/>
      <c r="F138" s="277"/>
      <c r="G138" s="277"/>
      <c r="H138" s="277"/>
      <c r="I138" s="277"/>
      <c r="J138" s="277"/>
    </row>
    <row r="139" spans="1:10" ht="21.75">
      <c r="A139" s="277"/>
      <c r="B139" s="277"/>
      <c r="C139" s="277"/>
      <c r="D139" s="277"/>
      <c r="E139" s="277"/>
      <c r="F139" s="277"/>
      <c r="G139" s="277"/>
      <c r="H139" s="277"/>
      <c r="I139" s="277"/>
      <c r="J139" s="277"/>
    </row>
    <row r="140" spans="1:10">
      <c r="A140" s="2339" t="s">
        <v>81</v>
      </c>
      <c r="B140" s="2339"/>
      <c r="C140" s="2339"/>
      <c r="D140" s="2339"/>
      <c r="E140" s="2339"/>
      <c r="F140" s="2339"/>
      <c r="G140" s="2339"/>
      <c r="H140" s="2339"/>
      <c r="I140" s="2339"/>
      <c r="J140" s="2339"/>
    </row>
    <row r="141" spans="1:10" ht="21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</row>
    <row r="142" spans="1:10" ht="21.75" customHeight="1">
      <c r="A142" s="2481" t="s">
        <v>82</v>
      </c>
      <c r="B142" s="2481"/>
      <c r="C142" s="2481"/>
      <c r="D142" s="2481"/>
      <c r="E142" s="2481"/>
      <c r="F142" s="2481"/>
      <c r="G142" s="2481"/>
      <c r="H142" s="2481"/>
      <c r="I142" s="2481"/>
      <c r="J142" s="2481"/>
    </row>
    <row r="143" spans="1:10" ht="21.75" customHeight="1">
      <c r="A143" s="277"/>
      <c r="B143" s="277" t="s">
        <v>84</v>
      </c>
      <c r="C143" s="277"/>
      <c r="D143" s="277"/>
      <c r="E143" s="277"/>
      <c r="F143" s="277"/>
      <c r="G143" s="277"/>
      <c r="H143" s="277"/>
      <c r="I143" s="277"/>
      <c r="J143" s="277"/>
    </row>
    <row r="144" spans="1:10" ht="21.75" customHeight="1">
      <c r="A144" s="277" t="s">
        <v>527</v>
      </c>
      <c r="B144" s="277"/>
      <c r="C144" s="277"/>
      <c r="D144" s="277"/>
      <c r="E144" s="277"/>
      <c r="F144" s="277"/>
      <c r="G144" s="277"/>
      <c r="H144" s="277"/>
      <c r="I144" s="277"/>
      <c r="J144" s="277"/>
    </row>
    <row r="145" spans="1:14" ht="21.75" customHeight="1">
      <c r="A145" s="277" t="s">
        <v>528</v>
      </c>
      <c r="B145" s="277"/>
      <c r="C145" s="277"/>
      <c r="D145" s="277"/>
      <c r="E145" s="277"/>
      <c r="F145" s="277"/>
      <c r="G145" s="277"/>
      <c r="H145" s="277"/>
      <c r="I145" s="277"/>
      <c r="J145" s="277"/>
    </row>
    <row r="146" spans="1:14" ht="21.75" customHeight="1">
      <c r="A146" s="277" t="s">
        <v>530</v>
      </c>
      <c r="B146" s="277"/>
      <c r="C146" s="277"/>
      <c r="D146" s="277"/>
      <c r="E146" s="277"/>
      <c r="F146" s="277"/>
      <c r="G146" s="277"/>
      <c r="H146" s="277"/>
      <c r="I146" s="277"/>
      <c r="J146" s="277"/>
    </row>
    <row r="147" spans="1:14" ht="21.75" customHeight="1">
      <c r="A147" s="277" t="s">
        <v>531</v>
      </c>
      <c r="B147" s="277"/>
      <c r="C147" s="277"/>
      <c r="D147" s="277"/>
      <c r="E147" s="277"/>
      <c r="F147" s="277"/>
      <c r="G147" s="277"/>
      <c r="H147" s="277"/>
      <c r="I147" s="277"/>
      <c r="J147" s="277"/>
    </row>
    <row r="148" spans="1:14" ht="21.75" customHeight="1">
      <c r="A148" s="277"/>
      <c r="B148" s="277" t="s">
        <v>532</v>
      </c>
      <c r="C148" s="277"/>
      <c r="D148" s="277"/>
      <c r="E148" s="277"/>
      <c r="F148" s="277"/>
      <c r="G148" s="277"/>
      <c r="H148" s="277"/>
      <c r="I148" s="277"/>
      <c r="J148" s="277"/>
    </row>
    <row r="149" spans="1:14" ht="21.75" customHeight="1">
      <c r="A149" s="277" t="s">
        <v>533</v>
      </c>
      <c r="B149" s="277"/>
      <c r="C149" s="277"/>
      <c r="D149" s="277"/>
      <c r="E149" s="277"/>
      <c r="F149" s="277"/>
      <c r="G149" s="277"/>
      <c r="H149" s="277"/>
      <c r="I149" s="277"/>
      <c r="J149" s="277"/>
    </row>
    <row r="150" spans="1:14" ht="21.75" customHeight="1">
      <c r="A150" s="277" t="s">
        <v>534</v>
      </c>
      <c r="B150" s="277"/>
      <c r="C150" s="277"/>
      <c r="D150" s="277"/>
      <c r="E150" s="277"/>
      <c r="F150" s="277"/>
      <c r="G150" s="277"/>
      <c r="H150" s="277"/>
      <c r="I150" s="277"/>
      <c r="J150" s="277"/>
    </row>
    <row r="151" spans="1:14" ht="21.75" customHeight="1">
      <c r="A151" s="277" t="s">
        <v>535</v>
      </c>
      <c r="B151" s="277"/>
      <c r="C151" s="277"/>
      <c r="D151" s="277"/>
      <c r="E151" s="277"/>
      <c r="F151" s="277"/>
      <c r="G151" s="277"/>
      <c r="H151" s="277"/>
      <c r="I151" s="277"/>
      <c r="J151" s="277"/>
    </row>
    <row r="152" spans="1:14" ht="21.75" customHeight="1">
      <c r="A152" s="135" t="s">
        <v>536</v>
      </c>
      <c r="B152" s="277"/>
      <c r="C152" s="277"/>
      <c r="D152" s="277"/>
      <c r="E152" s="277"/>
      <c r="F152" s="277"/>
      <c r="G152" s="277"/>
      <c r="H152" s="277"/>
      <c r="I152" s="277"/>
      <c r="J152" s="277"/>
    </row>
    <row r="153" spans="1:14" ht="21.75" customHeight="1">
      <c r="A153" s="277"/>
      <c r="B153" s="277">
        <v>1</v>
      </c>
      <c r="C153" s="277" t="s">
        <v>537</v>
      </c>
      <c r="D153" s="277"/>
      <c r="E153" s="277"/>
      <c r="F153" s="277"/>
      <c r="G153" s="277"/>
      <c r="H153" s="277"/>
      <c r="I153" s="277"/>
      <c r="J153" s="277"/>
    </row>
    <row r="154" spans="1:14" ht="21.75" customHeight="1">
      <c r="A154" s="277"/>
      <c r="B154" s="277">
        <v>2</v>
      </c>
      <c r="C154" s="277" t="s">
        <v>507</v>
      </c>
      <c r="D154" s="277"/>
      <c r="E154" s="277"/>
      <c r="F154" s="277"/>
      <c r="G154" s="277"/>
      <c r="H154" s="277"/>
      <c r="I154" s="277"/>
      <c r="J154" s="277"/>
    </row>
    <row r="155" spans="1:14" ht="21.75" customHeight="1">
      <c r="A155" s="277"/>
      <c r="B155" s="277">
        <v>3</v>
      </c>
      <c r="C155" s="277" t="s">
        <v>508</v>
      </c>
      <c r="D155" s="277"/>
      <c r="E155" s="277"/>
      <c r="F155" s="277"/>
      <c r="G155" s="277"/>
      <c r="H155" s="277"/>
      <c r="I155" s="277"/>
      <c r="J155" s="277"/>
    </row>
    <row r="156" spans="1:14" ht="21.75" customHeight="1">
      <c r="A156" s="277"/>
      <c r="B156" s="277">
        <v>4</v>
      </c>
      <c r="C156" s="277" t="s">
        <v>157</v>
      </c>
      <c r="D156" s="277"/>
      <c r="E156" s="277"/>
      <c r="F156" s="277"/>
      <c r="G156" s="277"/>
      <c r="H156" s="277"/>
      <c r="I156" s="277"/>
      <c r="J156" s="277"/>
    </row>
    <row r="157" spans="1:14" ht="21.75" customHeight="1">
      <c r="A157" s="277"/>
      <c r="B157" s="135" t="s">
        <v>538</v>
      </c>
      <c r="C157" s="277"/>
      <c r="D157" s="277" t="s">
        <v>696</v>
      </c>
      <c r="E157" s="277"/>
      <c r="F157" s="277"/>
      <c r="G157" s="277"/>
      <c r="H157" s="277"/>
      <c r="I157" s="277"/>
      <c r="J157" s="277"/>
      <c r="K157" s="278"/>
      <c r="L157" s="278"/>
      <c r="M157" s="278"/>
      <c r="N157" s="278"/>
    </row>
    <row r="158" spans="1:14" ht="21.75" customHeight="1">
      <c r="A158" s="277"/>
      <c r="B158" s="277">
        <v>1.1000000000000001</v>
      </c>
      <c r="C158" s="277" t="s">
        <v>540</v>
      </c>
      <c r="D158" s="277"/>
      <c r="E158" s="277"/>
      <c r="F158" s="277"/>
      <c r="G158" s="277"/>
      <c r="H158" s="277"/>
      <c r="I158" s="277"/>
      <c r="J158" s="277"/>
    </row>
    <row r="159" spans="1:14" ht="21.75" customHeight="1">
      <c r="A159" s="277"/>
      <c r="B159" s="277"/>
      <c r="C159" s="277" t="s">
        <v>541</v>
      </c>
      <c r="D159" s="277"/>
      <c r="E159" s="277"/>
      <c r="F159" s="277"/>
      <c r="G159" s="277"/>
      <c r="H159" s="277"/>
      <c r="I159" s="277"/>
      <c r="J159" s="277"/>
    </row>
    <row r="160" spans="1:14" ht="21.75" customHeight="1">
      <c r="A160" s="277"/>
      <c r="B160" s="277"/>
      <c r="C160" s="277" t="s">
        <v>542</v>
      </c>
      <c r="D160" s="277"/>
      <c r="E160" s="277"/>
      <c r="F160" s="277"/>
      <c r="G160" s="277"/>
      <c r="H160" s="277"/>
      <c r="I160" s="277"/>
      <c r="J160" s="277"/>
    </row>
    <row r="161" spans="1:10" ht="21.75" customHeight="1">
      <c r="A161" s="277"/>
      <c r="B161" s="277"/>
      <c r="C161" s="277" t="s">
        <v>543</v>
      </c>
      <c r="D161" s="277"/>
      <c r="E161" s="277"/>
      <c r="F161" s="277"/>
      <c r="G161" s="277"/>
      <c r="H161" s="277"/>
      <c r="I161" s="277"/>
      <c r="J161" s="277"/>
    </row>
    <row r="162" spans="1:10" ht="21.75" customHeight="1">
      <c r="A162" s="277"/>
      <c r="B162" s="277"/>
      <c r="C162" s="277" t="s">
        <v>544</v>
      </c>
      <c r="D162" s="277"/>
      <c r="E162" s="277"/>
      <c r="F162" s="277"/>
      <c r="G162" s="277"/>
      <c r="H162" s="277"/>
      <c r="I162" s="277"/>
      <c r="J162" s="277"/>
    </row>
    <row r="163" spans="1:10" ht="21.75" customHeight="1">
      <c r="A163" s="277"/>
      <c r="B163" s="277">
        <v>1.2</v>
      </c>
      <c r="C163" s="277" t="s">
        <v>545</v>
      </c>
      <c r="D163" s="277"/>
      <c r="E163" s="277"/>
      <c r="F163" s="277"/>
      <c r="G163" s="277"/>
      <c r="H163" s="277"/>
      <c r="I163" s="277"/>
      <c r="J163" s="277"/>
    </row>
    <row r="164" spans="1:10" ht="21.75" customHeight="1">
      <c r="A164" s="277"/>
      <c r="B164" s="277">
        <v>1.3</v>
      </c>
      <c r="C164" s="277" t="s">
        <v>546</v>
      </c>
      <c r="D164" s="277"/>
      <c r="E164" s="277"/>
      <c r="F164" s="277"/>
      <c r="G164" s="277"/>
      <c r="H164" s="277"/>
      <c r="I164" s="277"/>
      <c r="J164" s="277"/>
    </row>
    <row r="165" spans="1:10" ht="21.75" customHeight="1">
      <c r="A165" s="277"/>
      <c r="B165" s="277">
        <v>1.4</v>
      </c>
      <c r="C165" s="277" t="s">
        <v>547</v>
      </c>
      <c r="D165" s="277"/>
      <c r="E165" s="277"/>
      <c r="F165" s="277"/>
      <c r="G165" s="277"/>
      <c r="H165" s="277"/>
      <c r="I165" s="277"/>
      <c r="J165" s="277"/>
    </row>
    <row r="166" spans="1:10" ht="21.75" customHeight="1">
      <c r="A166" s="277"/>
      <c r="B166" s="135" t="s">
        <v>636</v>
      </c>
      <c r="C166" s="277"/>
      <c r="D166" s="277"/>
      <c r="E166" s="277"/>
      <c r="F166" s="277"/>
      <c r="G166" s="277"/>
      <c r="H166" s="277"/>
      <c r="I166" s="277"/>
      <c r="J166" s="277"/>
    </row>
    <row r="167" spans="1:10" ht="21.75" customHeight="1">
      <c r="A167" s="277"/>
      <c r="B167" s="277" t="s">
        <v>548</v>
      </c>
      <c r="C167" s="277"/>
      <c r="D167" s="277"/>
      <c r="E167" s="277"/>
      <c r="F167" s="277"/>
      <c r="G167" s="277"/>
      <c r="H167" s="277"/>
      <c r="I167" s="277"/>
      <c r="J167" s="277"/>
    </row>
    <row r="168" spans="1:10" ht="21.75" customHeight="1">
      <c r="A168" s="277" t="s">
        <v>549</v>
      </c>
      <c r="B168" s="277"/>
      <c r="C168" s="277"/>
      <c r="D168" s="277"/>
      <c r="E168" s="277"/>
      <c r="F168" s="277"/>
      <c r="G168" s="277"/>
      <c r="H168" s="277"/>
      <c r="I168" s="277"/>
      <c r="J168" s="277"/>
    </row>
    <row r="169" spans="1:10" ht="21.75" customHeight="1">
      <c r="A169" s="277"/>
      <c r="B169" s="277" t="s">
        <v>550</v>
      </c>
      <c r="C169" s="277"/>
      <c r="D169" s="277"/>
      <c r="E169" s="277"/>
      <c r="F169" s="277"/>
      <c r="G169" s="277"/>
      <c r="H169" s="277"/>
      <c r="I169" s="277"/>
      <c r="J169" s="277"/>
    </row>
    <row r="170" spans="1:10" ht="21.75" customHeight="1">
      <c r="A170" s="277" t="s">
        <v>551</v>
      </c>
      <c r="B170" s="135"/>
      <c r="C170" s="277"/>
      <c r="D170" s="277"/>
      <c r="E170" s="277"/>
      <c r="F170" s="277"/>
      <c r="G170" s="277"/>
      <c r="H170" s="277"/>
      <c r="I170" s="277"/>
      <c r="J170" s="277"/>
    </row>
    <row r="171" spans="1:10" ht="21.75" customHeight="1">
      <c r="A171" s="277" t="s">
        <v>552</v>
      </c>
      <c r="B171" s="277"/>
      <c r="C171" s="277"/>
      <c r="D171" s="277"/>
      <c r="E171" s="277"/>
      <c r="F171" s="277"/>
      <c r="G171" s="277"/>
      <c r="H171" s="277"/>
      <c r="I171" s="277"/>
      <c r="J171" s="277"/>
    </row>
    <row r="172" spans="1:10" ht="21.75" customHeight="1">
      <c r="A172" s="277" t="s">
        <v>553</v>
      </c>
      <c r="B172" s="277"/>
      <c r="C172" s="277"/>
      <c r="D172" s="277"/>
      <c r="E172" s="277"/>
      <c r="F172" s="277"/>
      <c r="G172" s="277"/>
      <c r="H172" s="277"/>
      <c r="I172" s="277"/>
      <c r="J172" s="277"/>
    </row>
    <row r="173" spans="1:10" ht="21.75" customHeight="1">
      <c r="A173" s="277" t="s">
        <v>554</v>
      </c>
      <c r="B173" s="277"/>
      <c r="C173" s="277"/>
      <c r="D173" s="277"/>
      <c r="E173" s="277"/>
      <c r="F173" s="277"/>
      <c r="G173" s="277"/>
      <c r="H173" s="277"/>
      <c r="I173" s="277"/>
      <c r="J173" s="277"/>
    </row>
    <row r="174" spans="1:10" ht="21.75" customHeight="1">
      <c r="A174" s="277"/>
      <c r="B174" s="277" t="s">
        <v>555</v>
      </c>
      <c r="C174" s="277"/>
      <c r="D174" s="277"/>
      <c r="E174" s="277"/>
      <c r="F174" s="277"/>
      <c r="G174" s="277"/>
      <c r="H174" s="277"/>
      <c r="I174" s="277"/>
      <c r="J174" s="277"/>
    </row>
    <row r="175" spans="1:10" ht="21.75" customHeight="1">
      <c r="A175" s="277" t="s">
        <v>556</v>
      </c>
      <c r="B175" s="277"/>
      <c r="C175" s="277"/>
      <c r="D175" s="277"/>
      <c r="E175" s="277"/>
      <c r="F175" s="277"/>
      <c r="G175" s="277"/>
      <c r="H175" s="277"/>
      <c r="I175" s="277"/>
      <c r="J175" s="277"/>
    </row>
    <row r="176" spans="1:10" ht="21.75" customHeight="1">
      <c r="A176" s="277"/>
      <c r="B176" s="277"/>
      <c r="C176" s="277"/>
      <c r="D176" s="277"/>
      <c r="E176" s="277"/>
      <c r="F176" s="277"/>
      <c r="G176" s="277"/>
      <c r="H176" s="277"/>
      <c r="I176" s="277"/>
      <c r="J176" s="277"/>
    </row>
    <row r="177" spans="1:10" ht="21.75" customHeight="1">
      <c r="A177" s="277"/>
      <c r="B177" s="277"/>
      <c r="C177" s="277"/>
      <c r="D177" s="277"/>
      <c r="E177" s="277"/>
      <c r="F177" s="277"/>
      <c r="G177" s="277"/>
      <c r="H177" s="277"/>
      <c r="I177" s="277"/>
      <c r="J177" s="277"/>
    </row>
    <row r="178" spans="1:10" ht="21.75" customHeight="1">
      <c r="A178" s="277"/>
      <c r="B178" s="277"/>
      <c r="C178" s="277"/>
      <c r="D178" s="277"/>
      <c r="E178" s="277"/>
      <c r="F178" s="277"/>
      <c r="G178" s="277"/>
      <c r="H178" s="277"/>
      <c r="I178" s="277"/>
      <c r="J178" s="277"/>
    </row>
    <row r="179" spans="1:10" ht="21.75" customHeight="1">
      <c r="A179" s="2339" t="s">
        <v>557</v>
      </c>
      <c r="B179" s="2339"/>
      <c r="C179" s="2339"/>
      <c r="D179" s="2339"/>
      <c r="E179" s="2339"/>
      <c r="F179" s="2339"/>
      <c r="G179" s="2339"/>
      <c r="H179" s="2339"/>
      <c r="I179" s="2339"/>
      <c r="J179" s="2339"/>
    </row>
    <row r="180" spans="1:10" ht="21.75" customHeight="1">
      <c r="A180" s="277"/>
      <c r="B180" s="277"/>
      <c r="C180" s="277"/>
      <c r="D180" s="277"/>
      <c r="E180" s="277"/>
      <c r="F180" s="277"/>
      <c r="G180" s="277"/>
      <c r="H180" s="277"/>
      <c r="I180" s="277"/>
      <c r="J180" s="277"/>
    </row>
    <row r="181" spans="1:10" ht="21.75" customHeight="1">
      <c r="A181" s="277"/>
      <c r="B181" s="135" t="s">
        <v>673</v>
      </c>
      <c r="C181" s="277"/>
      <c r="D181" s="277"/>
      <c r="E181" s="277"/>
      <c r="F181" s="277"/>
      <c r="G181" s="277"/>
      <c r="H181" s="277"/>
      <c r="I181" s="277"/>
      <c r="J181" s="277"/>
    </row>
    <row r="182" spans="1:10" ht="21.75" customHeight="1">
      <c r="A182" s="277"/>
      <c r="B182" s="277" t="s">
        <v>873</v>
      </c>
      <c r="C182" s="277"/>
      <c r="D182" s="277"/>
      <c r="E182" s="277"/>
      <c r="F182" s="277"/>
      <c r="G182" s="277"/>
      <c r="H182" s="277"/>
      <c r="I182" s="277"/>
      <c r="J182" s="277"/>
    </row>
    <row r="183" spans="1:10" ht="21.75" customHeight="1">
      <c r="A183" s="277" t="s">
        <v>874</v>
      </c>
      <c r="B183" s="277"/>
      <c r="C183" s="277"/>
      <c r="D183" s="277"/>
      <c r="E183" s="277"/>
      <c r="F183" s="277"/>
      <c r="G183" s="277"/>
      <c r="H183" s="277"/>
      <c r="I183" s="277"/>
      <c r="J183" s="277"/>
    </row>
    <row r="184" spans="1:10" ht="21.75" customHeight="1">
      <c r="A184" s="277"/>
      <c r="B184" s="277"/>
      <c r="C184" s="277"/>
      <c r="D184" s="277"/>
      <c r="E184" s="277"/>
      <c r="F184" s="277"/>
      <c r="G184" s="277"/>
      <c r="H184" s="277"/>
      <c r="I184" s="277"/>
      <c r="J184" s="277"/>
    </row>
    <row r="185" spans="1:10" ht="21.75" customHeight="1">
      <c r="A185" s="277"/>
      <c r="B185" s="135" t="s">
        <v>875</v>
      </c>
      <c r="C185" s="277"/>
      <c r="D185" s="277"/>
      <c r="E185" s="277"/>
      <c r="F185" s="277"/>
      <c r="G185" s="277"/>
      <c r="H185" s="277"/>
      <c r="I185" s="277"/>
      <c r="J185" s="277"/>
    </row>
    <row r="186" spans="1:10" ht="21.75" customHeight="1">
      <c r="A186" s="277"/>
      <c r="B186" s="277" t="s">
        <v>876</v>
      </c>
      <c r="C186" s="277"/>
      <c r="D186" s="277"/>
      <c r="E186" s="277"/>
      <c r="F186" s="277"/>
      <c r="G186" s="277"/>
      <c r="H186" s="277"/>
      <c r="I186" s="277"/>
      <c r="J186" s="277"/>
    </row>
    <row r="187" spans="1:10" ht="21.75" customHeight="1">
      <c r="A187" s="277"/>
      <c r="B187" s="277"/>
      <c r="C187" s="277"/>
      <c r="D187" s="277"/>
      <c r="E187" s="277"/>
      <c r="F187" s="277"/>
      <c r="G187" s="277"/>
      <c r="H187" s="277"/>
      <c r="I187" s="277"/>
      <c r="J187" s="277"/>
    </row>
    <row r="188" spans="1:10" ht="21.75" customHeight="1">
      <c r="A188" s="277"/>
      <c r="B188" s="277"/>
      <c r="C188" s="277"/>
      <c r="D188" s="277"/>
      <c r="E188" s="277"/>
      <c r="F188" s="277"/>
      <c r="G188" s="277"/>
      <c r="H188" s="277"/>
      <c r="I188" s="277"/>
      <c r="J188" s="277"/>
    </row>
    <row r="189" spans="1:10" ht="21.75" customHeight="1">
      <c r="A189" s="277"/>
      <c r="B189" s="277"/>
      <c r="C189" s="277"/>
      <c r="D189" s="277"/>
      <c r="E189" s="277"/>
      <c r="F189" s="277"/>
      <c r="G189" s="277"/>
      <c r="H189" s="277"/>
      <c r="I189" s="277"/>
      <c r="J189" s="277"/>
    </row>
    <row r="190" spans="1:10" ht="21.75" customHeight="1">
      <c r="A190" s="277"/>
      <c r="B190" s="277"/>
      <c r="C190" s="277"/>
      <c r="D190" s="277"/>
      <c r="E190" s="277"/>
      <c r="F190" s="277"/>
      <c r="G190" s="277"/>
      <c r="H190" s="277"/>
      <c r="I190" s="277"/>
      <c r="J190" s="277"/>
    </row>
    <row r="191" spans="1:10" ht="21.75" customHeight="1">
      <c r="A191" s="277"/>
      <c r="B191" s="277"/>
      <c r="C191" s="277"/>
      <c r="D191" s="277"/>
      <c r="E191" s="277"/>
      <c r="F191" s="277"/>
      <c r="G191" s="277"/>
      <c r="H191" s="277"/>
      <c r="I191" s="277"/>
      <c r="J191" s="277"/>
    </row>
    <row r="192" spans="1:10" ht="21.75" customHeight="1">
      <c r="A192" s="277"/>
      <c r="B192" s="277"/>
      <c r="C192" s="277"/>
      <c r="D192" s="277"/>
      <c r="E192" s="277"/>
      <c r="F192" s="277"/>
      <c r="G192" s="277"/>
      <c r="H192" s="277"/>
      <c r="I192" s="277"/>
      <c r="J192" s="277"/>
    </row>
    <row r="193" spans="1:10" ht="21.75" customHeight="1">
      <c r="A193" s="277"/>
      <c r="B193" s="277"/>
      <c r="C193" s="277"/>
      <c r="D193" s="277"/>
      <c r="E193" s="277"/>
      <c r="F193" s="277"/>
      <c r="G193" s="277"/>
      <c r="H193" s="277"/>
      <c r="I193" s="277"/>
      <c r="J193" s="277"/>
    </row>
    <row r="194" spans="1:10" ht="21.75" customHeight="1">
      <c r="A194" s="277"/>
      <c r="B194" s="277"/>
      <c r="C194" s="277"/>
      <c r="D194" s="277"/>
      <c r="E194" s="277"/>
      <c r="F194" s="277"/>
      <c r="G194" s="277"/>
      <c r="H194" s="277"/>
      <c r="I194" s="277"/>
      <c r="J194" s="277"/>
    </row>
    <row r="195" spans="1:10" ht="21.75" customHeight="1">
      <c r="A195" s="277"/>
      <c r="B195" s="277"/>
      <c r="C195" s="277"/>
      <c r="D195" s="277"/>
      <c r="E195" s="277"/>
      <c r="F195" s="277"/>
      <c r="G195" s="277"/>
      <c r="H195" s="277"/>
      <c r="I195" s="277"/>
      <c r="J195" s="277"/>
    </row>
    <row r="196" spans="1:10" ht="21.75" customHeight="1">
      <c r="A196" s="277"/>
      <c r="B196" s="277"/>
      <c r="C196" s="277"/>
      <c r="D196" s="277"/>
      <c r="E196" s="277"/>
      <c r="F196" s="277"/>
      <c r="G196" s="277"/>
      <c r="H196" s="277"/>
      <c r="I196" s="277"/>
      <c r="J196" s="277"/>
    </row>
    <row r="197" spans="1:10" ht="21.75" customHeight="1">
      <c r="A197" s="277"/>
      <c r="B197" s="277"/>
      <c r="C197" s="277"/>
      <c r="D197" s="277"/>
      <c r="E197" s="277"/>
      <c r="F197" s="277"/>
      <c r="G197" s="277"/>
      <c r="H197" s="277"/>
      <c r="I197" s="277"/>
      <c r="J197" s="277"/>
    </row>
    <row r="198" spans="1:10" ht="21.75" customHeight="1">
      <c r="A198" s="277"/>
      <c r="B198" s="277"/>
      <c r="C198" s="277"/>
      <c r="D198" s="277"/>
      <c r="E198" s="277"/>
      <c r="F198" s="277"/>
      <c r="G198" s="277"/>
      <c r="H198" s="277"/>
      <c r="I198" s="277"/>
      <c r="J198" s="277"/>
    </row>
    <row r="199" spans="1:10" ht="21.75" customHeight="1">
      <c r="A199" s="277"/>
      <c r="B199" s="277"/>
      <c r="C199" s="277"/>
      <c r="D199" s="277"/>
      <c r="E199" s="277"/>
      <c r="F199" s="277"/>
      <c r="G199" s="277"/>
      <c r="H199" s="277"/>
      <c r="I199" s="277"/>
      <c r="J199" s="277"/>
    </row>
    <row r="200" spans="1:10" ht="21.75">
      <c r="A200" s="277"/>
      <c r="B200" s="277"/>
      <c r="C200" s="277"/>
      <c r="D200" s="277"/>
      <c r="E200" s="277"/>
      <c r="F200" s="277"/>
      <c r="G200" s="277"/>
      <c r="H200" s="277"/>
      <c r="I200" s="277"/>
      <c r="J200" s="277"/>
    </row>
    <row r="201" spans="1:10" ht="21.75">
      <c r="A201" s="277"/>
      <c r="B201" s="277"/>
      <c r="C201" s="277"/>
      <c r="D201" s="277"/>
      <c r="E201" s="277"/>
      <c r="F201" s="277"/>
      <c r="G201" s="277"/>
      <c r="H201" s="277"/>
      <c r="I201" s="277"/>
      <c r="J201" s="277"/>
    </row>
    <row r="202" spans="1:10" ht="21.75">
      <c r="A202" s="277"/>
      <c r="B202" s="277"/>
      <c r="C202" s="277"/>
      <c r="D202" s="277"/>
      <c r="E202" s="277"/>
      <c r="F202" s="277"/>
      <c r="G202" s="277"/>
      <c r="H202" s="277"/>
      <c r="I202" s="277"/>
      <c r="J202" s="277"/>
    </row>
    <row r="203" spans="1:10" ht="21.75">
      <c r="A203" s="277"/>
      <c r="B203" s="277"/>
      <c r="C203" s="277"/>
      <c r="D203" s="277"/>
      <c r="E203" s="277"/>
      <c r="F203" s="277"/>
      <c r="G203" s="277"/>
      <c r="H203" s="277"/>
      <c r="I203" s="277"/>
      <c r="J203" s="277"/>
    </row>
    <row r="204" spans="1:10" ht="21.75">
      <c r="A204" s="277"/>
      <c r="B204" s="277"/>
      <c r="C204" s="277"/>
      <c r="D204" s="277"/>
      <c r="E204" s="277"/>
      <c r="F204" s="277"/>
      <c r="G204" s="277"/>
      <c r="H204" s="277"/>
      <c r="I204" s="277"/>
      <c r="J204" s="277"/>
    </row>
    <row r="205" spans="1:10" ht="21.75">
      <c r="A205" s="277"/>
      <c r="B205" s="277"/>
      <c r="C205" s="277"/>
      <c r="D205" s="277"/>
      <c r="E205" s="277"/>
      <c r="F205" s="277"/>
      <c r="G205" s="277"/>
      <c r="H205" s="277"/>
      <c r="I205" s="277"/>
      <c r="J205" s="277"/>
    </row>
  </sheetData>
  <mergeCells count="106">
    <mergeCell ref="I97:J97"/>
    <mergeCell ref="I96:J96"/>
    <mergeCell ref="I98:J98"/>
    <mergeCell ref="A179:J179"/>
    <mergeCell ref="A101:J101"/>
    <mergeCell ref="A103:J103"/>
    <mergeCell ref="A140:J140"/>
    <mergeCell ref="A142:J142"/>
    <mergeCell ref="I99:J99"/>
    <mergeCell ref="I92:J92"/>
    <mergeCell ref="I93:J93"/>
    <mergeCell ref="I94:J94"/>
    <mergeCell ref="I95:J95"/>
    <mergeCell ref="I74:J74"/>
    <mergeCell ref="I91:J91"/>
    <mergeCell ref="I83:J83"/>
    <mergeCell ref="I84:J84"/>
    <mergeCell ref="I85:J85"/>
    <mergeCell ref="I86:J86"/>
    <mergeCell ref="I75:J75"/>
    <mergeCell ref="I82:J82"/>
    <mergeCell ref="I76:J76"/>
    <mergeCell ref="I77:J77"/>
    <mergeCell ref="I80:J80"/>
    <mergeCell ref="I81:J81"/>
    <mergeCell ref="I87:J87"/>
    <mergeCell ref="I89:J89"/>
    <mergeCell ref="I90:J90"/>
    <mergeCell ref="I88:J88"/>
    <mergeCell ref="I78:J78"/>
    <mergeCell ref="I79:J79"/>
    <mergeCell ref="I73:J73"/>
    <mergeCell ref="I60:J60"/>
    <mergeCell ref="I62:J62"/>
    <mergeCell ref="I63:J63"/>
    <mergeCell ref="I64:J64"/>
    <mergeCell ref="I61:J61"/>
    <mergeCell ref="I65:J65"/>
    <mergeCell ref="I66:J66"/>
    <mergeCell ref="I67:J67"/>
    <mergeCell ref="I68:J68"/>
    <mergeCell ref="I72:J72"/>
    <mergeCell ref="I70:J70"/>
    <mergeCell ref="I71:J71"/>
    <mergeCell ref="A57:B57"/>
    <mergeCell ref="C57:F57"/>
    <mergeCell ref="I57:J58"/>
    <mergeCell ref="A59:B59"/>
    <mergeCell ref="I59:J59"/>
    <mergeCell ref="I45:J45"/>
    <mergeCell ref="I34:J34"/>
    <mergeCell ref="I35:J35"/>
    <mergeCell ref="I69:J69"/>
    <mergeCell ref="A56:B56"/>
    <mergeCell ref="C56:F56"/>
    <mergeCell ref="I56:J56"/>
    <mergeCell ref="I38:J38"/>
    <mergeCell ref="I39:J39"/>
    <mergeCell ref="I48:J48"/>
    <mergeCell ref="I41:J41"/>
    <mergeCell ref="I47:J47"/>
    <mergeCell ref="I49:J49"/>
    <mergeCell ref="A51:J51"/>
    <mergeCell ref="I50:J50"/>
    <mergeCell ref="I31:J31"/>
    <mergeCell ref="I36:J36"/>
    <mergeCell ref="I37:J37"/>
    <mergeCell ref="A52:J52"/>
    <mergeCell ref="I43:J43"/>
    <mergeCell ref="I44:J44"/>
    <mergeCell ref="I46:J46"/>
    <mergeCell ref="I32:J32"/>
    <mergeCell ref="I33:J33"/>
    <mergeCell ref="I40:J40"/>
    <mergeCell ref="I42:J42"/>
    <mergeCell ref="I22:J22"/>
    <mergeCell ref="I23:J23"/>
    <mergeCell ref="I24:J24"/>
    <mergeCell ref="I25:J25"/>
    <mergeCell ref="I26:J26"/>
    <mergeCell ref="I27:J27"/>
    <mergeCell ref="I28:J28"/>
    <mergeCell ref="I29:J29"/>
    <mergeCell ref="I30:J30"/>
    <mergeCell ref="I16:J16"/>
    <mergeCell ref="I17:J17"/>
    <mergeCell ref="I20:J20"/>
    <mergeCell ref="I21:J21"/>
    <mergeCell ref="I18:J18"/>
    <mergeCell ref="I19:J19"/>
    <mergeCell ref="A1:J1"/>
    <mergeCell ref="A2:J2"/>
    <mergeCell ref="A6:B6"/>
    <mergeCell ref="C6:F6"/>
    <mergeCell ref="I6:J6"/>
    <mergeCell ref="A7:B7"/>
    <mergeCell ref="C7:F7"/>
    <mergeCell ref="I7:J8"/>
    <mergeCell ref="A9:B9"/>
    <mergeCell ref="I9:J9"/>
    <mergeCell ref="I10:J10"/>
    <mergeCell ref="I14:J14"/>
    <mergeCell ref="I15:J15"/>
    <mergeCell ref="I11:J11"/>
    <mergeCell ref="I12:J12"/>
    <mergeCell ref="I13:J13"/>
  </mergeCells>
  <phoneticPr fontId="31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9">
    <tabColor rgb="FFFF0000"/>
  </sheetPr>
  <dimension ref="A1:DX141"/>
  <sheetViews>
    <sheetView topLeftCell="A16" zoomScale="145" zoomScaleNormal="145" zoomScaleSheetLayoutView="100" workbookViewId="0">
      <selection activeCell="G32" sqref="G32"/>
    </sheetView>
  </sheetViews>
  <sheetFormatPr defaultColWidth="12" defaultRowHeight="15.75"/>
  <cols>
    <col min="1" max="1" width="5.33203125" style="1534" customWidth="1"/>
    <col min="2" max="2" width="48.6640625" style="1461" customWidth="1"/>
    <col min="3" max="3" width="11.33203125" style="1461" customWidth="1"/>
    <col min="4" max="4" width="11.5" style="1534" customWidth="1"/>
    <col min="5" max="5" width="8.83203125" style="1534" customWidth="1"/>
    <col min="6" max="8" width="8.83203125" style="1461" customWidth="1"/>
    <col min="9" max="9" width="3.33203125" style="1461" customWidth="1"/>
    <col min="10" max="10" width="15.5" style="1461" customWidth="1"/>
    <col min="11" max="11" width="8.6640625" style="1461" customWidth="1"/>
    <col min="12" max="12" width="9.5" style="1461" bestFit="1" customWidth="1"/>
    <col min="13" max="18" width="5.83203125" style="1461" customWidth="1"/>
    <col min="19" max="19" width="6.33203125" style="1461" customWidth="1"/>
    <col min="20" max="20" width="6.5" style="1461" customWidth="1"/>
    <col min="21" max="21" width="6.6640625" style="1461" bestFit="1" customWidth="1"/>
    <col min="22" max="22" width="6.6640625" style="1461" customWidth="1"/>
    <col min="23" max="23" width="6.6640625" style="1461" bestFit="1" customWidth="1"/>
    <col min="24" max="26" width="5.83203125" style="1461" customWidth="1"/>
    <col min="27" max="27" width="6.6640625" style="1461" bestFit="1" customWidth="1"/>
    <col min="28" max="28" width="5.83203125" style="1461" customWidth="1"/>
    <col min="29" max="29" width="6.6640625" style="1461" bestFit="1" customWidth="1"/>
    <col min="30" max="76" width="5.83203125" style="1461" customWidth="1"/>
    <col min="77" max="77" width="8.1640625" style="1461" bestFit="1" customWidth="1"/>
    <col min="78" max="82" width="5.83203125" style="1461" customWidth="1"/>
    <col min="83" max="83" width="7.33203125" style="1461" bestFit="1" customWidth="1"/>
    <col min="84" max="128" width="5.83203125" style="1461" customWidth="1"/>
    <col min="129" max="16384" width="12" style="1461"/>
  </cols>
  <sheetData>
    <row r="1" spans="1:128" ht="26.25">
      <c r="A1" s="1280"/>
      <c r="B1" s="1458" t="s">
        <v>1014</v>
      </c>
      <c r="C1" s="1280"/>
      <c r="D1" s="1459"/>
      <c r="E1" s="1459"/>
      <c r="F1" s="1460"/>
      <c r="G1" s="1460"/>
      <c r="H1" s="1460"/>
      <c r="I1" s="1283"/>
      <c r="J1" s="1283"/>
      <c r="K1" s="1283"/>
      <c r="M1" s="2504" t="s">
        <v>1451</v>
      </c>
      <c r="N1" s="2505"/>
      <c r="O1" s="2505"/>
      <c r="P1" s="2505"/>
      <c r="Q1" s="2505"/>
      <c r="R1" s="2505"/>
      <c r="S1" s="2505"/>
      <c r="T1" s="2505"/>
      <c r="U1" s="2505"/>
      <c r="V1" s="2505"/>
      <c r="W1" s="2505"/>
      <c r="X1" s="2505"/>
      <c r="Y1" s="2505"/>
      <c r="Z1" s="2505"/>
      <c r="AA1" s="2505"/>
      <c r="AB1" s="2505"/>
      <c r="AC1" s="2505"/>
      <c r="AD1" s="2505"/>
      <c r="AE1" s="2505"/>
      <c r="AF1" s="2505"/>
      <c r="AG1" s="2505"/>
      <c r="AH1" s="2505"/>
      <c r="AI1" s="2505"/>
      <c r="AJ1" s="2505"/>
      <c r="AK1" s="2505"/>
      <c r="AL1" s="2505"/>
      <c r="AM1" s="2505"/>
      <c r="AN1" s="2505"/>
      <c r="AO1" s="2505"/>
      <c r="AP1" s="2505"/>
      <c r="AQ1" s="2505"/>
      <c r="AR1" s="2505"/>
      <c r="AS1" s="2505"/>
      <c r="AT1" s="2505"/>
      <c r="AU1" s="2505"/>
      <c r="AV1" s="2505"/>
      <c r="AW1" s="2505"/>
      <c r="AX1" s="2505"/>
      <c r="AY1" s="2505"/>
      <c r="AZ1" s="2505"/>
      <c r="BA1" s="2505"/>
      <c r="BB1" s="2505"/>
      <c r="BC1" s="2505"/>
      <c r="BD1" s="2505"/>
      <c r="BE1" s="2505"/>
      <c r="BF1" s="2505"/>
      <c r="BG1" s="2505"/>
      <c r="BH1" s="2505"/>
      <c r="BI1" s="2505"/>
      <c r="BJ1" s="2505"/>
      <c r="BK1" s="2505"/>
      <c r="BL1" s="2505"/>
      <c r="BM1" s="2505"/>
      <c r="BN1" s="2505"/>
      <c r="BO1" s="2505"/>
      <c r="BP1" s="2505"/>
      <c r="BQ1" s="2505"/>
      <c r="BR1" s="2505"/>
      <c r="BS1" s="2505"/>
      <c r="BT1" s="2505"/>
      <c r="BU1" s="2505"/>
      <c r="BV1" s="2505"/>
      <c r="BW1" s="2505"/>
      <c r="BX1" s="2505"/>
      <c r="BY1" s="2505"/>
      <c r="BZ1" s="2505"/>
      <c r="CA1" s="2505"/>
      <c r="CB1" s="2505"/>
      <c r="CC1" s="2505"/>
      <c r="CD1" s="2505"/>
      <c r="CE1" s="2505"/>
      <c r="CF1" s="2505"/>
      <c r="CG1" s="2505"/>
      <c r="CH1" s="2505"/>
      <c r="CI1" s="2505"/>
      <c r="CJ1" s="2505"/>
      <c r="CK1" s="2505"/>
      <c r="CL1" s="2505"/>
      <c r="CM1" s="2505"/>
      <c r="CN1" s="2505"/>
      <c r="CO1" s="2505"/>
      <c r="CP1" s="2505"/>
      <c r="CQ1" s="2505"/>
      <c r="CR1" s="2505"/>
      <c r="CS1" s="2505"/>
      <c r="CT1" s="2505"/>
      <c r="CU1" s="2505"/>
      <c r="CV1" s="2505"/>
      <c r="CW1" s="2505"/>
      <c r="CX1" s="2505"/>
      <c r="CY1" s="2505"/>
      <c r="CZ1" s="2505"/>
      <c r="DA1" s="2505"/>
      <c r="DB1" s="2505"/>
      <c r="DC1" s="2505"/>
      <c r="DD1" s="2505"/>
      <c r="DE1" s="2505"/>
      <c r="DF1" s="2505"/>
      <c r="DG1" s="2505"/>
      <c r="DH1" s="2505"/>
      <c r="DI1" s="2505"/>
      <c r="DJ1" s="2505"/>
      <c r="DK1" s="2505"/>
      <c r="DL1" s="2505"/>
      <c r="DM1" s="2505"/>
      <c r="DN1" s="2505"/>
      <c r="DO1" s="2505"/>
      <c r="DP1" s="2505"/>
      <c r="DQ1" s="2505"/>
      <c r="DR1" s="2505"/>
      <c r="DS1" s="2505"/>
      <c r="DT1" s="2505"/>
      <c r="DU1" s="2505"/>
      <c r="DV1" s="2505"/>
      <c r="DW1" s="2505"/>
      <c r="DX1" s="2506"/>
    </row>
    <row r="2" spans="1:128" ht="23.25" customHeight="1">
      <c r="A2" s="1280"/>
      <c r="B2" s="1462" t="s">
        <v>1015</v>
      </c>
      <c r="C2" s="1280"/>
      <c r="D2" s="1463">
        <f>กรอกราคาวัสดุ!L3</f>
        <v>35.5</v>
      </c>
      <c r="E2" s="1464" t="s">
        <v>918</v>
      </c>
      <c r="F2" s="1460"/>
      <c r="G2" s="1460"/>
      <c r="H2" s="1460"/>
      <c r="I2" s="1283"/>
      <c r="J2" s="1465"/>
      <c r="K2" s="1283"/>
      <c r="M2" s="2507"/>
      <c r="N2" s="2508"/>
      <c r="O2" s="2508"/>
      <c r="P2" s="2508"/>
      <c r="Q2" s="2508"/>
      <c r="R2" s="2508"/>
      <c r="S2" s="2508"/>
      <c r="T2" s="2508"/>
      <c r="U2" s="2508"/>
      <c r="V2" s="2508"/>
      <c r="W2" s="2508"/>
      <c r="X2" s="2508"/>
      <c r="Y2" s="2508"/>
      <c r="Z2" s="2508"/>
      <c r="AA2" s="2508"/>
      <c r="AB2" s="2508"/>
      <c r="AC2" s="2508"/>
      <c r="AD2" s="2508"/>
      <c r="AE2" s="2508"/>
      <c r="AF2" s="2508"/>
      <c r="AG2" s="2508"/>
      <c r="AH2" s="2508"/>
      <c r="AI2" s="2508"/>
      <c r="AJ2" s="2508"/>
      <c r="AK2" s="2508"/>
      <c r="AL2" s="2508"/>
      <c r="AM2" s="2508"/>
      <c r="AN2" s="2508"/>
      <c r="AO2" s="2508"/>
      <c r="AP2" s="2508"/>
      <c r="AQ2" s="2508"/>
      <c r="AR2" s="2508"/>
      <c r="AS2" s="2508"/>
      <c r="AT2" s="2508"/>
      <c r="AU2" s="2508"/>
      <c r="AV2" s="2508"/>
      <c r="AW2" s="2508"/>
      <c r="AX2" s="2508"/>
      <c r="AY2" s="2508"/>
      <c r="AZ2" s="2508"/>
      <c r="BA2" s="2508"/>
      <c r="BB2" s="2508"/>
      <c r="BC2" s="2508"/>
      <c r="BD2" s="2508"/>
      <c r="BE2" s="2508"/>
      <c r="BF2" s="2508"/>
      <c r="BG2" s="2508"/>
      <c r="BH2" s="2508"/>
      <c r="BI2" s="2508"/>
      <c r="BJ2" s="2508"/>
      <c r="BK2" s="2508"/>
      <c r="BL2" s="2508"/>
      <c r="BM2" s="2508"/>
      <c r="BN2" s="2508"/>
      <c r="BO2" s="2508"/>
      <c r="BP2" s="2508"/>
      <c r="BQ2" s="2508"/>
      <c r="BR2" s="2508"/>
      <c r="BS2" s="2508"/>
      <c r="BT2" s="2508"/>
      <c r="BU2" s="2508"/>
      <c r="BV2" s="2508"/>
      <c r="BW2" s="2508"/>
      <c r="BX2" s="2508"/>
      <c r="BY2" s="2508"/>
      <c r="BZ2" s="2508"/>
      <c r="CA2" s="2508"/>
      <c r="CB2" s="2508"/>
      <c r="CC2" s="2508"/>
      <c r="CD2" s="2508"/>
      <c r="CE2" s="2508"/>
      <c r="CF2" s="2508"/>
      <c r="CG2" s="2508"/>
      <c r="CH2" s="2508"/>
      <c r="CI2" s="2508"/>
      <c r="CJ2" s="2508"/>
      <c r="CK2" s="2508"/>
      <c r="CL2" s="2508"/>
      <c r="CM2" s="2508"/>
      <c r="CN2" s="2508"/>
      <c r="CO2" s="2508"/>
      <c r="CP2" s="2508"/>
      <c r="CQ2" s="2508"/>
      <c r="CR2" s="2508"/>
      <c r="CS2" s="2508"/>
      <c r="CT2" s="2508"/>
      <c r="CU2" s="2508"/>
      <c r="CV2" s="2508"/>
      <c r="CW2" s="2508"/>
      <c r="CX2" s="2508"/>
      <c r="CY2" s="2508"/>
      <c r="CZ2" s="2508"/>
      <c r="DA2" s="2508"/>
      <c r="DB2" s="2508"/>
      <c r="DC2" s="2508"/>
      <c r="DD2" s="2508"/>
      <c r="DE2" s="2508"/>
      <c r="DF2" s="2508"/>
      <c r="DG2" s="2508"/>
      <c r="DH2" s="2508"/>
      <c r="DI2" s="2508"/>
      <c r="DJ2" s="2508"/>
      <c r="DK2" s="2508"/>
      <c r="DL2" s="2508"/>
      <c r="DM2" s="2508"/>
      <c r="DN2" s="2508"/>
      <c r="DO2" s="2508"/>
      <c r="DP2" s="2508"/>
      <c r="DQ2" s="2508"/>
      <c r="DR2" s="2508"/>
      <c r="DS2" s="2508"/>
      <c r="DT2" s="2508"/>
      <c r="DU2" s="2508"/>
      <c r="DV2" s="2508"/>
      <c r="DW2" s="2508"/>
      <c r="DX2" s="2509"/>
    </row>
    <row r="3" spans="1:128" ht="18.75" customHeight="1">
      <c r="A3" s="1466"/>
      <c r="B3" s="1466"/>
      <c r="C3" s="1467"/>
      <c r="D3" s="1468" t="s">
        <v>391</v>
      </c>
      <c r="E3" s="2510" t="s">
        <v>1016</v>
      </c>
      <c r="F3" s="2511"/>
      <c r="G3" s="1469" t="s">
        <v>1017</v>
      </c>
      <c r="H3" s="1469"/>
      <c r="I3" s="1367"/>
      <c r="J3" s="1367"/>
      <c r="K3" s="1367"/>
      <c r="M3" s="2486" t="s">
        <v>590</v>
      </c>
      <c r="N3" s="2487"/>
      <c r="O3" s="2487"/>
      <c r="P3" s="2487"/>
      <c r="Q3" s="2487"/>
      <c r="R3" s="2488"/>
      <c r="S3" s="2486" t="s">
        <v>591</v>
      </c>
      <c r="T3" s="2487"/>
      <c r="U3" s="2487"/>
      <c r="V3" s="2488"/>
      <c r="W3" s="2486" t="s">
        <v>592</v>
      </c>
      <c r="X3" s="2487"/>
      <c r="Y3" s="2487"/>
      <c r="Z3" s="2487"/>
      <c r="AA3" s="2487"/>
      <c r="AB3" s="2487"/>
      <c r="AC3" s="2487"/>
      <c r="AD3" s="2487"/>
      <c r="AE3" s="2487"/>
      <c r="AF3" s="2487"/>
      <c r="AG3" s="2487"/>
      <c r="AH3" s="2488"/>
      <c r="AI3" s="2497" t="s">
        <v>593</v>
      </c>
      <c r="AJ3" s="2498"/>
      <c r="AK3" s="2498"/>
      <c r="AL3" s="2498"/>
      <c r="AM3" s="2498"/>
      <c r="AN3" s="2499"/>
      <c r="AO3" s="2497" t="s">
        <v>594</v>
      </c>
      <c r="AP3" s="2498"/>
      <c r="AQ3" s="2498"/>
      <c r="AR3" s="2499"/>
      <c r="AS3" s="2497" t="s">
        <v>595</v>
      </c>
      <c r="AT3" s="2498"/>
      <c r="AU3" s="2498"/>
      <c r="AV3" s="2499"/>
      <c r="AW3" s="2500" t="s">
        <v>596</v>
      </c>
      <c r="AX3" s="2501"/>
      <c r="AY3" s="2497" t="s">
        <v>597</v>
      </c>
      <c r="AZ3" s="2498"/>
      <c r="BA3" s="2498"/>
      <c r="BB3" s="2498"/>
      <c r="BC3" s="2498"/>
      <c r="BD3" s="2499"/>
      <c r="BE3" s="2500" t="s">
        <v>598</v>
      </c>
      <c r="BF3" s="2501"/>
      <c r="BG3" s="2500" t="s">
        <v>599</v>
      </c>
      <c r="BH3" s="2501"/>
      <c r="BI3" s="2486" t="s">
        <v>600</v>
      </c>
      <c r="BJ3" s="2487"/>
      <c r="BK3" s="2487"/>
      <c r="BL3" s="2487"/>
      <c r="BM3" s="2487"/>
      <c r="BN3" s="2487"/>
      <c r="BO3" s="2487"/>
      <c r="BP3" s="2488"/>
      <c r="BQ3" s="2486" t="s">
        <v>211</v>
      </c>
      <c r="BR3" s="2487"/>
      <c r="BS3" s="2487"/>
      <c r="BT3" s="2487"/>
      <c r="BU3" s="2487"/>
      <c r="BV3" s="2487"/>
      <c r="BW3" s="2487"/>
      <c r="BX3" s="2488"/>
      <c r="BY3" s="2486" t="s">
        <v>601</v>
      </c>
      <c r="BZ3" s="2487"/>
      <c r="CA3" s="2487"/>
      <c r="CB3" s="2487"/>
      <c r="CC3" s="2487"/>
      <c r="CD3" s="2488"/>
      <c r="CE3" s="2486" t="s">
        <v>602</v>
      </c>
      <c r="CF3" s="2487"/>
      <c r="CG3" s="2487"/>
      <c r="CH3" s="2487"/>
      <c r="CI3" s="2487"/>
      <c r="CJ3" s="2487"/>
      <c r="CK3" s="2487"/>
      <c r="CL3" s="2487"/>
      <c r="CM3" s="2487"/>
      <c r="CN3" s="2487"/>
      <c r="CO3" s="2487"/>
      <c r="CP3" s="2487"/>
      <c r="CQ3" s="2487"/>
      <c r="CR3" s="2488"/>
      <c r="CS3" s="2486" t="s">
        <v>212</v>
      </c>
      <c r="CT3" s="2487"/>
      <c r="CU3" s="2487"/>
      <c r="CV3" s="2487"/>
      <c r="CW3" s="2487"/>
      <c r="CX3" s="2487"/>
      <c r="CY3" s="2487"/>
      <c r="CZ3" s="2488"/>
      <c r="DA3" s="2495" t="s">
        <v>213</v>
      </c>
      <c r="DB3" s="2496"/>
      <c r="DC3" s="2496"/>
      <c r="DD3" s="2496"/>
      <c r="DE3" s="2496"/>
      <c r="DF3" s="2496"/>
      <c r="DG3" s="1470"/>
      <c r="DH3" s="1470"/>
      <c r="DI3" s="2486" t="s">
        <v>214</v>
      </c>
      <c r="DJ3" s="2488"/>
      <c r="DK3" s="2486" t="s">
        <v>215</v>
      </c>
      <c r="DL3" s="2488"/>
      <c r="DM3" s="2489" t="s">
        <v>216</v>
      </c>
      <c r="DN3" s="2490"/>
      <c r="DO3" s="2490"/>
      <c r="DP3" s="2490"/>
      <c r="DQ3" s="2490"/>
      <c r="DR3" s="2490"/>
      <c r="DS3" s="2490"/>
      <c r="DT3" s="2491"/>
      <c r="DU3" s="2492" t="s">
        <v>603</v>
      </c>
      <c r="DV3" s="2493"/>
      <c r="DW3" s="2493"/>
      <c r="DX3" s="2494"/>
    </row>
    <row r="4" spans="1:128" ht="18.75" customHeight="1">
      <c r="A4" s="1471"/>
      <c r="B4" s="1471" t="s">
        <v>1018</v>
      </c>
      <c r="C4" s="1472" t="s">
        <v>1019</v>
      </c>
      <c r="D4" s="1473" t="s">
        <v>1020</v>
      </c>
      <c r="E4" s="1473"/>
      <c r="F4" s="1473"/>
      <c r="G4" s="1473"/>
      <c r="H4" s="1473"/>
      <c r="I4" s="1367"/>
      <c r="K4" s="1367"/>
      <c r="L4" s="1474" t="s">
        <v>785</v>
      </c>
      <c r="M4" s="2484">
        <v>1.1000000000000001</v>
      </c>
      <c r="N4" s="2485"/>
      <c r="O4" s="2484">
        <v>1.2</v>
      </c>
      <c r="P4" s="2485"/>
      <c r="Q4" s="2484">
        <v>1.3</v>
      </c>
      <c r="R4" s="2485"/>
      <c r="S4" s="2484">
        <v>2.1</v>
      </c>
      <c r="T4" s="2485"/>
      <c r="U4" s="2484">
        <v>2.2000000000000002</v>
      </c>
      <c r="V4" s="2485"/>
      <c r="W4" s="2484">
        <v>3.1</v>
      </c>
      <c r="X4" s="2485"/>
      <c r="Y4" s="2484">
        <v>3.2</v>
      </c>
      <c r="Z4" s="2485"/>
      <c r="AA4" s="2484">
        <v>3.3</v>
      </c>
      <c r="AB4" s="2485"/>
      <c r="AC4" s="2484">
        <v>3.4</v>
      </c>
      <c r="AD4" s="2485"/>
      <c r="AE4" s="2484">
        <v>3.5</v>
      </c>
      <c r="AF4" s="2485"/>
      <c r="AG4" s="2484">
        <v>3.6</v>
      </c>
      <c r="AH4" s="2485"/>
      <c r="AI4" s="2484">
        <v>4.0999999999999996</v>
      </c>
      <c r="AJ4" s="2485"/>
      <c r="AK4" s="2484">
        <v>4.2</v>
      </c>
      <c r="AL4" s="2485"/>
      <c r="AM4" s="2484">
        <v>4.3</v>
      </c>
      <c r="AN4" s="2485"/>
      <c r="AO4" s="2484">
        <v>5.0999999999999996</v>
      </c>
      <c r="AP4" s="2485"/>
      <c r="AQ4" s="2484">
        <v>5.2</v>
      </c>
      <c r="AR4" s="2485"/>
      <c r="AS4" s="2484">
        <v>6.1</v>
      </c>
      <c r="AT4" s="2485"/>
      <c r="AU4" s="2484">
        <v>6.2</v>
      </c>
      <c r="AV4" s="2485"/>
      <c r="AW4" s="2484">
        <v>7.1</v>
      </c>
      <c r="AX4" s="2485"/>
      <c r="AY4" s="2484">
        <v>8.1</v>
      </c>
      <c r="AZ4" s="2485"/>
      <c r="BA4" s="2484">
        <v>8.1999999999999993</v>
      </c>
      <c r="BB4" s="2485"/>
      <c r="BC4" s="2484">
        <v>8.3000000000000007</v>
      </c>
      <c r="BD4" s="2485"/>
      <c r="BE4" s="1475">
        <v>9.1</v>
      </c>
      <c r="BF4" s="1476">
        <v>9.1999999999999993</v>
      </c>
      <c r="BG4" s="1477">
        <v>10.1</v>
      </c>
      <c r="BH4" s="1477">
        <v>10.199999999999999</v>
      </c>
      <c r="BI4" s="2484">
        <v>11.1</v>
      </c>
      <c r="BJ4" s="2485"/>
      <c r="BK4" s="2484">
        <v>11.2</v>
      </c>
      <c r="BL4" s="2485"/>
      <c r="BM4" s="2484">
        <v>11.3</v>
      </c>
      <c r="BN4" s="2485"/>
      <c r="BO4" s="2484">
        <v>11.4</v>
      </c>
      <c r="BP4" s="2485"/>
      <c r="BQ4" s="2484">
        <v>12.1</v>
      </c>
      <c r="BR4" s="2485"/>
      <c r="BS4" s="2484">
        <v>12.2</v>
      </c>
      <c r="BT4" s="2485"/>
      <c r="BU4" s="2484">
        <v>12.3</v>
      </c>
      <c r="BV4" s="2485"/>
      <c r="BW4" s="2484">
        <v>12.4</v>
      </c>
      <c r="BX4" s="2485"/>
      <c r="BY4" s="2484">
        <v>13.1</v>
      </c>
      <c r="BZ4" s="2485"/>
      <c r="CA4" s="2484">
        <v>13.2</v>
      </c>
      <c r="CB4" s="2485"/>
      <c r="CC4" s="2484">
        <v>13.3</v>
      </c>
      <c r="CD4" s="2485"/>
      <c r="CE4" s="2484">
        <v>14.1</v>
      </c>
      <c r="CF4" s="2485"/>
      <c r="CG4" s="2484">
        <v>14.2</v>
      </c>
      <c r="CH4" s="2485"/>
      <c r="CI4" s="2484">
        <v>14.3</v>
      </c>
      <c r="CJ4" s="2485"/>
      <c r="CK4" s="2484">
        <v>14.4</v>
      </c>
      <c r="CL4" s="2485"/>
      <c r="CM4" s="2484">
        <v>14.5</v>
      </c>
      <c r="CN4" s="2485"/>
      <c r="CO4" s="2484">
        <v>14.6</v>
      </c>
      <c r="CP4" s="2485"/>
      <c r="CQ4" s="2484">
        <v>14.7</v>
      </c>
      <c r="CR4" s="2485"/>
      <c r="CS4" s="2484">
        <v>15.1</v>
      </c>
      <c r="CT4" s="2485"/>
      <c r="CU4" s="2484">
        <v>15.2</v>
      </c>
      <c r="CV4" s="2485"/>
      <c r="CW4" s="2484">
        <v>15.3</v>
      </c>
      <c r="CX4" s="2485"/>
      <c r="CY4" s="2502">
        <v>15.4</v>
      </c>
      <c r="CZ4" s="2503"/>
      <c r="DA4" s="2502">
        <v>16.100000000000001</v>
      </c>
      <c r="DB4" s="2503"/>
      <c r="DC4" s="2502">
        <v>16.2</v>
      </c>
      <c r="DD4" s="2503"/>
      <c r="DE4" s="2502">
        <v>16.3</v>
      </c>
      <c r="DF4" s="2503"/>
      <c r="DG4" s="2502">
        <v>16.399999999999999</v>
      </c>
      <c r="DH4" s="2503"/>
      <c r="DI4" s="1478">
        <v>17.100000000000001</v>
      </c>
      <c r="DJ4" s="1479">
        <v>17.2</v>
      </c>
      <c r="DK4" s="1480">
        <v>18.100000000000001</v>
      </c>
      <c r="DL4" s="1480">
        <v>18.2</v>
      </c>
      <c r="DM4" s="2502">
        <v>19.100000000000001</v>
      </c>
      <c r="DN4" s="2503"/>
      <c r="DO4" s="2502">
        <v>19.2</v>
      </c>
      <c r="DP4" s="2503"/>
      <c r="DQ4" s="2502">
        <v>19.3</v>
      </c>
      <c r="DR4" s="2503"/>
      <c r="DS4" s="2502">
        <v>19.399999999999999</v>
      </c>
      <c r="DT4" s="2503"/>
      <c r="DU4" s="2502">
        <v>20.100000000000001</v>
      </c>
      <c r="DV4" s="2503"/>
      <c r="DW4" s="2502">
        <v>20.2</v>
      </c>
      <c r="DX4" s="2503"/>
    </row>
    <row r="5" spans="1:128" ht="18.75" customHeight="1">
      <c r="A5" s="1481"/>
      <c r="B5" s="1481"/>
      <c r="C5" s="1482"/>
      <c r="D5" s="1483" t="s">
        <v>1021</v>
      </c>
      <c r="E5" s="1483" t="s">
        <v>1022</v>
      </c>
      <c r="F5" s="1483" t="s">
        <v>1023</v>
      </c>
      <c r="G5" s="1483" t="s">
        <v>1022</v>
      </c>
      <c r="H5" s="1483" t="s">
        <v>1023</v>
      </c>
      <c r="I5" s="1367"/>
      <c r="K5" s="1367"/>
      <c r="L5" s="1484"/>
      <c r="M5" s="1481" t="s">
        <v>604</v>
      </c>
      <c r="N5" s="1481" t="s">
        <v>788</v>
      </c>
      <c r="O5" s="1481" t="s">
        <v>604</v>
      </c>
      <c r="P5" s="1481" t="s">
        <v>788</v>
      </c>
      <c r="Q5" s="1481" t="s">
        <v>604</v>
      </c>
      <c r="R5" s="1481" t="s">
        <v>788</v>
      </c>
      <c r="S5" s="1481" t="s">
        <v>604</v>
      </c>
      <c r="T5" s="1481" t="s">
        <v>788</v>
      </c>
      <c r="U5" s="1481" t="s">
        <v>604</v>
      </c>
      <c r="V5" s="1481" t="s">
        <v>788</v>
      </c>
      <c r="W5" s="1481" t="s">
        <v>604</v>
      </c>
      <c r="X5" s="1481" t="s">
        <v>788</v>
      </c>
      <c r="Y5" s="1481" t="s">
        <v>604</v>
      </c>
      <c r="Z5" s="1481" t="s">
        <v>788</v>
      </c>
      <c r="AA5" s="1481" t="s">
        <v>604</v>
      </c>
      <c r="AB5" s="1481" t="s">
        <v>788</v>
      </c>
      <c r="AC5" s="1481" t="s">
        <v>604</v>
      </c>
      <c r="AD5" s="1481" t="s">
        <v>788</v>
      </c>
      <c r="AE5" s="1481" t="s">
        <v>604</v>
      </c>
      <c r="AF5" s="1481" t="s">
        <v>788</v>
      </c>
      <c r="AG5" s="1481" t="s">
        <v>604</v>
      </c>
      <c r="AH5" s="1481" t="s">
        <v>788</v>
      </c>
      <c r="AI5" s="1481" t="s">
        <v>604</v>
      </c>
      <c r="AJ5" s="1481" t="s">
        <v>788</v>
      </c>
      <c r="AK5" s="1481" t="s">
        <v>604</v>
      </c>
      <c r="AL5" s="1481" t="s">
        <v>788</v>
      </c>
      <c r="AM5" s="1481" t="s">
        <v>604</v>
      </c>
      <c r="AN5" s="1481" t="s">
        <v>788</v>
      </c>
      <c r="AO5" s="1481" t="s">
        <v>604</v>
      </c>
      <c r="AP5" s="1481" t="s">
        <v>788</v>
      </c>
      <c r="AQ5" s="1481" t="s">
        <v>604</v>
      </c>
      <c r="AR5" s="1481" t="s">
        <v>788</v>
      </c>
      <c r="AS5" s="1481" t="s">
        <v>604</v>
      </c>
      <c r="AT5" s="1481" t="s">
        <v>788</v>
      </c>
      <c r="AU5" s="1481" t="s">
        <v>604</v>
      </c>
      <c r="AV5" s="1481" t="s">
        <v>788</v>
      </c>
      <c r="AW5" s="1481" t="s">
        <v>604</v>
      </c>
      <c r="AX5" s="1481" t="s">
        <v>788</v>
      </c>
      <c r="AY5" s="1481" t="s">
        <v>604</v>
      </c>
      <c r="AZ5" s="1481" t="s">
        <v>788</v>
      </c>
      <c r="BA5" s="1481" t="s">
        <v>604</v>
      </c>
      <c r="BB5" s="1481" t="s">
        <v>788</v>
      </c>
      <c r="BC5" s="1481" t="s">
        <v>604</v>
      </c>
      <c r="BD5" s="1481" t="s">
        <v>788</v>
      </c>
      <c r="BE5" s="1481" t="s">
        <v>604</v>
      </c>
      <c r="BF5" s="1481" t="s">
        <v>788</v>
      </c>
      <c r="BG5" s="1481" t="s">
        <v>604</v>
      </c>
      <c r="BH5" s="1481" t="s">
        <v>788</v>
      </c>
      <c r="BI5" s="1481" t="s">
        <v>604</v>
      </c>
      <c r="BJ5" s="1481" t="s">
        <v>788</v>
      </c>
      <c r="BK5" s="1481" t="s">
        <v>604</v>
      </c>
      <c r="BL5" s="1481" t="s">
        <v>788</v>
      </c>
      <c r="BM5" s="1481" t="s">
        <v>604</v>
      </c>
      <c r="BN5" s="1481" t="s">
        <v>788</v>
      </c>
      <c r="BO5" s="1481" t="s">
        <v>604</v>
      </c>
      <c r="BP5" s="1481" t="s">
        <v>788</v>
      </c>
      <c r="BQ5" s="1485" t="s">
        <v>604</v>
      </c>
      <c r="BR5" s="1485" t="s">
        <v>788</v>
      </c>
      <c r="BS5" s="1485" t="s">
        <v>604</v>
      </c>
      <c r="BT5" s="1485" t="s">
        <v>788</v>
      </c>
      <c r="BU5" s="1485" t="s">
        <v>604</v>
      </c>
      <c r="BV5" s="1485" t="s">
        <v>788</v>
      </c>
      <c r="BW5" s="1485" t="s">
        <v>604</v>
      </c>
      <c r="BX5" s="1485" t="s">
        <v>788</v>
      </c>
      <c r="BY5" s="1485" t="s">
        <v>604</v>
      </c>
      <c r="BZ5" s="1485" t="s">
        <v>788</v>
      </c>
      <c r="CA5" s="1485" t="s">
        <v>604</v>
      </c>
      <c r="CB5" s="1485" t="s">
        <v>788</v>
      </c>
      <c r="CC5" s="1485" t="s">
        <v>604</v>
      </c>
      <c r="CD5" s="1485" t="s">
        <v>788</v>
      </c>
      <c r="CE5" s="1485" t="s">
        <v>604</v>
      </c>
      <c r="CF5" s="1485" t="s">
        <v>788</v>
      </c>
      <c r="CG5" s="1485" t="s">
        <v>604</v>
      </c>
      <c r="CH5" s="1485" t="s">
        <v>788</v>
      </c>
      <c r="CI5" s="1485" t="s">
        <v>604</v>
      </c>
      <c r="CJ5" s="1485" t="s">
        <v>788</v>
      </c>
      <c r="CK5" s="1485" t="s">
        <v>604</v>
      </c>
      <c r="CL5" s="1485" t="s">
        <v>788</v>
      </c>
      <c r="CM5" s="1485" t="s">
        <v>604</v>
      </c>
      <c r="CN5" s="1485" t="s">
        <v>788</v>
      </c>
      <c r="CO5" s="1485" t="s">
        <v>604</v>
      </c>
      <c r="CP5" s="1485" t="s">
        <v>788</v>
      </c>
      <c r="CQ5" s="1485" t="s">
        <v>604</v>
      </c>
      <c r="CR5" s="1485" t="s">
        <v>788</v>
      </c>
      <c r="CS5" s="1485" t="s">
        <v>604</v>
      </c>
      <c r="CT5" s="1485" t="s">
        <v>788</v>
      </c>
      <c r="CU5" s="1485" t="s">
        <v>604</v>
      </c>
      <c r="CV5" s="1485" t="s">
        <v>788</v>
      </c>
      <c r="CW5" s="1485" t="s">
        <v>604</v>
      </c>
      <c r="CX5" s="1485" t="s">
        <v>788</v>
      </c>
      <c r="CY5" s="1485" t="s">
        <v>604</v>
      </c>
      <c r="CZ5" s="1485" t="s">
        <v>788</v>
      </c>
      <c r="DA5" s="1485" t="s">
        <v>604</v>
      </c>
      <c r="DB5" s="1485" t="s">
        <v>788</v>
      </c>
      <c r="DC5" s="1485" t="s">
        <v>604</v>
      </c>
      <c r="DD5" s="1485" t="s">
        <v>788</v>
      </c>
      <c r="DE5" s="1485" t="s">
        <v>604</v>
      </c>
      <c r="DF5" s="1485" t="s">
        <v>788</v>
      </c>
      <c r="DG5" s="1485" t="s">
        <v>604</v>
      </c>
      <c r="DH5" s="1485" t="s">
        <v>788</v>
      </c>
      <c r="DI5" s="1485" t="s">
        <v>604</v>
      </c>
      <c r="DJ5" s="1485" t="s">
        <v>788</v>
      </c>
      <c r="DK5" s="1485" t="s">
        <v>604</v>
      </c>
      <c r="DL5" s="1485" t="s">
        <v>788</v>
      </c>
      <c r="DM5" s="1485" t="s">
        <v>604</v>
      </c>
      <c r="DN5" s="1485" t="s">
        <v>788</v>
      </c>
      <c r="DO5" s="1485" t="s">
        <v>604</v>
      </c>
      <c r="DP5" s="1485" t="s">
        <v>788</v>
      </c>
      <c r="DQ5" s="1485" t="s">
        <v>604</v>
      </c>
      <c r="DR5" s="1485" t="s">
        <v>788</v>
      </c>
      <c r="DS5" s="1485" t="s">
        <v>604</v>
      </c>
      <c r="DT5" s="1485" t="s">
        <v>788</v>
      </c>
      <c r="DU5" s="1485" t="s">
        <v>604</v>
      </c>
      <c r="DV5" s="1485" t="s">
        <v>788</v>
      </c>
      <c r="DW5" s="1485" t="s">
        <v>604</v>
      </c>
      <c r="DX5" s="1485" t="s">
        <v>788</v>
      </c>
    </row>
    <row r="6" spans="1:128" ht="18.75" customHeight="1">
      <c r="A6" s="1486">
        <v>1</v>
      </c>
      <c r="B6" s="1487" t="s">
        <v>1024</v>
      </c>
      <c r="C6" s="1488"/>
      <c r="D6" s="1489"/>
      <c r="E6" s="1489"/>
      <c r="F6" s="1490"/>
      <c r="G6" s="1490"/>
      <c r="H6" s="1490"/>
      <c r="I6" s="1367"/>
      <c r="K6" s="1367"/>
      <c r="L6" s="1491">
        <v>15.5</v>
      </c>
      <c r="M6" s="1492">
        <v>1.33</v>
      </c>
      <c r="N6" s="1492">
        <v>0.22</v>
      </c>
      <c r="O6" s="1493">
        <v>2.66</v>
      </c>
      <c r="P6" s="1493">
        <v>0.55000000000000004</v>
      </c>
      <c r="Q6" s="1493">
        <v>4</v>
      </c>
      <c r="R6" s="1493">
        <v>0.78</v>
      </c>
      <c r="S6" s="1494">
        <v>15.24</v>
      </c>
      <c r="T6" s="1494">
        <v>3.51</v>
      </c>
      <c r="U6" s="1494">
        <v>28.83</v>
      </c>
      <c r="V6" s="1494">
        <v>10.08</v>
      </c>
      <c r="W6" s="1491">
        <v>15.78</v>
      </c>
      <c r="X6" s="1491">
        <v>3.06</v>
      </c>
      <c r="Y6" s="1494">
        <v>5.45</v>
      </c>
      <c r="Z6" s="1494">
        <v>1.7</v>
      </c>
      <c r="AA6" s="1494">
        <v>23.93</v>
      </c>
      <c r="AB6" s="1494">
        <v>3.34</v>
      </c>
      <c r="AC6" s="1494">
        <v>28.9</v>
      </c>
      <c r="AD6" s="1494">
        <v>5.18</v>
      </c>
      <c r="AE6" s="1494">
        <v>56.85</v>
      </c>
      <c r="AF6" s="1494">
        <v>4.66</v>
      </c>
      <c r="AG6" s="1494">
        <v>44.42</v>
      </c>
      <c r="AH6" s="1494">
        <v>19</v>
      </c>
      <c r="AI6" s="1491">
        <v>21.3</v>
      </c>
      <c r="AJ6" s="1491">
        <v>6.52</v>
      </c>
      <c r="AK6" s="1495">
        <v>7.14</v>
      </c>
      <c r="AL6" s="1495">
        <v>1.46</v>
      </c>
      <c r="AM6" s="1494">
        <v>34.590000000000003</v>
      </c>
      <c r="AN6" s="1494">
        <v>12.96</v>
      </c>
      <c r="AO6" s="1494">
        <v>13.43</v>
      </c>
      <c r="AP6" s="1494">
        <v>2.75</v>
      </c>
      <c r="AQ6" s="1494">
        <v>41.51</v>
      </c>
      <c r="AR6" s="1494">
        <v>20.9</v>
      </c>
      <c r="AS6" s="1494">
        <v>18.510000000000002</v>
      </c>
      <c r="AT6" s="1494">
        <v>4.2</v>
      </c>
      <c r="AU6" s="1494">
        <v>50.73</v>
      </c>
      <c r="AV6" s="1494">
        <v>25.71</v>
      </c>
      <c r="AW6" s="1494">
        <v>5.35</v>
      </c>
      <c r="AX6" s="1494">
        <v>1.66</v>
      </c>
      <c r="AY6" s="1491">
        <v>7.42</v>
      </c>
      <c r="AZ6" s="1491">
        <v>2.11</v>
      </c>
      <c r="BA6" s="1495">
        <v>9.0399999999999991</v>
      </c>
      <c r="BB6" s="1495">
        <v>3.38</v>
      </c>
      <c r="BC6" s="1494">
        <v>8.24</v>
      </c>
      <c r="BD6" s="1494">
        <v>1.75</v>
      </c>
      <c r="BE6" s="1494">
        <v>4.8600000000000003</v>
      </c>
      <c r="BF6" s="1494">
        <v>0.62</v>
      </c>
      <c r="BG6" s="1494">
        <v>4.5</v>
      </c>
      <c r="BH6" s="1494">
        <v>0.88</v>
      </c>
      <c r="BI6" s="1491">
        <v>10.78</v>
      </c>
      <c r="BJ6" s="1496">
        <v>2.21</v>
      </c>
      <c r="BK6" s="1494">
        <v>14.89</v>
      </c>
      <c r="BL6" s="1494">
        <v>3.05</v>
      </c>
      <c r="BM6" s="1494">
        <v>22.15</v>
      </c>
      <c r="BN6" s="1494">
        <v>4.54</v>
      </c>
      <c r="BO6" s="1494">
        <v>32.44</v>
      </c>
      <c r="BP6" s="1494">
        <v>6.64</v>
      </c>
      <c r="BQ6" s="1491">
        <v>1.56</v>
      </c>
      <c r="BR6" s="1491">
        <v>0.49</v>
      </c>
      <c r="BS6" s="1494">
        <v>2.15</v>
      </c>
      <c r="BT6" s="1494">
        <v>0.68</v>
      </c>
      <c r="BU6" s="1494">
        <v>3.2</v>
      </c>
      <c r="BV6" s="1494">
        <v>1</v>
      </c>
      <c r="BW6" s="1494">
        <v>4.68</v>
      </c>
      <c r="BX6" s="1494">
        <v>1.47</v>
      </c>
      <c r="BY6" s="1494">
        <v>215.47</v>
      </c>
      <c r="BZ6" s="1494">
        <v>16.77</v>
      </c>
      <c r="CA6" s="1494">
        <v>9.8800000000000008</v>
      </c>
      <c r="CB6" s="1494">
        <v>2.82</v>
      </c>
      <c r="CC6" s="1494">
        <v>7.92</v>
      </c>
      <c r="CD6" s="1494">
        <v>2.2799999999999998</v>
      </c>
      <c r="CE6" s="1494">
        <v>111.67</v>
      </c>
      <c r="CF6" s="1494">
        <v>35.15</v>
      </c>
      <c r="CG6" s="1491">
        <v>9.02</v>
      </c>
      <c r="CH6" s="1491">
        <v>1.74</v>
      </c>
      <c r="CI6" s="1491">
        <v>15.26</v>
      </c>
      <c r="CJ6" s="1491">
        <v>5.34</v>
      </c>
      <c r="CK6" s="1491">
        <v>9.5299999999999994</v>
      </c>
      <c r="CL6" s="1491">
        <v>1.92</v>
      </c>
      <c r="CM6" s="1491">
        <v>17.440000000000001</v>
      </c>
      <c r="CN6" s="1491">
        <v>2.5299999999999998</v>
      </c>
      <c r="CO6" s="1491">
        <v>9.02</v>
      </c>
      <c r="CP6" s="1491">
        <v>2.39</v>
      </c>
      <c r="CQ6" s="1491">
        <v>6.32</v>
      </c>
      <c r="CR6" s="1491">
        <v>1.06</v>
      </c>
      <c r="CS6" s="1491">
        <v>27.09</v>
      </c>
      <c r="CT6" s="1491">
        <v>11.03</v>
      </c>
      <c r="CU6" s="1491">
        <v>31.6</v>
      </c>
      <c r="CV6" s="1491">
        <v>5.29</v>
      </c>
      <c r="CW6" s="1491">
        <v>29.8</v>
      </c>
      <c r="CX6" s="1491">
        <v>11.03</v>
      </c>
      <c r="CY6" s="1491">
        <v>31.6</v>
      </c>
      <c r="CZ6" s="1491">
        <v>5.29</v>
      </c>
      <c r="DA6" s="1491">
        <v>20.9</v>
      </c>
      <c r="DB6" s="1491">
        <v>5.92</v>
      </c>
      <c r="DC6" s="1491">
        <v>26.12</v>
      </c>
      <c r="DD6" s="1491">
        <v>7.39</v>
      </c>
      <c r="DE6" s="1491">
        <v>34.83</v>
      </c>
      <c r="DF6" s="1491">
        <v>9.86</v>
      </c>
      <c r="DG6" s="1491"/>
      <c r="DH6" s="1491"/>
      <c r="DI6" s="1491">
        <v>7.86</v>
      </c>
      <c r="DJ6" s="1491">
        <v>2.0699999999999998</v>
      </c>
      <c r="DK6" s="1491">
        <v>1.74</v>
      </c>
      <c r="DL6" s="1491">
        <v>0.39</v>
      </c>
      <c r="DM6" s="1491">
        <v>39.86</v>
      </c>
      <c r="DN6" s="1491">
        <v>5.86</v>
      </c>
      <c r="DO6" s="1491">
        <v>55.21</v>
      </c>
      <c r="DP6" s="1491">
        <v>7.39</v>
      </c>
      <c r="DQ6" s="1491">
        <v>66.83</v>
      </c>
      <c r="DR6" s="1491">
        <v>8.11</v>
      </c>
      <c r="DS6" s="1491">
        <v>80.97</v>
      </c>
      <c r="DT6" s="1491">
        <v>9</v>
      </c>
      <c r="DU6" s="1491">
        <v>7.93</v>
      </c>
      <c r="DV6" s="1491">
        <v>1.97</v>
      </c>
      <c r="DW6" s="1491">
        <v>9.25</v>
      </c>
      <c r="DX6" s="1491">
        <v>2.2999999999999998</v>
      </c>
    </row>
    <row r="7" spans="1:128" ht="18.75" customHeight="1">
      <c r="A7" s="1497"/>
      <c r="B7" s="1498" t="s">
        <v>1025</v>
      </c>
      <c r="C7" s="1499" t="s">
        <v>1026</v>
      </c>
      <c r="D7" s="1500" t="str">
        <f>IF($D$2=40.5,M31,IF($D$2=41.5,M32,IF($D$2=42.5,M33,IF($D$2=43.5,M34,IF($D$2=44.5,M35,IF($D$2=45.5,M36,IF($D$2=46.5,M37,)))))))&amp;
IF($D$2=47.5,M38,IF($D$2=48.5,M39,IF($D$2=49.5,M40,IF($D$2=50.5,M41,IF($D$2=51.5,M42,IF($D$2=52.5,M43,IF($D$2=53.5,M44,)))))))&amp;
IF($D$2=54.5,M45,IF($D$2=55.5,M46,IF($D$2=56.5,M47,IF($D$2=57.5,M48,IF($D$2=15.5,M6,IF($D$2=16.5,M7,IF($D$2=17.5,M8,)))))))&amp;
IF($D$2=18.5,M9,IF($D$2=19.5,M10,IF($D$2=20.5,M11,IF($D$2=21.5,M12,IF($D$2=22.5,M13,IF($D$2=23.5,M14,IF($D$2=24.5,M15,)))))))&amp;IF($D$2=25.5,M16,IF($D$2=26.5,M17,IF($D$2=39.5,M30,)))&amp;IF($D$2=31.5,M22,IF($D$2=32.5,M23,IF($D$2=33.5,M24,IF($D$2=34.5,M25,IF($D$2=35.5,M26,IF($D$2=36.5,M27,IF($D$2=37.5,M28,IF($C$2=38.5,M29,))))))))&amp;IF($D$2=27.5,M18,IF($D$2=28.5,M19,IF($D$2=29.5,M20,IF($D$2=30.5,M21,))))</f>
        <v>1.59</v>
      </c>
      <c r="E7" s="1500" t="str">
        <f>IF($D$2=40.5,N31,IF($D$2=41.5,N32,IF($D$2=42.5,N33,IF($D$2=43.5,N34,IF($D$2=44.5,N35,IF($D$2=45.5,N36,IF($D$2=46.5,N37,)))))))&amp;
IF($D$2=47.5,N38,IF($D$2=48.5,N39,IF($D$2=49.5,N40,IF($D$2=50.5,N41,IF($D$2=51.5,N42,IF($D$2=52.5,N43,IF($D$2=53.5,N44,)))))))&amp;
IF($D$2=54.5,N45,IF($D$2=55.5,N46,IF($D$2=56.5,N47,IF($D$2=57.5,N48,IF($D$2=15.5,N6,IF($D$2=16.5,N7,IF($D$2=17.5,N8,)))))))&amp;
IF($D$2=18.5,N9,IF($D$2=19.5,N10,IF($D$2=20.5,N11,IF($D$2=21.5,N12,IF($D$2=22.5,N13,IF($D$2=23.5,N14,IF($D$2=24.5,N15,)))))))&amp;IF($D$2=25.5,N16,IF($D$2=26.5,N17,IF($D$2=39.5,N30,)))&amp;IF($D$2=31.5,N22,IF($D$2=32.5,N23,IF($D$2=33.5,N24,IF($D$2=34.5,N25,IF($D$2=35.5,N26,IF($D$2=36.5,N27,IF($D$2=37.5,N28,IF($C$2=38.5,N29,))))))))&amp;IF($D$2=27.5,N18,IF($D$2=28.5,N19,IF($D$2=29.5,N20,IF($D$2=30.5,N21,))))</f>
        <v>0.22</v>
      </c>
      <c r="F7" s="1501">
        <f>E7*1.2</f>
        <v>0.26400000000000001</v>
      </c>
      <c r="G7" s="1501">
        <f>D7+E7</f>
        <v>1.81</v>
      </c>
      <c r="H7" s="1501">
        <f>D7+F7</f>
        <v>1.8540000000000001</v>
      </c>
      <c r="I7" s="1367"/>
      <c r="J7" s="1367"/>
      <c r="K7" s="1367"/>
      <c r="L7" s="1502">
        <v>16.5</v>
      </c>
      <c r="M7" s="1503">
        <v>1.34</v>
      </c>
      <c r="N7" s="1503">
        <v>0.22</v>
      </c>
      <c r="O7" s="1504">
        <v>2.7</v>
      </c>
      <c r="P7" s="1504">
        <v>0.55000000000000004</v>
      </c>
      <c r="Q7" s="1504">
        <v>4.05</v>
      </c>
      <c r="R7" s="1504">
        <v>0.78</v>
      </c>
      <c r="S7" s="1505">
        <v>15.46</v>
      </c>
      <c r="T7" s="1505">
        <v>3.51</v>
      </c>
      <c r="U7" s="1505">
        <v>29.28</v>
      </c>
      <c r="V7" s="1505">
        <v>10.8</v>
      </c>
      <c r="W7" s="1502">
        <v>15.96</v>
      </c>
      <c r="X7" s="1502">
        <v>3.06</v>
      </c>
      <c r="Y7" s="1505">
        <v>5.53</v>
      </c>
      <c r="Z7" s="1505">
        <v>1.7</v>
      </c>
      <c r="AA7" s="1505">
        <v>24.31</v>
      </c>
      <c r="AB7" s="1505">
        <v>3.34</v>
      </c>
      <c r="AC7" s="1505">
        <v>29.35</v>
      </c>
      <c r="AD7" s="1505">
        <v>5.18</v>
      </c>
      <c r="AE7" s="1505">
        <v>57.28</v>
      </c>
      <c r="AF7" s="1505">
        <v>4.66</v>
      </c>
      <c r="AG7" s="1505">
        <v>45.37</v>
      </c>
      <c r="AH7" s="1505">
        <v>19</v>
      </c>
      <c r="AI7" s="1502">
        <v>21.61</v>
      </c>
      <c r="AJ7" s="1502">
        <v>6.52</v>
      </c>
      <c r="AK7" s="1506">
        <v>7.22</v>
      </c>
      <c r="AL7" s="1506">
        <v>1.46</v>
      </c>
      <c r="AM7" s="1505">
        <v>35.130000000000003</v>
      </c>
      <c r="AN7" s="1505">
        <v>12.96</v>
      </c>
      <c r="AO7" s="1505">
        <v>13.59</v>
      </c>
      <c r="AP7" s="1505">
        <v>2.75</v>
      </c>
      <c r="AQ7" s="1505">
        <v>42.13</v>
      </c>
      <c r="AR7" s="1505">
        <v>20.9</v>
      </c>
      <c r="AS7" s="1505">
        <v>18.649999999999999</v>
      </c>
      <c r="AT7" s="1505">
        <v>4.2</v>
      </c>
      <c r="AU7" s="1505">
        <v>51.51</v>
      </c>
      <c r="AV7" s="1505">
        <v>25.71</v>
      </c>
      <c r="AW7" s="1505">
        <v>5.43</v>
      </c>
      <c r="AX7" s="1505">
        <v>1.66</v>
      </c>
      <c r="AY7" s="1502">
        <v>7.52</v>
      </c>
      <c r="AZ7" s="1502">
        <v>2.11</v>
      </c>
      <c r="BA7" s="1506">
        <v>9.16</v>
      </c>
      <c r="BB7" s="1506">
        <v>3.38</v>
      </c>
      <c r="BC7" s="1505">
        <v>8.34</v>
      </c>
      <c r="BD7" s="1505">
        <v>1.75</v>
      </c>
      <c r="BE7" s="1505">
        <v>4.9800000000000004</v>
      </c>
      <c r="BF7" s="1505">
        <v>0.62</v>
      </c>
      <c r="BG7" s="1505">
        <v>4.62</v>
      </c>
      <c r="BH7" s="1505">
        <v>0.88</v>
      </c>
      <c r="BI7" s="1502">
        <v>11.04</v>
      </c>
      <c r="BJ7" s="1507">
        <v>2.21</v>
      </c>
      <c r="BK7" s="1505">
        <v>15.25</v>
      </c>
      <c r="BL7" s="1505">
        <v>3.05</v>
      </c>
      <c r="BM7" s="1505">
        <v>22.68</v>
      </c>
      <c r="BN7" s="1505">
        <v>4.54</v>
      </c>
      <c r="BO7" s="1505">
        <v>33.22</v>
      </c>
      <c r="BP7" s="1505">
        <v>6.64</v>
      </c>
      <c r="BQ7" s="1502">
        <v>1.57</v>
      </c>
      <c r="BR7" s="1502">
        <v>0.49</v>
      </c>
      <c r="BS7" s="1505">
        <v>2.17</v>
      </c>
      <c r="BT7" s="1505">
        <v>0.68</v>
      </c>
      <c r="BU7" s="1505">
        <v>3.23</v>
      </c>
      <c r="BV7" s="1505">
        <v>1</v>
      </c>
      <c r="BW7" s="1505">
        <v>4.7300000000000004</v>
      </c>
      <c r="BX7" s="1505">
        <v>1.47</v>
      </c>
      <c r="BY7" s="1505">
        <v>226.26</v>
      </c>
      <c r="BZ7" s="1505">
        <v>16.77</v>
      </c>
      <c r="CA7" s="1505">
        <v>10.050000000000001</v>
      </c>
      <c r="CB7" s="1505">
        <v>2.82</v>
      </c>
      <c r="CC7" s="1505">
        <v>8.0299999999999994</v>
      </c>
      <c r="CD7" s="1505">
        <v>2.2799999999999998</v>
      </c>
      <c r="CE7" s="1505">
        <v>115.14</v>
      </c>
      <c r="CF7" s="1505">
        <v>35.15</v>
      </c>
      <c r="CG7" s="1502">
        <v>9.3000000000000007</v>
      </c>
      <c r="CH7" s="1502">
        <v>1.74</v>
      </c>
      <c r="CI7" s="1502">
        <v>15.26</v>
      </c>
      <c r="CJ7" s="1502">
        <v>5.34</v>
      </c>
      <c r="CK7" s="1502">
        <v>9.58</v>
      </c>
      <c r="CL7" s="1502">
        <v>1.92</v>
      </c>
      <c r="CM7" s="1502">
        <v>17.68</v>
      </c>
      <c r="CN7" s="1502">
        <v>2.5299999999999998</v>
      </c>
      <c r="CO7" s="1502">
        <v>9.24</v>
      </c>
      <c r="CP7" s="1502">
        <v>2.39</v>
      </c>
      <c r="CQ7" s="1502">
        <v>6.46</v>
      </c>
      <c r="CR7" s="1502">
        <v>1.06</v>
      </c>
      <c r="CS7" s="1502">
        <v>27.49</v>
      </c>
      <c r="CT7" s="1502">
        <v>11.03</v>
      </c>
      <c r="CU7" s="1502">
        <v>32.28</v>
      </c>
      <c r="CV7" s="1502">
        <v>5.29</v>
      </c>
      <c r="CW7" s="1502">
        <v>30.24</v>
      </c>
      <c r="CX7" s="1502">
        <v>11.03</v>
      </c>
      <c r="CY7" s="1502">
        <v>32.28</v>
      </c>
      <c r="CZ7" s="1502">
        <v>5.29</v>
      </c>
      <c r="DA7" s="1502">
        <v>21.04</v>
      </c>
      <c r="DB7" s="1502">
        <v>5.92</v>
      </c>
      <c r="DC7" s="1502">
        <v>26.3</v>
      </c>
      <c r="DD7" s="1502">
        <v>7.39</v>
      </c>
      <c r="DE7" s="1502">
        <v>35.07</v>
      </c>
      <c r="DF7" s="1502">
        <v>9.86</v>
      </c>
      <c r="DG7" s="1502"/>
      <c r="DH7" s="1502"/>
      <c r="DI7" s="1502">
        <v>8.0299999999999994</v>
      </c>
      <c r="DJ7" s="1502">
        <v>2.0699999999999998</v>
      </c>
      <c r="DK7" s="1502">
        <v>1.79</v>
      </c>
      <c r="DL7" s="1502">
        <v>0.39</v>
      </c>
      <c r="DM7" s="1502">
        <v>40.19</v>
      </c>
      <c r="DN7" s="1502">
        <v>5.86</v>
      </c>
      <c r="DO7" s="1502">
        <v>55.59</v>
      </c>
      <c r="DP7" s="1502">
        <v>7.39</v>
      </c>
      <c r="DQ7" s="1502">
        <v>67.3</v>
      </c>
      <c r="DR7" s="1502">
        <v>8.11</v>
      </c>
      <c r="DS7" s="1502">
        <v>81.540000000000006</v>
      </c>
      <c r="DT7" s="1502">
        <v>9</v>
      </c>
      <c r="DU7" s="1502">
        <v>8.1199999999999992</v>
      </c>
      <c r="DV7" s="1502">
        <v>1.97</v>
      </c>
      <c r="DW7" s="1502">
        <v>9.4700000000000006</v>
      </c>
      <c r="DX7" s="1502">
        <v>2.2999999999999998</v>
      </c>
    </row>
    <row r="8" spans="1:128" ht="18.75" customHeight="1">
      <c r="A8" s="1497"/>
      <c r="B8" s="1498" t="s">
        <v>1027</v>
      </c>
      <c r="C8" s="1499" t="s">
        <v>1026</v>
      </c>
      <c r="D8" s="1500" t="str">
        <f>IF($D$2=40.5,O31,IF($D$2=41.5,O32,IF($D$2=42.5,O33,IF($D$2=43.5,O34,IF($D$2=44.5,O35,IF($D$2=45.5,O36,IF($D$2=46.5,O37,)))))))&amp;
IF($D$2=47.5,O38,IF($D$2=48.5,O39,IF($D$2=49.5,O40,IF($D$2=50.5,O41,IF($D$2=51.5,O42,IF($D$2=52.5,O43,IF($D$2=53.5,O44,)))))))&amp;
IF($D$2=54.5,O45,IF($D$2=55.5,O46,IF($D$2=56.5,O47,IF($D$2=57.5,O48,IF($D$2=15.5,O6,IF($D$2=16.5,O7,IF($D$2=17.5,O8,)))))))&amp;
IF($D$2=18.5,O9,IF($D$2=19.5,O10,IF($D$2=20.5,O11,IF($D$2=21.5,O12,IF($D$2=22.5,O13,IF($D$2=23.5,O14,IF($D$2=24.5,O15,)))))))&amp;IF($D$2=25.5,O16,IF($D$2=26.5,O17,IF($D$2=39.5,O30,)))&amp;IF($D$2=31.5,O22,IF($D$2=32.5,O23,IF($D$2=33.5,O24,IF($D$2=34.5,O25,IF($D$2=35.5,O26,IF($D$2=36.5,O27,IF($D$2=37.5,O28,IF($C$2=38.5,O29,))))))))&amp;IF($D$2=27.5,O18,IF($D$2=28.5,O19,IF($D$2=29.5,O20,IF($D$2=30.5,O21,))))</f>
        <v>3.31</v>
      </c>
      <c r="E8" s="1500" t="str">
        <f>IF($D$2=40.5,P31,IF($D$2=41.5,P32,IF($D$2=42.5,P33,IF($D$2=43.5,P34,IF($D$2=44.5,P35,IF($D$2=45.5,P36,IF($D$2=46.5,P37,)))))))&amp;
IF($D$2=47.5,P38,IF($D$2=48.5,P39,IF($D$2=49.5,P40,IF($D$2=50.5,P41,IF($D$2=51.5,P42,IF($D$2=52.5,P43,IF($D$2=53.5,P44,)))))))&amp;
IF($D$2=54.5,P45,IF($D$2=55.5,P46,IF($D$2=56.5,P47,IF($D$2=57.5,P48,IF($D$2=15.5,P6,IF($D$2=16.5,P7,IF($D$2=17.5,P8,)))))))&amp;
IF($D$2=18.5,P9,IF($D$2=19.5,P10,IF($D$2=20.5,P11,IF($D$2=21.5,P12,IF($D$2=22.5,P13,IF($D$2=23.5,P14,IF($D$2=24.5,P15,)))))))&amp;IF($D$2=25.5,P16,IF($D$2=26.5,P17,IF($D$2=39.5,P30,)))&amp;IF($D$2=31.5,P22,IF($D$2=32.5,P23,IF($D$2=33.5,P24,IF($D$2=34.5,P25,IF($D$2=35.5,P26,IF($D$2=36.5,P27,IF($D$2=37.5,P28,IF($C$2=38.5,P29,))))))))&amp;IF($D$2=27.5,P18,IF($D$2=28.5,P19,IF($D$2=29.5,P20,IF($D$2=30.5,P21,))))</f>
        <v>0.55</v>
      </c>
      <c r="F8" s="1501">
        <f>E8*1.25</f>
        <v>0.6875</v>
      </c>
      <c r="G8" s="1501">
        <f>D8+E8</f>
        <v>3.8600000000000003</v>
      </c>
      <c r="H8" s="1501">
        <f>D8+F8</f>
        <v>3.9975000000000001</v>
      </c>
      <c r="I8" s="1367"/>
      <c r="J8" s="1367"/>
      <c r="K8" s="1367"/>
      <c r="L8" s="1502">
        <v>17.5</v>
      </c>
      <c r="M8" s="1503">
        <v>1.36</v>
      </c>
      <c r="N8" s="1503">
        <v>0.22</v>
      </c>
      <c r="O8" s="1504">
        <v>2.73</v>
      </c>
      <c r="P8" s="1504">
        <v>0.55000000000000004</v>
      </c>
      <c r="Q8" s="1504">
        <v>4.1100000000000003</v>
      </c>
      <c r="R8" s="1504">
        <v>0.78</v>
      </c>
      <c r="S8" s="1505">
        <v>15.67</v>
      </c>
      <c r="T8" s="1505">
        <v>3.51</v>
      </c>
      <c r="U8" s="1505">
        <v>29.73</v>
      </c>
      <c r="V8" s="1505">
        <v>10.8</v>
      </c>
      <c r="W8" s="1502">
        <v>16.149999999999999</v>
      </c>
      <c r="X8" s="1502">
        <v>3.06</v>
      </c>
      <c r="Y8" s="1505">
        <v>5.61</v>
      </c>
      <c r="Z8" s="1505">
        <v>1.7</v>
      </c>
      <c r="AA8" s="1505">
        <v>24.7</v>
      </c>
      <c r="AB8" s="1505">
        <v>3.34</v>
      </c>
      <c r="AC8" s="1505">
        <v>29.8</v>
      </c>
      <c r="AD8" s="1505">
        <v>5.18</v>
      </c>
      <c r="AE8" s="1505">
        <v>57.71</v>
      </c>
      <c r="AF8" s="1505">
        <v>4.66</v>
      </c>
      <c r="AG8" s="1505">
        <v>46.32</v>
      </c>
      <c r="AH8" s="1505">
        <v>19</v>
      </c>
      <c r="AI8" s="1502">
        <v>21.91</v>
      </c>
      <c r="AJ8" s="1502">
        <v>6.52</v>
      </c>
      <c r="AK8" s="1506">
        <v>7.3</v>
      </c>
      <c r="AL8" s="1506">
        <v>1.46</v>
      </c>
      <c r="AM8" s="1505">
        <v>35.67</v>
      </c>
      <c r="AN8" s="1505">
        <v>12.96</v>
      </c>
      <c r="AO8" s="1505">
        <v>13.74</v>
      </c>
      <c r="AP8" s="1505">
        <v>2.75</v>
      </c>
      <c r="AQ8" s="1505">
        <v>42.76</v>
      </c>
      <c r="AR8" s="1505">
        <v>20.9</v>
      </c>
      <c r="AS8" s="1505">
        <v>18.8</v>
      </c>
      <c r="AT8" s="1505">
        <v>4.2</v>
      </c>
      <c r="AU8" s="1505">
        <v>52.29</v>
      </c>
      <c r="AV8" s="1505">
        <v>25.71</v>
      </c>
      <c r="AW8" s="1505">
        <v>5.51</v>
      </c>
      <c r="AX8" s="1505">
        <v>1.66</v>
      </c>
      <c r="AY8" s="1502">
        <v>7.62</v>
      </c>
      <c r="AZ8" s="1502">
        <v>2.11</v>
      </c>
      <c r="BA8" s="1506">
        <v>9.2899999999999991</v>
      </c>
      <c r="BB8" s="1506">
        <v>3.38</v>
      </c>
      <c r="BC8" s="1505">
        <v>8.44</v>
      </c>
      <c r="BD8" s="1505">
        <v>1.75</v>
      </c>
      <c r="BE8" s="1505">
        <v>5.1100000000000003</v>
      </c>
      <c r="BF8" s="1505">
        <v>0.62</v>
      </c>
      <c r="BG8" s="1505">
        <v>4.74</v>
      </c>
      <c r="BH8" s="1505">
        <v>0.88</v>
      </c>
      <c r="BI8" s="1505">
        <v>11.3</v>
      </c>
      <c r="BJ8" s="1505">
        <v>2.21</v>
      </c>
      <c r="BK8" s="1505">
        <v>15.61</v>
      </c>
      <c r="BL8" s="1505">
        <v>3.05</v>
      </c>
      <c r="BM8" s="1505">
        <v>23.21</v>
      </c>
      <c r="BN8" s="1505">
        <v>4.54</v>
      </c>
      <c r="BO8" s="1505">
        <v>34</v>
      </c>
      <c r="BP8" s="1505">
        <v>6.64</v>
      </c>
      <c r="BQ8" s="1502">
        <v>1.59</v>
      </c>
      <c r="BR8" s="1502">
        <v>0.49</v>
      </c>
      <c r="BS8" s="1505">
        <v>2.2000000000000002</v>
      </c>
      <c r="BT8" s="1505">
        <v>0.68</v>
      </c>
      <c r="BU8" s="1505">
        <v>3.27</v>
      </c>
      <c r="BV8" s="1505">
        <v>1</v>
      </c>
      <c r="BW8" s="1505">
        <v>4.79</v>
      </c>
      <c r="BX8" s="1505">
        <v>1.47</v>
      </c>
      <c r="BY8" s="1505">
        <v>237.04</v>
      </c>
      <c r="BZ8" s="1505">
        <v>16.77</v>
      </c>
      <c r="CA8" s="1505">
        <v>10.210000000000001</v>
      </c>
      <c r="CB8" s="1505">
        <v>2.82</v>
      </c>
      <c r="CC8" s="1505">
        <v>8.14</v>
      </c>
      <c r="CD8" s="1505">
        <v>2.2799999999999998</v>
      </c>
      <c r="CE8" s="1505">
        <v>118.6</v>
      </c>
      <c r="CF8" s="1505">
        <v>35.15</v>
      </c>
      <c r="CG8" s="1502">
        <v>9.58</v>
      </c>
      <c r="CH8" s="1502">
        <v>1.74</v>
      </c>
      <c r="CI8" s="1502">
        <v>15.26</v>
      </c>
      <c r="CJ8" s="1502">
        <v>5.34</v>
      </c>
      <c r="CK8" s="1502">
        <v>9.6199999999999992</v>
      </c>
      <c r="CL8" s="1502">
        <v>1.92</v>
      </c>
      <c r="CM8" s="1502">
        <v>17.920000000000002</v>
      </c>
      <c r="CN8" s="1502">
        <v>2.5299999999999998</v>
      </c>
      <c r="CO8" s="1502">
        <v>9.4700000000000006</v>
      </c>
      <c r="CP8" s="1502">
        <v>2.39</v>
      </c>
      <c r="CQ8" s="1502">
        <v>6.59</v>
      </c>
      <c r="CR8" s="1502">
        <v>1.06</v>
      </c>
      <c r="CS8" s="1506">
        <v>27.09</v>
      </c>
      <c r="CT8" s="1506">
        <v>11.03</v>
      </c>
      <c r="CU8" s="1502">
        <v>32.96</v>
      </c>
      <c r="CV8" s="1502">
        <v>5.29</v>
      </c>
      <c r="CW8" s="1502">
        <v>30.69</v>
      </c>
      <c r="CX8" s="1502">
        <v>11.03</v>
      </c>
      <c r="CY8" s="1502">
        <v>32.96</v>
      </c>
      <c r="CZ8" s="1502">
        <v>5.29</v>
      </c>
      <c r="DA8" s="1502">
        <v>21.18</v>
      </c>
      <c r="DB8" s="1502">
        <v>5.92</v>
      </c>
      <c r="DC8" s="1502">
        <v>26.48</v>
      </c>
      <c r="DD8" s="1502">
        <v>7.39</v>
      </c>
      <c r="DE8" s="1502">
        <v>35.31</v>
      </c>
      <c r="DF8" s="1502">
        <v>9.86</v>
      </c>
      <c r="DG8" s="1502"/>
      <c r="DH8" s="1502"/>
      <c r="DI8" s="1502">
        <v>8.1999999999999993</v>
      </c>
      <c r="DJ8" s="1502">
        <v>2.0699999999999998</v>
      </c>
      <c r="DK8" s="1502">
        <v>1.83</v>
      </c>
      <c r="DL8" s="1502">
        <v>0.39</v>
      </c>
      <c r="DM8" s="1502">
        <v>40.51</v>
      </c>
      <c r="DN8" s="1502">
        <v>5.86</v>
      </c>
      <c r="DO8" s="1502">
        <v>55.98</v>
      </c>
      <c r="DP8" s="1502">
        <v>7.39</v>
      </c>
      <c r="DQ8" s="1502">
        <v>67.760000000000005</v>
      </c>
      <c r="DR8" s="1502">
        <v>8.11</v>
      </c>
      <c r="DS8" s="1502">
        <v>82.11</v>
      </c>
      <c r="DT8" s="1502">
        <v>9</v>
      </c>
      <c r="DU8" s="1502">
        <v>8.31</v>
      </c>
      <c r="DV8" s="1502">
        <v>1.97</v>
      </c>
      <c r="DW8" s="1502">
        <v>9.6999999999999993</v>
      </c>
      <c r="DX8" s="1502">
        <v>2.2999999999999998</v>
      </c>
    </row>
    <row r="9" spans="1:128" ht="18.75" customHeight="1">
      <c r="A9" s="1497"/>
      <c r="B9" s="1498" t="s">
        <v>1028</v>
      </c>
      <c r="C9" s="1499" t="s">
        <v>1026</v>
      </c>
      <c r="D9" s="1500" t="str">
        <f>IF($D$2=40.5,Q31,IF($D$2=41.5,Q32,IF($D$2=42.5,Q33,IF($D$2=43.5,Q34,IF($D$2=44.5,Q35,IF($D$2=45.5,Q36,IF($D$2=46.5,Q37,)))))))&amp;
IF($D$2=47.5,Q38,IF($D$2=48.5,Q39,IF($D$2=49.5,Q40,IF($D$2=50.5,Q41,IF($D$2=51.5,Q42,IF($D$2=52.5,Q43,IF($D$2=53.5,Q44,)))))))&amp;
IF($D$2=54.5,Q45,IF($D$2=55.5,Q46,IF($D$2=56.5,Q47,IF($D$2=57.5,Q48,IF($D$2=15.5,Q6,IF($D$2=16.5,Q7,IF($D$2=17.5,Q8,)))))))&amp;
IF($D$2=18.5,Q9,IF($D$2=19.5,Q10,IF($D$2=20.5,Q11,IF($D$2=21.5,Q12,IF($D$2=22.5,Q13,IF($D$2=23.5,Q14,IF($D$2=24.5,Q15,)))))))&amp;IF($D$2=25.5,Q16,IF($D$2=26.5,Q17,IF($D$2=39.5,Q30,)))&amp;IF($D$2=31.5,Q22,IF($D$2=32.5,Q23,IF($D$2=33.5,Q24,IF($D$2=34.5,Q25,IF($D$2=35.5,Q26,IF($D$2=36.5,Q27,IF($D$2=37.5,Q28,IF($C$2=38.5,Q29,))))))))&amp;IF($D$2=27.5,Q18,IF($D$2=28.5,Q19,IF($D$2=29.5,Q20,IF($D$2=30.5,Q21,))))</f>
        <v>5.04</v>
      </c>
      <c r="E9" s="1500" t="str">
        <f>IF($D$2=40.5,R31,IF($D$2=41.5,R32,IF($D$2=42.5,R33,IF($D$2=43.5,R34,IF($D$2=44.5,R35,IF($D$2=45.5,R36,IF($D$2=46.5,R37,)))))))&amp;
IF($D$2=47.5,R38,IF($D$2=48.5,R39,IF($D$2=49.5,R40,IF($D$2=50.5,R41,IF($D$2=51.5,R42,IF($D$2=52.5,R43,IF($D$2=53.5,R44,)))))))&amp;
IF($D$2=54.5,R45,IF($D$2=55.5,R46,IF($D$2=56.5,R47,IF($D$2=57.5,R48,IF($D$2=15.5,R6,IF($D$2=16.5,R7,IF($D$2=17.5,R8,)))))))&amp;
IF($D$2=18.5,R9,IF($D$2=19.5,R10,IF($D$2=20.5,R11,IF($D$2=21.5,R12,IF($D$2=22.5,R13,IF($D$2=23.5,R14,IF($D$2=24.5,R15,)))))))&amp;IF($D$2=25.5,R16,IF($D$2=26.5,R17,IF($D$2=39.5,R30,)))&amp;IF($D$2=31.5,R22,IF($D$2=32.5,R23,IF($D$2=33.5,R24,IF($D$2=34.5,R25,IF($D$2=35.5,R26,IF($D$2=36.5,R27,IF($D$2=37.5,R28,IF($C$2=38.5,R29,))))))))&amp;IF($D$2=27.5,R18,IF($D$2=28.5,R19,IF($D$2=29.5,R20,IF($D$2=30.5,R21,))))</f>
        <v>0.78</v>
      </c>
      <c r="F9" s="1501">
        <f>E9*1.25</f>
        <v>0.97500000000000009</v>
      </c>
      <c r="G9" s="1501">
        <f>D9+E9</f>
        <v>5.82</v>
      </c>
      <c r="H9" s="1501">
        <f>D9+F9</f>
        <v>6.0150000000000006</v>
      </c>
      <c r="I9" s="1367"/>
      <c r="J9" s="1367"/>
      <c r="K9" s="1367"/>
      <c r="L9" s="1502">
        <v>18.5</v>
      </c>
      <c r="M9" s="1503">
        <v>1.37</v>
      </c>
      <c r="N9" s="1503">
        <v>0.22</v>
      </c>
      <c r="O9" s="1504">
        <v>2.76</v>
      </c>
      <c r="P9" s="1504">
        <v>0.55000000000000004</v>
      </c>
      <c r="Q9" s="1504">
        <v>4.16</v>
      </c>
      <c r="R9" s="1504">
        <v>0.78</v>
      </c>
      <c r="S9" s="1505">
        <v>15.89</v>
      </c>
      <c r="T9" s="1505">
        <v>3.51</v>
      </c>
      <c r="U9" s="1505">
        <v>30.18</v>
      </c>
      <c r="V9" s="1505">
        <v>10.8</v>
      </c>
      <c r="W9" s="1502">
        <v>16.34</v>
      </c>
      <c r="X9" s="1502">
        <v>3.06</v>
      </c>
      <c r="Y9" s="1505">
        <v>5.69</v>
      </c>
      <c r="Z9" s="1505">
        <v>1.7</v>
      </c>
      <c r="AA9" s="1505">
        <v>25.09</v>
      </c>
      <c r="AB9" s="1505">
        <v>3.34</v>
      </c>
      <c r="AC9" s="1505">
        <v>30.25</v>
      </c>
      <c r="AD9" s="1505">
        <v>5.18</v>
      </c>
      <c r="AE9" s="1505">
        <v>58.15</v>
      </c>
      <c r="AF9" s="1505">
        <v>4.66</v>
      </c>
      <c r="AG9" s="1505">
        <v>47.26</v>
      </c>
      <c r="AH9" s="1505">
        <v>19</v>
      </c>
      <c r="AI9" s="1502">
        <v>22.21</v>
      </c>
      <c r="AJ9" s="1502">
        <v>6.52</v>
      </c>
      <c r="AK9" s="1506">
        <v>7.39</v>
      </c>
      <c r="AL9" s="1506">
        <v>1.46</v>
      </c>
      <c r="AM9" s="1505">
        <v>36.21</v>
      </c>
      <c r="AN9" s="1505">
        <v>12.96</v>
      </c>
      <c r="AO9" s="1505">
        <v>13.9</v>
      </c>
      <c r="AP9" s="1505">
        <v>2.75</v>
      </c>
      <c r="AQ9" s="1505">
        <v>43.38</v>
      </c>
      <c r="AR9" s="1505">
        <v>20.9</v>
      </c>
      <c r="AS9" s="1505">
        <v>18.940000000000001</v>
      </c>
      <c r="AT9" s="1505">
        <v>4.2</v>
      </c>
      <c r="AU9" s="1505">
        <v>53.07</v>
      </c>
      <c r="AV9" s="1505">
        <v>25.71</v>
      </c>
      <c r="AW9" s="1505">
        <v>5.58</v>
      </c>
      <c r="AX9" s="1505">
        <v>1.66</v>
      </c>
      <c r="AY9" s="1502">
        <v>7.72</v>
      </c>
      <c r="AZ9" s="1502">
        <v>2.11</v>
      </c>
      <c r="BA9" s="1506">
        <v>9.41</v>
      </c>
      <c r="BB9" s="1506">
        <v>3.38</v>
      </c>
      <c r="BC9" s="1505">
        <v>8.5399999999999991</v>
      </c>
      <c r="BD9" s="1505">
        <v>1.75</v>
      </c>
      <c r="BE9" s="1505">
        <v>5.24</v>
      </c>
      <c r="BF9" s="1505">
        <v>0.62</v>
      </c>
      <c r="BG9" s="1505">
        <v>4.8600000000000003</v>
      </c>
      <c r="BH9" s="1505">
        <v>0.88</v>
      </c>
      <c r="BI9" s="1505">
        <v>11.56</v>
      </c>
      <c r="BJ9" s="1505">
        <v>2.21</v>
      </c>
      <c r="BK9" s="1505">
        <v>15.97</v>
      </c>
      <c r="BL9" s="1505">
        <v>3.05</v>
      </c>
      <c r="BM9" s="1505">
        <v>23.75</v>
      </c>
      <c r="BN9" s="1505">
        <v>4.54</v>
      </c>
      <c r="BO9" s="1505">
        <v>34.78</v>
      </c>
      <c r="BP9" s="1505">
        <v>6.64</v>
      </c>
      <c r="BQ9" s="1502">
        <v>1.61</v>
      </c>
      <c r="BR9" s="1502">
        <v>0.49</v>
      </c>
      <c r="BS9" s="1505">
        <v>2.2200000000000002</v>
      </c>
      <c r="BT9" s="1505">
        <v>0.68</v>
      </c>
      <c r="BU9" s="1505">
        <v>3.31</v>
      </c>
      <c r="BV9" s="1505">
        <v>1</v>
      </c>
      <c r="BW9" s="1505">
        <v>4.84</v>
      </c>
      <c r="BX9" s="1505">
        <v>1.47</v>
      </c>
      <c r="BY9" s="1505">
        <v>247.82</v>
      </c>
      <c r="BZ9" s="1505">
        <v>16.77</v>
      </c>
      <c r="CA9" s="1505">
        <v>10.38</v>
      </c>
      <c r="CB9" s="1505">
        <v>2.82</v>
      </c>
      <c r="CC9" s="1505">
        <v>8.25</v>
      </c>
      <c r="CD9" s="1505">
        <v>2.2799999999999998</v>
      </c>
      <c r="CE9" s="1505">
        <v>122.07</v>
      </c>
      <c r="CF9" s="1505">
        <v>35.15</v>
      </c>
      <c r="CG9" s="1502">
        <v>9.85</v>
      </c>
      <c r="CH9" s="1502">
        <v>1.74</v>
      </c>
      <c r="CI9" s="1502">
        <v>15.26</v>
      </c>
      <c r="CJ9" s="1502">
        <v>5.34</v>
      </c>
      <c r="CK9" s="1502">
        <v>9.67</v>
      </c>
      <c r="CL9" s="1502">
        <v>1.92</v>
      </c>
      <c r="CM9" s="1502">
        <v>18.170000000000002</v>
      </c>
      <c r="CN9" s="1502">
        <v>2.5299999999999998</v>
      </c>
      <c r="CO9" s="1502">
        <v>9.69</v>
      </c>
      <c r="CP9" s="1502">
        <v>2.39</v>
      </c>
      <c r="CQ9" s="1502">
        <v>6.73</v>
      </c>
      <c r="CR9" s="1502">
        <v>1.06</v>
      </c>
      <c r="CS9" s="1506">
        <v>28.3</v>
      </c>
      <c r="CT9" s="1506">
        <v>11.03</v>
      </c>
      <c r="CU9" s="1502">
        <v>33.630000000000003</v>
      </c>
      <c r="CV9" s="1502">
        <v>5.29</v>
      </c>
      <c r="CW9" s="1502">
        <v>31.13</v>
      </c>
      <c r="CX9" s="1502">
        <v>11.03</v>
      </c>
      <c r="CY9" s="1502">
        <v>33.630000000000003</v>
      </c>
      <c r="CZ9" s="1502">
        <v>5.29</v>
      </c>
      <c r="DA9" s="1502">
        <v>21.33</v>
      </c>
      <c r="DB9" s="1502">
        <v>5.92</v>
      </c>
      <c r="DC9" s="1502">
        <v>26.66</v>
      </c>
      <c r="DD9" s="1502">
        <v>7.39</v>
      </c>
      <c r="DE9" s="1502">
        <v>35.54</v>
      </c>
      <c r="DF9" s="1502">
        <v>9.86</v>
      </c>
      <c r="DG9" s="1502"/>
      <c r="DH9" s="1502"/>
      <c r="DI9" s="1502">
        <v>8.3699999999999992</v>
      </c>
      <c r="DJ9" s="1502">
        <v>2.0699999999999998</v>
      </c>
      <c r="DK9" s="1502">
        <v>1.87</v>
      </c>
      <c r="DL9" s="1502">
        <v>0.39</v>
      </c>
      <c r="DM9" s="1502">
        <v>40.83</v>
      </c>
      <c r="DN9" s="1502">
        <v>5.86</v>
      </c>
      <c r="DO9" s="1502">
        <v>56.36</v>
      </c>
      <c r="DP9" s="1502">
        <v>7.39</v>
      </c>
      <c r="DQ9" s="1502">
        <v>68.23</v>
      </c>
      <c r="DR9" s="1502">
        <v>8.11</v>
      </c>
      <c r="DS9" s="1502">
        <v>82.68</v>
      </c>
      <c r="DT9" s="1502">
        <v>9</v>
      </c>
      <c r="DU9" s="1502">
        <v>8.51</v>
      </c>
      <c r="DV9" s="1502">
        <v>1.97</v>
      </c>
      <c r="DW9" s="1502">
        <v>9.93</v>
      </c>
      <c r="DX9" s="1502">
        <v>2.2999999999999998</v>
      </c>
    </row>
    <row r="10" spans="1:128" ht="18.75" customHeight="1">
      <c r="A10" s="1497">
        <v>2</v>
      </c>
      <c r="B10" s="1498" t="s">
        <v>156</v>
      </c>
      <c r="C10" s="1508"/>
      <c r="D10" s="1509"/>
      <c r="E10" s="1509"/>
      <c r="F10" s="1501"/>
      <c r="G10" s="1501"/>
      <c r="H10" s="1501"/>
      <c r="I10" s="1367"/>
      <c r="J10" s="1367"/>
      <c r="K10" s="1367"/>
      <c r="L10" s="1502">
        <v>19.5</v>
      </c>
      <c r="M10" s="1503">
        <v>1.38</v>
      </c>
      <c r="N10" s="1503">
        <v>0.22</v>
      </c>
      <c r="O10" s="1504">
        <v>2.79</v>
      </c>
      <c r="P10" s="1504">
        <v>0.55000000000000004</v>
      </c>
      <c r="Q10" s="1504">
        <v>4.21</v>
      </c>
      <c r="R10" s="1504">
        <v>0.78</v>
      </c>
      <c r="S10" s="1505">
        <v>16.100000000000001</v>
      </c>
      <c r="T10" s="1505">
        <v>3.51</v>
      </c>
      <c r="U10" s="1505">
        <v>30.63</v>
      </c>
      <c r="V10" s="1505">
        <v>10.8</v>
      </c>
      <c r="W10" s="1505">
        <v>16.53</v>
      </c>
      <c r="X10" s="1505">
        <v>3.06</v>
      </c>
      <c r="Y10" s="1505">
        <v>5.77</v>
      </c>
      <c r="Z10" s="1505">
        <v>1.7</v>
      </c>
      <c r="AA10" s="1505">
        <v>25.47</v>
      </c>
      <c r="AB10" s="1505">
        <v>3.34</v>
      </c>
      <c r="AC10" s="1505">
        <v>30.7</v>
      </c>
      <c r="AD10" s="1505">
        <v>5.18</v>
      </c>
      <c r="AE10" s="1505">
        <v>58.58</v>
      </c>
      <c r="AF10" s="1505">
        <v>4.66</v>
      </c>
      <c r="AG10" s="1505">
        <v>48.21</v>
      </c>
      <c r="AH10" s="1505">
        <v>19</v>
      </c>
      <c r="AI10" s="1502">
        <v>22.52</v>
      </c>
      <c r="AJ10" s="1502">
        <v>6.52</v>
      </c>
      <c r="AK10" s="1506">
        <v>7.47</v>
      </c>
      <c r="AL10" s="1506">
        <v>1.46</v>
      </c>
      <c r="AM10" s="1505">
        <v>36.75</v>
      </c>
      <c r="AN10" s="1505">
        <v>12.96</v>
      </c>
      <c r="AO10" s="1505">
        <v>14.05</v>
      </c>
      <c r="AP10" s="1505">
        <v>2.75</v>
      </c>
      <c r="AQ10" s="1505">
        <v>44</v>
      </c>
      <c r="AR10" s="1505">
        <v>20.9</v>
      </c>
      <c r="AS10" s="1505">
        <v>19.079999999999998</v>
      </c>
      <c r="AT10" s="1505">
        <v>4.2</v>
      </c>
      <c r="AU10" s="1505">
        <v>53.84</v>
      </c>
      <c r="AV10" s="1505">
        <v>25.71</v>
      </c>
      <c r="AW10" s="1505">
        <v>5.66</v>
      </c>
      <c r="AX10" s="1505">
        <v>1.66</v>
      </c>
      <c r="AY10" s="1502">
        <v>7.82</v>
      </c>
      <c r="AZ10" s="1502">
        <v>2.11</v>
      </c>
      <c r="BA10" s="1506">
        <v>9.5299999999999994</v>
      </c>
      <c r="BB10" s="1506">
        <v>3.38</v>
      </c>
      <c r="BC10" s="1505">
        <v>8.64</v>
      </c>
      <c r="BD10" s="1505">
        <v>1.75</v>
      </c>
      <c r="BE10" s="1505">
        <v>5.37</v>
      </c>
      <c r="BF10" s="1505">
        <v>0.62</v>
      </c>
      <c r="BG10" s="1505">
        <v>4.9800000000000004</v>
      </c>
      <c r="BH10" s="1505">
        <v>0.88</v>
      </c>
      <c r="BI10" s="1505">
        <v>11.82</v>
      </c>
      <c r="BJ10" s="1505">
        <v>2.21</v>
      </c>
      <c r="BK10" s="1505">
        <v>16.329999999999998</v>
      </c>
      <c r="BL10" s="1505">
        <v>3.05</v>
      </c>
      <c r="BM10" s="1505">
        <v>24.28</v>
      </c>
      <c r="BN10" s="1505">
        <v>4.54</v>
      </c>
      <c r="BO10" s="1505">
        <v>35.57</v>
      </c>
      <c r="BP10" s="1505">
        <v>6.64</v>
      </c>
      <c r="BQ10" s="1502">
        <v>1.63</v>
      </c>
      <c r="BR10" s="1502">
        <v>0.49</v>
      </c>
      <c r="BS10" s="1505">
        <v>2.25</v>
      </c>
      <c r="BT10" s="1505">
        <v>0.68</v>
      </c>
      <c r="BU10" s="1505">
        <v>3.34</v>
      </c>
      <c r="BV10" s="1505">
        <v>1</v>
      </c>
      <c r="BW10" s="1505">
        <v>4.9000000000000004</v>
      </c>
      <c r="BX10" s="1505">
        <v>1.47</v>
      </c>
      <c r="BY10" s="1505">
        <v>258.61</v>
      </c>
      <c r="BZ10" s="1505">
        <v>16.77</v>
      </c>
      <c r="CA10" s="1505">
        <v>10.55</v>
      </c>
      <c r="CB10" s="1505">
        <v>2.82</v>
      </c>
      <c r="CC10" s="1505">
        <v>8.36</v>
      </c>
      <c r="CD10" s="1505">
        <v>2.2799999999999998</v>
      </c>
      <c r="CE10" s="1505">
        <v>125.53</v>
      </c>
      <c r="CF10" s="1505">
        <v>35.15</v>
      </c>
      <c r="CG10" s="1502">
        <v>10.130000000000001</v>
      </c>
      <c r="CH10" s="1502">
        <v>1.74</v>
      </c>
      <c r="CI10" s="1502">
        <v>15.26</v>
      </c>
      <c r="CJ10" s="1502">
        <v>5.34</v>
      </c>
      <c r="CK10" s="1502">
        <v>9.7200000000000006</v>
      </c>
      <c r="CL10" s="1502">
        <v>1.92</v>
      </c>
      <c r="CM10" s="1502">
        <v>18.41</v>
      </c>
      <c r="CN10" s="1502">
        <v>2.5299999999999998</v>
      </c>
      <c r="CO10" s="1502">
        <v>9.92</v>
      </c>
      <c r="CP10" s="1502">
        <v>2.39</v>
      </c>
      <c r="CQ10" s="1502">
        <v>6.86</v>
      </c>
      <c r="CR10" s="1502">
        <v>1.06</v>
      </c>
      <c r="CS10" s="1506">
        <v>28.7</v>
      </c>
      <c r="CT10" s="1506">
        <v>11.03</v>
      </c>
      <c r="CU10" s="1502">
        <v>34.31</v>
      </c>
      <c r="CV10" s="1502">
        <v>5.29</v>
      </c>
      <c r="CW10" s="1502">
        <v>31.57</v>
      </c>
      <c r="CX10" s="1502">
        <v>11.03</v>
      </c>
      <c r="CY10" s="1502">
        <v>34.31</v>
      </c>
      <c r="CZ10" s="1502">
        <v>5.29</v>
      </c>
      <c r="DA10" s="1502">
        <v>21.47</v>
      </c>
      <c r="DB10" s="1502">
        <v>5.92</v>
      </c>
      <c r="DC10" s="1502">
        <v>26.83</v>
      </c>
      <c r="DD10" s="1502">
        <v>7.39</v>
      </c>
      <c r="DE10" s="1502">
        <v>35.78</v>
      </c>
      <c r="DF10" s="1502">
        <v>9.86</v>
      </c>
      <c r="DG10" s="1502">
        <v>42.94</v>
      </c>
      <c r="DH10" s="1502">
        <v>11.83</v>
      </c>
      <c r="DI10" s="1502">
        <v>8.5500000000000007</v>
      </c>
      <c r="DJ10" s="1502">
        <v>2.0699999999999998</v>
      </c>
      <c r="DK10" s="1502">
        <v>1.92</v>
      </c>
      <c r="DL10" s="1502">
        <v>0.39</v>
      </c>
      <c r="DM10" s="1502">
        <v>41.16</v>
      </c>
      <c r="DN10" s="1502">
        <v>5.86</v>
      </c>
      <c r="DO10" s="1502">
        <v>56.74</v>
      </c>
      <c r="DP10" s="1502">
        <v>7.39</v>
      </c>
      <c r="DQ10" s="1502">
        <v>68.69</v>
      </c>
      <c r="DR10" s="1502">
        <v>8.11</v>
      </c>
      <c r="DS10" s="1502">
        <v>83.25</v>
      </c>
      <c r="DT10" s="1502">
        <v>9</v>
      </c>
      <c r="DU10" s="1502">
        <v>8.6999999999999993</v>
      </c>
      <c r="DV10" s="1502">
        <v>1.97</v>
      </c>
      <c r="DW10" s="1502">
        <v>10.15</v>
      </c>
      <c r="DX10" s="1502">
        <v>2.2999999999999998</v>
      </c>
    </row>
    <row r="11" spans="1:128" ht="18.75" customHeight="1">
      <c r="A11" s="1497"/>
      <c r="B11" s="1498" t="s">
        <v>582</v>
      </c>
      <c r="C11" s="1508" t="s">
        <v>583</v>
      </c>
      <c r="D11" s="1500" t="str">
        <f>IF($D$2=40.5,S31,IF($D$2=41.5,S32,IF($D$2=42.5,S33,IF($D$2=43.5,S34,IF($D$2=44.5,S35,IF($D$2=45.5,S36,IF($D$2=46.5,S37,)))))))&amp;
IF($D$2=47.5,S38,IF($D$2=48.5,S39,IF($D$2=49.5,S40,IF($D$2=50.5,S41,IF($D$2=51.5,S42,IF($D$2=52.5,S43,IF($D$2=53.5,S44,)))))))&amp;
IF($D$2=54.5,S45,IF($D$2=55.5,S46,IF($D$2=56.5,S47,IF($D$2=57.5,S48,IF($D$2=15.5,S6,IF($D$2=16.5,S7,IF($D$2=17.5,S8,)))))))&amp;
IF($D$2=18.5,S9,IF($D$2=19.5,S10,IF($D$2=20.5,S11,IF($D$2=21.5,S12,IF($D$2=22.5,S13,IF($D$2=23.5,S14,IF($D$2=24.5,S15,)))))))&amp;IF($D$2=25.5,S16,IF($D$2=26.5,S17,IF($D$2=39.5,S30,)))&amp;IF($D$2=31.5,S22,IF($D$2=32.5,S23,IF($D$2=33.5,S24,IF($D$2=34.5,S25,IF($D$2=35.5,S26,IF($D$2=36.5,S27,IF($D$2=37.5,S28,IF($C$2=38.5,S29,))))))))&amp;IF($D$2=27.5,S18,IF($D$2=28.5,S19,IF($D$2=29.5,S20,IF($D$2=30.5,S21,))))</f>
        <v>19.55</v>
      </c>
      <c r="E11" s="1500" t="str">
        <f>IF($D$2=40.5,T31,IF($D$2=41.5,T32,IF($D$2=42.5,T33,IF($D$2=43.5,T34,IF($D$2=44.5,T35,IF($D$2=45.5,T36,IF($D$2=46.5,T37,)))))))&amp;
IF($D$2=47.5,T38,IF($D$2=48.5,T39,IF($D$2=49.5,T40,IF($D$2=50.5,T41,IF($D$2=51.5,T42,IF($D$2=52.5,T43,IF($D$2=53.5,T44,)))))))&amp;
IF($D$2=54.5,T45,IF($D$2=55.5,T46,IF($D$2=56.5,T47,IF($D$2=57.5,T48,IF($D$2=15.5,T6,IF($D$2=16.5,T7,IF($D$2=17.5,T8,)))))))&amp;
IF($D$2=18.5,T9,IF($D$2=19.5,T10,IF($D$2=20.5,T11,IF($D$2=21.5,T12,IF($D$2=22.5,T13,IF($D$2=23.5,T14,IF($D$2=24.5,T15,)))))))&amp;IF($D$2=25.5,T16,IF($D$2=26.5,T17,IF($D$2=39.5,T30,)))&amp;IF($D$2=31.5,T22,IF($D$2=32.5,T23,IF($D$2=33.5,T24,IF($D$2=34.5,T25,IF($D$2=35.5,T26,IF($D$2=36.5,T27,IF($D$2=37.5,T28,IF($C$2=38.5,T29,))))))))&amp;IF($D$2=27.5,T18,IF($D$2=28.5,T19,IF($D$2=29.5,T20,IF($D$2=30.5,T21,))))</f>
        <v>3.51</v>
      </c>
      <c r="F11" s="1501">
        <f>E11*1.25</f>
        <v>4.3874999999999993</v>
      </c>
      <c r="G11" s="1501">
        <f>D11+E11</f>
        <v>23.060000000000002</v>
      </c>
      <c r="H11" s="1501">
        <f>D11+F11</f>
        <v>23.9375</v>
      </c>
      <c r="I11" s="1367"/>
      <c r="J11" s="1367"/>
      <c r="K11" s="1367"/>
      <c r="L11" s="1510">
        <v>20.5</v>
      </c>
      <c r="M11" s="1511">
        <v>1.38</v>
      </c>
      <c r="N11" s="1511">
        <v>0.22</v>
      </c>
      <c r="O11" s="1512">
        <v>2.79</v>
      </c>
      <c r="P11" s="1512">
        <v>0.55000000000000004</v>
      </c>
      <c r="Q11" s="1512">
        <v>4.21</v>
      </c>
      <c r="R11" s="1512">
        <v>0.78</v>
      </c>
      <c r="S11" s="1513">
        <v>16.100000000000001</v>
      </c>
      <c r="T11" s="1513">
        <v>3.51</v>
      </c>
      <c r="U11" s="1513">
        <v>30.63</v>
      </c>
      <c r="V11" s="1513">
        <v>10.8</v>
      </c>
      <c r="W11" s="1513">
        <v>16.53</v>
      </c>
      <c r="X11" s="1513">
        <v>3.06</v>
      </c>
      <c r="Y11" s="1513">
        <v>5.77</v>
      </c>
      <c r="Z11" s="1513">
        <v>1.7</v>
      </c>
      <c r="AA11" s="1513">
        <v>25.47</v>
      </c>
      <c r="AB11" s="1513">
        <v>3.34</v>
      </c>
      <c r="AC11" s="1513">
        <v>30.7</v>
      </c>
      <c r="AD11" s="1513">
        <v>5.18</v>
      </c>
      <c r="AE11" s="1513">
        <v>58.58</v>
      </c>
      <c r="AF11" s="1513">
        <v>4.66</v>
      </c>
      <c r="AG11" s="1513">
        <v>48.21</v>
      </c>
      <c r="AH11" s="1513">
        <v>19</v>
      </c>
      <c r="AI11" s="1510">
        <v>22.52</v>
      </c>
      <c r="AJ11" s="1510">
        <v>6.52</v>
      </c>
      <c r="AK11" s="1514">
        <v>7.47</v>
      </c>
      <c r="AL11" s="1514">
        <v>1.46</v>
      </c>
      <c r="AM11" s="1513">
        <v>36.75</v>
      </c>
      <c r="AN11" s="1513">
        <v>12.96</v>
      </c>
      <c r="AO11" s="1513">
        <v>14.05</v>
      </c>
      <c r="AP11" s="1513">
        <v>2.75</v>
      </c>
      <c r="AQ11" s="1513">
        <v>44</v>
      </c>
      <c r="AR11" s="1513">
        <v>20.9</v>
      </c>
      <c r="AS11" s="1513">
        <v>19.079999999999998</v>
      </c>
      <c r="AT11" s="1513">
        <v>4.2</v>
      </c>
      <c r="AU11" s="1513">
        <v>53.84</v>
      </c>
      <c r="AV11" s="1513">
        <v>25.71</v>
      </c>
      <c r="AW11" s="1513">
        <v>5.66</v>
      </c>
      <c r="AX11" s="1513">
        <v>1.66</v>
      </c>
      <c r="AY11" s="1510">
        <v>7.82</v>
      </c>
      <c r="AZ11" s="1510">
        <v>2.11</v>
      </c>
      <c r="BA11" s="1514">
        <v>9.5299999999999994</v>
      </c>
      <c r="BB11" s="1514">
        <v>3.38</v>
      </c>
      <c r="BC11" s="1513">
        <v>8.64</v>
      </c>
      <c r="BD11" s="1513">
        <v>1.75</v>
      </c>
      <c r="BE11" s="1513">
        <v>5.37</v>
      </c>
      <c r="BF11" s="1513">
        <v>0.62</v>
      </c>
      <c r="BG11" s="1513">
        <v>4.9800000000000004</v>
      </c>
      <c r="BH11" s="1513">
        <v>0.88</v>
      </c>
      <c r="BI11" s="1513">
        <v>11.82</v>
      </c>
      <c r="BJ11" s="1513">
        <v>2.21</v>
      </c>
      <c r="BK11" s="1513">
        <v>16.329999999999998</v>
      </c>
      <c r="BL11" s="1513">
        <v>3.05</v>
      </c>
      <c r="BM11" s="1513">
        <v>24.28</v>
      </c>
      <c r="BN11" s="1513">
        <v>4.54</v>
      </c>
      <c r="BO11" s="1513">
        <v>35.57</v>
      </c>
      <c r="BP11" s="1513">
        <v>6.64</v>
      </c>
      <c r="BQ11" s="1510">
        <v>1.63</v>
      </c>
      <c r="BR11" s="1510">
        <v>0.49</v>
      </c>
      <c r="BS11" s="1513">
        <v>2.25</v>
      </c>
      <c r="BT11" s="1513">
        <v>0.68</v>
      </c>
      <c r="BU11" s="1513">
        <v>3.34</v>
      </c>
      <c r="BV11" s="1513">
        <v>1</v>
      </c>
      <c r="BW11" s="1513">
        <v>4.9000000000000004</v>
      </c>
      <c r="BX11" s="1513">
        <v>1.47</v>
      </c>
      <c r="BY11" s="1513">
        <v>258.61</v>
      </c>
      <c r="BZ11" s="1513">
        <v>16.77</v>
      </c>
      <c r="CA11" s="1513">
        <v>10.55</v>
      </c>
      <c r="CB11" s="1513">
        <v>2.82</v>
      </c>
      <c r="CC11" s="1513">
        <v>8.36</v>
      </c>
      <c r="CD11" s="1513">
        <v>2.2799999999999998</v>
      </c>
      <c r="CE11" s="1513">
        <v>125.53</v>
      </c>
      <c r="CF11" s="1513">
        <v>35.15</v>
      </c>
      <c r="CG11" s="1510">
        <v>10.130000000000001</v>
      </c>
      <c r="CH11" s="1510">
        <v>1.74</v>
      </c>
      <c r="CI11" s="1510">
        <v>15.26</v>
      </c>
      <c r="CJ11" s="1510">
        <v>5.34</v>
      </c>
      <c r="CK11" s="1510">
        <v>9.7200000000000006</v>
      </c>
      <c r="CL11" s="1510">
        <v>1.92</v>
      </c>
      <c r="CM11" s="1510">
        <v>18.41</v>
      </c>
      <c r="CN11" s="1510">
        <v>2.5299999999999998</v>
      </c>
      <c r="CO11" s="1510">
        <v>9.92</v>
      </c>
      <c r="CP11" s="1510">
        <v>2.39</v>
      </c>
      <c r="CQ11" s="1510">
        <v>6.86</v>
      </c>
      <c r="CR11" s="1510">
        <v>1.06</v>
      </c>
      <c r="CS11" s="1514">
        <v>28.7</v>
      </c>
      <c r="CT11" s="1514">
        <v>11.03</v>
      </c>
      <c r="CU11" s="1510">
        <v>34.31</v>
      </c>
      <c r="CV11" s="1510">
        <v>5.29</v>
      </c>
      <c r="CW11" s="1510">
        <v>31.57</v>
      </c>
      <c r="CX11" s="1510">
        <v>11.03</v>
      </c>
      <c r="CY11" s="1510">
        <v>34.31</v>
      </c>
      <c r="CZ11" s="1510">
        <v>5.29</v>
      </c>
      <c r="DA11" s="1510">
        <v>21.47</v>
      </c>
      <c r="DB11" s="1510">
        <v>5.92</v>
      </c>
      <c r="DC11" s="1510">
        <v>26.83</v>
      </c>
      <c r="DD11" s="1510">
        <v>7.39</v>
      </c>
      <c r="DE11" s="1510">
        <v>35.78</v>
      </c>
      <c r="DF11" s="1510">
        <v>9.86</v>
      </c>
      <c r="DG11" s="1510">
        <v>42.94</v>
      </c>
      <c r="DH11" s="1510">
        <v>11.83</v>
      </c>
      <c r="DI11" s="1510">
        <v>8.5500000000000007</v>
      </c>
      <c r="DJ11" s="1510">
        <v>2.0699999999999998</v>
      </c>
      <c r="DK11" s="1510">
        <v>1.92</v>
      </c>
      <c r="DL11" s="1510">
        <v>0.39</v>
      </c>
      <c r="DM11" s="1510">
        <v>41.16</v>
      </c>
      <c r="DN11" s="1510">
        <v>5.86</v>
      </c>
      <c r="DO11" s="1510">
        <v>56.74</v>
      </c>
      <c r="DP11" s="1510">
        <v>7.39</v>
      </c>
      <c r="DQ11" s="1510">
        <v>68.69</v>
      </c>
      <c r="DR11" s="1510">
        <v>8.11</v>
      </c>
      <c r="DS11" s="1510">
        <v>83.25</v>
      </c>
      <c r="DT11" s="1510">
        <v>9</v>
      </c>
      <c r="DU11" s="1510">
        <v>8.6999999999999993</v>
      </c>
      <c r="DV11" s="1510">
        <v>1.97</v>
      </c>
      <c r="DW11" s="1510">
        <v>10.15</v>
      </c>
      <c r="DX11" s="1510">
        <v>2.2999999999999998</v>
      </c>
    </row>
    <row r="12" spans="1:128" ht="18.75" customHeight="1">
      <c r="A12" s="1497"/>
      <c r="B12" s="1498" t="s">
        <v>584</v>
      </c>
      <c r="C12" s="1508" t="s">
        <v>585</v>
      </c>
      <c r="D12" s="1500" t="str">
        <f>IF($D$2=40.5,U31,IF($D$2=41.5,U32,IF($D$2=42.5,U33,IF($D$2=43.5,U34,IF($D$2=44.5,U35,IF($D$2=45.5,U36,IF($D$2=46.5,U37,)))))))&amp;
IF($D$2=47.5,U38,IF($D$2=48.5,U39,IF($D$2=49.5,U40,IF($D$2=50.5,U41,IF($D$2=51.5,U42,IF($D$2=52.5,U43,IF($D$2=53.5,U44,)))))))&amp;
IF($D$2=54.5,U45,IF($D$2=55.5,U46,IF($D$2=56.5,U47,IF($D$2=57.5,U48,IF($D$2=15.5,U6,IF($D$2=16.5,U7,IF($D$2=17.5,U8,)))))))&amp;
IF($D$2=18.5,U9,IF($D$2=19.5,U10,IF($D$2=20.5,U11,IF($D$2=21.5,U12,IF($D$2=22.5,U13,IF($D$2=23.5,U14,IF($D$2=24.5,U15,)))))))&amp;IF($D$2=25.5,U16,IF($D$2=26.5,U17,IF($D$2=39.5,U30,)))&amp;IF($D$2=31.5,U22,IF($D$2=32.5,U23,IF($D$2=33.5,U24,IF($D$2=34.5,U25,IF($D$2=35.5,U26,IF($D$2=36.5,U27,IF($D$2=37.5,U28,IF($C$2=38.5,U29,))))))))&amp;IF($D$2=27.5,U18,IF($D$2=28.5,U19,IF($D$2=29.5,U20,IF($D$2=30.5,U21,))))</f>
        <v>37.84</v>
      </c>
      <c r="E12" s="1500" t="str">
        <f>IF($D$2=40.5,V31,IF($D$2=41.5,V32,IF($D$2=42.5,V33,IF($D$2=43.5,V34,IF($D$2=44.5,V35,IF($D$2=45.5,V36,IF($D$2=46.5,V37,)))))))&amp;
IF($D$2=47.5,V38,IF($D$2=48.5,V39,IF($D$2=49.5,V40,IF($D$2=50.5,V41,IF($D$2=51.5,V42,IF($D$2=52.5,V43,IF($D$2=53.5,V44,)))))))&amp;
IF($D$2=54.5,V45,IF($D$2=55.5,V46,IF($D$2=56.5,V47,IF($D$2=57.5,V48,IF($D$2=15.5,V6,IF($D$2=16.5,V7,IF($D$2=17.5,V8,)))))))&amp;
IF($D$2=18.5,V9,IF($D$2=19.5,V10,IF($D$2=20.5,V11,IF($D$2=21.5,V12,IF($D$2=22.5,V13,IF($D$2=23.5,V14,IF($D$2=24.5,V15,)))))))&amp;IF($D$2=25.5,V16,IF($D$2=26.5,V17,IF($D$2=39.5,V30,)))&amp;IF($D$2=31.5,V22,IF($D$2=32.5,V23,IF($D$2=33.5,V24,IF($D$2=34.5,V25,IF($D$2=35.5,V26,IF($D$2=36.5,V27,IF($D$2=37.5,V28,IF($C$2=38.5,V29,))))))))&amp;IF($D$2=27.5,V18,IF($D$2=28.5,V19,IF($D$2=29.5,V20,IF($D$2=30.5,V21,))))</f>
        <v>10.8</v>
      </c>
      <c r="F12" s="1501">
        <f>E12*1.25</f>
        <v>13.5</v>
      </c>
      <c r="G12" s="1501">
        <f>D12+E12</f>
        <v>48.64</v>
      </c>
      <c r="H12" s="1501">
        <f>D12+F12</f>
        <v>51.34</v>
      </c>
      <c r="I12" s="1367"/>
      <c r="J12" s="1367"/>
      <c r="K12" s="1367"/>
      <c r="L12" s="1510">
        <v>21.5</v>
      </c>
      <c r="M12" s="1511">
        <v>1.4</v>
      </c>
      <c r="N12" s="1511">
        <v>0.22</v>
      </c>
      <c r="O12" s="1512">
        <v>2.83</v>
      </c>
      <c r="P12" s="1512">
        <v>0.55000000000000004</v>
      </c>
      <c r="Q12" s="1512">
        <v>4.26</v>
      </c>
      <c r="R12" s="1512">
        <v>0.78</v>
      </c>
      <c r="S12" s="1513">
        <v>16.32</v>
      </c>
      <c r="T12" s="1513">
        <v>3.51</v>
      </c>
      <c r="U12" s="1513">
        <v>31.08</v>
      </c>
      <c r="V12" s="1513">
        <v>10.8</v>
      </c>
      <c r="W12" s="1513">
        <v>16.72</v>
      </c>
      <c r="X12" s="1513">
        <v>3.06</v>
      </c>
      <c r="Y12" s="1513">
        <v>5.85</v>
      </c>
      <c r="Z12" s="1513">
        <v>1.7</v>
      </c>
      <c r="AA12" s="1513">
        <v>25.86</v>
      </c>
      <c r="AB12" s="1513">
        <v>3.34</v>
      </c>
      <c r="AC12" s="1513">
        <v>31.15</v>
      </c>
      <c r="AD12" s="1513">
        <v>5.18</v>
      </c>
      <c r="AE12" s="1513">
        <v>59.01</v>
      </c>
      <c r="AF12" s="1513">
        <v>4.66</v>
      </c>
      <c r="AG12" s="1513">
        <v>49.16</v>
      </c>
      <c r="AH12" s="1513">
        <v>19</v>
      </c>
      <c r="AI12" s="1510">
        <v>22.82</v>
      </c>
      <c r="AJ12" s="1510">
        <v>6.52</v>
      </c>
      <c r="AK12" s="1514">
        <v>7.55</v>
      </c>
      <c r="AL12" s="1514">
        <v>1.46</v>
      </c>
      <c r="AM12" s="1513">
        <v>37.29</v>
      </c>
      <c r="AN12" s="1513">
        <v>12.96</v>
      </c>
      <c r="AO12" s="1513">
        <v>14.21</v>
      </c>
      <c r="AP12" s="1513">
        <v>2.75</v>
      </c>
      <c r="AQ12" s="1513">
        <v>44.63</v>
      </c>
      <c r="AR12" s="1513">
        <v>20.9</v>
      </c>
      <c r="AS12" s="1513">
        <v>19.23</v>
      </c>
      <c r="AT12" s="1513">
        <v>4.2</v>
      </c>
      <c r="AU12" s="1513">
        <v>54.62</v>
      </c>
      <c r="AV12" s="1513">
        <v>25.71</v>
      </c>
      <c r="AW12" s="1513">
        <v>5.74</v>
      </c>
      <c r="AX12" s="1513">
        <v>1.66</v>
      </c>
      <c r="AY12" s="1510">
        <v>7.92</v>
      </c>
      <c r="AZ12" s="1510">
        <v>2.11</v>
      </c>
      <c r="BA12" s="1514">
        <v>9.66</v>
      </c>
      <c r="BB12" s="1514">
        <v>3.38</v>
      </c>
      <c r="BC12" s="1513">
        <v>8.73</v>
      </c>
      <c r="BD12" s="1513">
        <v>1.75</v>
      </c>
      <c r="BE12" s="1513">
        <v>5.5</v>
      </c>
      <c r="BF12" s="1513">
        <v>0.62</v>
      </c>
      <c r="BG12" s="1513">
        <v>5.0999999999999996</v>
      </c>
      <c r="BH12" s="1513">
        <v>0.88</v>
      </c>
      <c r="BI12" s="1513">
        <v>12.08</v>
      </c>
      <c r="BJ12" s="1513">
        <v>2.21</v>
      </c>
      <c r="BK12" s="1513">
        <v>16.690000000000001</v>
      </c>
      <c r="BL12" s="1513">
        <v>3.05</v>
      </c>
      <c r="BM12" s="1513">
        <v>24.82</v>
      </c>
      <c r="BN12" s="1513">
        <v>4.54</v>
      </c>
      <c r="BO12" s="1513">
        <v>36.35</v>
      </c>
      <c r="BP12" s="1513">
        <v>6.64</v>
      </c>
      <c r="BQ12" s="1510">
        <v>1.65</v>
      </c>
      <c r="BR12" s="1510">
        <v>0.49</v>
      </c>
      <c r="BS12" s="1513">
        <v>2.27</v>
      </c>
      <c r="BT12" s="1513">
        <v>0.68</v>
      </c>
      <c r="BU12" s="1513">
        <v>3.38</v>
      </c>
      <c r="BV12" s="1513">
        <v>1</v>
      </c>
      <c r="BW12" s="1513">
        <v>4.95</v>
      </c>
      <c r="BX12" s="1513">
        <v>1.47</v>
      </c>
      <c r="BY12" s="1513">
        <v>269.36</v>
      </c>
      <c r="BZ12" s="1513">
        <v>16.77</v>
      </c>
      <c r="CA12" s="1513">
        <v>10.71</v>
      </c>
      <c r="CB12" s="1513">
        <v>2.82</v>
      </c>
      <c r="CC12" s="1513">
        <v>8.4700000000000006</v>
      </c>
      <c r="CD12" s="1513">
        <v>2.2799999999999998</v>
      </c>
      <c r="CE12" s="1513">
        <v>129</v>
      </c>
      <c r="CF12" s="1513">
        <v>35.15</v>
      </c>
      <c r="CG12" s="1510">
        <v>10.4</v>
      </c>
      <c r="CH12" s="1510">
        <v>1.74</v>
      </c>
      <c r="CI12" s="1510">
        <v>15.26</v>
      </c>
      <c r="CJ12" s="1510">
        <v>5.34</v>
      </c>
      <c r="CK12" s="1510">
        <v>9.77</v>
      </c>
      <c r="CL12" s="1510">
        <v>1.92</v>
      </c>
      <c r="CM12" s="1510">
        <v>18.66</v>
      </c>
      <c r="CN12" s="1510">
        <v>2.5299999999999998</v>
      </c>
      <c r="CO12" s="1510">
        <v>10.14</v>
      </c>
      <c r="CP12" s="1510">
        <v>2.39</v>
      </c>
      <c r="CQ12" s="1510">
        <v>7</v>
      </c>
      <c r="CR12" s="1510">
        <v>1.06</v>
      </c>
      <c r="CS12" s="1514">
        <v>29.1</v>
      </c>
      <c r="CT12" s="1514">
        <v>11.03</v>
      </c>
      <c r="CU12" s="1510">
        <v>34.99</v>
      </c>
      <c r="CV12" s="1510">
        <v>5.29</v>
      </c>
      <c r="CW12" s="1510">
        <v>32.020000000000003</v>
      </c>
      <c r="CX12" s="1510">
        <v>11.03</v>
      </c>
      <c r="CY12" s="1510">
        <v>34.99</v>
      </c>
      <c r="CZ12" s="1510">
        <v>5.29</v>
      </c>
      <c r="DA12" s="1510">
        <v>21.61</v>
      </c>
      <c r="DB12" s="1510">
        <v>5.92</v>
      </c>
      <c r="DC12" s="1510">
        <v>27.01</v>
      </c>
      <c r="DD12" s="1510">
        <v>7.39</v>
      </c>
      <c r="DE12" s="1510">
        <v>36.020000000000003</v>
      </c>
      <c r="DF12" s="1510">
        <v>9.86</v>
      </c>
      <c r="DG12" s="1510">
        <v>43.22</v>
      </c>
      <c r="DH12" s="1510">
        <v>11.83</v>
      </c>
      <c r="DI12" s="1510">
        <v>8.7200000000000006</v>
      </c>
      <c r="DJ12" s="1510">
        <v>2.0699999999999998</v>
      </c>
      <c r="DK12" s="1510">
        <v>1.96</v>
      </c>
      <c r="DL12" s="1510">
        <v>0.39</v>
      </c>
      <c r="DM12" s="1510">
        <v>41.48</v>
      </c>
      <c r="DN12" s="1510">
        <v>5.86</v>
      </c>
      <c r="DO12" s="1510">
        <v>57.12</v>
      </c>
      <c r="DP12" s="1510">
        <v>7.39</v>
      </c>
      <c r="DQ12" s="1510">
        <v>69.16</v>
      </c>
      <c r="DR12" s="1510">
        <v>8.11</v>
      </c>
      <c r="DS12" s="1510">
        <v>83.82</v>
      </c>
      <c r="DT12" s="1510">
        <v>9</v>
      </c>
      <c r="DU12" s="1510">
        <v>8.9</v>
      </c>
      <c r="DV12" s="1510">
        <v>1.97</v>
      </c>
      <c r="DW12" s="1510">
        <v>10.38</v>
      </c>
      <c r="DX12" s="1510">
        <v>2.2999999999999998</v>
      </c>
    </row>
    <row r="13" spans="1:128" ht="18.75" customHeight="1">
      <c r="A13" s="1497">
        <v>3</v>
      </c>
      <c r="B13" s="1498" t="s">
        <v>1041</v>
      </c>
      <c r="C13" s="1508"/>
      <c r="D13" s="1509"/>
      <c r="E13" s="1509"/>
      <c r="F13" s="1501"/>
      <c r="G13" s="1501"/>
      <c r="H13" s="1501"/>
      <c r="I13" s="1367"/>
      <c r="J13" s="1367"/>
      <c r="K13" s="1367"/>
      <c r="L13" s="1510">
        <v>22.5</v>
      </c>
      <c r="M13" s="1515">
        <v>1.41</v>
      </c>
      <c r="N13" s="1515">
        <v>0.22</v>
      </c>
      <c r="O13" s="1512">
        <v>2.86</v>
      </c>
      <c r="P13" s="1512">
        <v>0.55000000000000004</v>
      </c>
      <c r="Q13" s="1512">
        <v>4.3099999999999996</v>
      </c>
      <c r="R13" s="1512">
        <v>0.78</v>
      </c>
      <c r="S13" s="1513">
        <v>16.53</v>
      </c>
      <c r="T13" s="1513">
        <v>3.51</v>
      </c>
      <c r="U13" s="1513">
        <v>31.53</v>
      </c>
      <c r="V13" s="1513">
        <v>10.8</v>
      </c>
      <c r="W13" s="1513">
        <v>16.899999999999999</v>
      </c>
      <c r="X13" s="1513">
        <v>3.06</v>
      </c>
      <c r="Y13" s="1513">
        <v>5.93</v>
      </c>
      <c r="Z13" s="1513">
        <v>1.7</v>
      </c>
      <c r="AA13" s="1513">
        <v>26.24</v>
      </c>
      <c r="AB13" s="1513">
        <v>3.34</v>
      </c>
      <c r="AC13" s="1513">
        <v>31.59</v>
      </c>
      <c r="AD13" s="1513">
        <v>5.18</v>
      </c>
      <c r="AE13" s="1513">
        <v>59.45</v>
      </c>
      <c r="AF13" s="1513">
        <v>4.66</v>
      </c>
      <c r="AG13" s="1513">
        <v>50.11</v>
      </c>
      <c r="AH13" s="1513">
        <v>19</v>
      </c>
      <c r="AI13" s="1510">
        <v>23.12</v>
      </c>
      <c r="AJ13" s="1510">
        <v>6.52</v>
      </c>
      <c r="AK13" s="1514">
        <v>7.63</v>
      </c>
      <c r="AL13" s="1514">
        <v>1.46</v>
      </c>
      <c r="AM13" s="1513">
        <v>37.840000000000003</v>
      </c>
      <c r="AN13" s="1513">
        <v>12.96</v>
      </c>
      <c r="AO13" s="1513">
        <v>14.36</v>
      </c>
      <c r="AP13" s="1513">
        <v>2.75</v>
      </c>
      <c r="AQ13" s="1513">
        <v>45.25</v>
      </c>
      <c r="AR13" s="1513">
        <v>20.9</v>
      </c>
      <c r="AS13" s="1513">
        <v>19.37</v>
      </c>
      <c r="AT13" s="1513">
        <v>4.2</v>
      </c>
      <c r="AU13" s="1513">
        <v>55.4</v>
      </c>
      <c r="AV13" s="1513">
        <v>25.71</v>
      </c>
      <c r="AW13" s="1513">
        <v>5.81</v>
      </c>
      <c r="AX13" s="1513">
        <v>1.66</v>
      </c>
      <c r="AY13" s="1510">
        <v>8.02</v>
      </c>
      <c r="AZ13" s="1510">
        <v>2.11</v>
      </c>
      <c r="BA13" s="1514">
        <v>9.7799999999999994</v>
      </c>
      <c r="BB13" s="1514">
        <v>3.38</v>
      </c>
      <c r="BC13" s="1513">
        <v>8.83</v>
      </c>
      <c r="BD13" s="1513">
        <v>1.75</v>
      </c>
      <c r="BE13" s="1513">
        <v>5.63</v>
      </c>
      <c r="BF13" s="1513">
        <v>0.62</v>
      </c>
      <c r="BG13" s="1513">
        <v>5.22</v>
      </c>
      <c r="BH13" s="1513">
        <v>0.88</v>
      </c>
      <c r="BI13" s="1513">
        <v>12.34</v>
      </c>
      <c r="BJ13" s="1513">
        <v>2.21</v>
      </c>
      <c r="BK13" s="1513">
        <v>17.05</v>
      </c>
      <c r="BL13" s="1513">
        <v>3.05</v>
      </c>
      <c r="BM13" s="1513">
        <v>25.35</v>
      </c>
      <c r="BN13" s="1513">
        <v>4.54</v>
      </c>
      <c r="BO13" s="1513">
        <v>37.130000000000003</v>
      </c>
      <c r="BP13" s="1513">
        <v>6.64</v>
      </c>
      <c r="BQ13" s="1510">
        <v>1.66</v>
      </c>
      <c r="BR13" s="1510">
        <v>0.49</v>
      </c>
      <c r="BS13" s="1513">
        <v>2.2999999999999998</v>
      </c>
      <c r="BT13" s="1513">
        <v>0.68</v>
      </c>
      <c r="BU13" s="1513">
        <v>3.42</v>
      </c>
      <c r="BV13" s="1513">
        <v>1</v>
      </c>
      <c r="BW13" s="1513">
        <v>5.01</v>
      </c>
      <c r="BX13" s="1513">
        <v>1.47</v>
      </c>
      <c r="BY13" s="1513">
        <v>280.17</v>
      </c>
      <c r="BZ13" s="1513">
        <v>16.77</v>
      </c>
      <c r="CA13" s="1513">
        <v>10.88</v>
      </c>
      <c r="CB13" s="1513">
        <v>2.82</v>
      </c>
      <c r="CC13" s="1513">
        <v>8.58</v>
      </c>
      <c r="CD13" s="1513">
        <v>2.2799999999999998</v>
      </c>
      <c r="CE13" s="1513">
        <v>132.46</v>
      </c>
      <c r="CF13" s="1513">
        <v>35.15</v>
      </c>
      <c r="CG13" s="1510">
        <v>10.68</v>
      </c>
      <c r="CH13" s="1510">
        <v>1.74</v>
      </c>
      <c r="CI13" s="1510">
        <v>15.26</v>
      </c>
      <c r="CJ13" s="1510">
        <v>5.34</v>
      </c>
      <c r="CK13" s="1510">
        <v>9.82</v>
      </c>
      <c r="CL13" s="1510">
        <v>1.92</v>
      </c>
      <c r="CM13" s="1510">
        <v>18.899999999999999</v>
      </c>
      <c r="CN13" s="1510">
        <v>2.5299999999999998</v>
      </c>
      <c r="CO13" s="1510">
        <v>10.36</v>
      </c>
      <c r="CP13" s="1510">
        <v>2.39</v>
      </c>
      <c r="CQ13" s="1510">
        <v>7.13</v>
      </c>
      <c r="CR13" s="1510">
        <v>1.06</v>
      </c>
      <c r="CS13" s="1510">
        <v>29.51</v>
      </c>
      <c r="CT13" s="1510">
        <v>11.03</v>
      </c>
      <c r="CU13" s="1510">
        <v>35.659999999999997</v>
      </c>
      <c r="CV13" s="1510">
        <v>5.29</v>
      </c>
      <c r="CW13" s="1510">
        <v>32.46</v>
      </c>
      <c r="CX13" s="1510">
        <v>11.03</v>
      </c>
      <c r="CY13" s="1510">
        <v>35.659999999999997</v>
      </c>
      <c r="CZ13" s="1510">
        <v>5.29</v>
      </c>
      <c r="DA13" s="1510">
        <v>21.75</v>
      </c>
      <c r="DB13" s="1510">
        <v>5.92</v>
      </c>
      <c r="DC13" s="1510">
        <v>27.19</v>
      </c>
      <c r="DD13" s="1510">
        <v>7.39</v>
      </c>
      <c r="DE13" s="1510">
        <v>36.25</v>
      </c>
      <c r="DF13" s="1510">
        <v>9.86</v>
      </c>
      <c r="DG13" s="1510">
        <v>43.5</v>
      </c>
      <c r="DH13" s="1510">
        <v>11.83</v>
      </c>
      <c r="DI13" s="1510">
        <v>8.89</v>
      </c>
      <c r="DJ13" s="1510">
        <v>2.0699999999999998</v>
      </c>
      <c r="DK13" s="1510">
        <v>2.0099999999999998</v>
      </c>
      <c r="DL13" s="1510">
        <v>0.39</v>
      </c>
      <c r="DM13" s="1510">
        <v>41.8</v>
      </c>
      <c r="DN13" s="1510">
        <v>5.86</v>
      </c>
      <c r="DO13" s="1510">
        <v>57.5</v>
      </c>
      <c r="DP13" s="1510">
        <v>7.39</v>
      </c>
      <c r="DQ13" s="1510">
        <v>69.63</v>
      </c>
      <c r="DR13" s="1510">
        <v>8.11</v>
      </c>
      <c r="DS13" s="1510">
        <v>84.38</v>
      </c>
      <c r="DT13" s="1510">
        <v>9</v>
      </c>
      <c r="DU13" s="1510">
        <v>9.09</v>
      </c>
      <c r="DV13" s="1510">
        <v>1.97</v>
      </c>
      <c r="DW13" s="1510">
        <v>10.6</v>
      </c>
      <c r="DX13" s="1510">
        <v>2.2999999999999998</v>
      </c>
    </row>
    <row r="14" spans="1:128" ht="18.75" customHeight="1">
      <c r="A14" s="1497"/>
      <c r="B14" s="1498" t="s">
        <v>1042</v>
      </c>
      <c r="C14" s="1508" t="s">
        <v>1043</v>
      </c>
      <c r="D14" s="1500" t="str">
        <f>IF($D$2=40.5,W31,IF($D$2=41.5,W32,IF($D$2=42.5,W33,IF($D$2=43.5,W34,IF($D$2=44.5,W35,IF($D$2=45.5,W36,IF($D$2=46.5,W37,)))))))&amp;
IF($D$2=47.5,W38,IF($D$2=48.5,W39,IF($D$2=49.5,W40,IF($D$2=50.5,W41,IF($D$2=51.5,W42,IF($D$2=52.5,W43,IF($D$2=53.5,W44,)))))))&amp;
IF($D$2=54.5,W45,IF($D$2=55.5,W46,IF($D$2=56.5,W47,IF($D$2=57.5,W48,IF($D$2=15.5,W6,IF($D$2=16.5,W7,IF($D$2=17.5,W8,)))))))&amp;
IF($D$2=18.5,W9,IF($D$2=19.5,W10,IF($D$2=20.5,W11,IF($D$2=21.5,W12,IF($D$2=22.5,W13,IF($D$2=23.5,W14,IF($D$2=24.5,W15,)))))))&amp;IF($D$2=25.5,W16,IF($D$2=26.5,W17,IF($D$2=39.5,W30,)))&amp;IF($D$2=31.5,W22,IF($D$2=32.5,W23,IF($D$2=33.5,W24,IF($D$2=34.5,W25,IF($D$2=35.5,W26,IF($D$2=36.5,W27,IF($D$2=37.5,W28,IF($C$2=38.5,W29,))))))))&amp;IF($D$2=27.5,W18,IF($D$2=28.5,W19,IF($D$2=29.5,W20,IF($D$2=30.5,W21,))))</f>
        <v>19.53</v>
      </c>
      <c r="E14" s="1500" t="str">
        <f>IF($D$2=40.5,X31,IF($D$2=41.5,X32,IF($D$2=42.5,X33,IF($D$2=43.5,X34,IF($D$2=44.5,X35,IF($D$2=45.5,X36,IF($D$2=46.5,X37,)))))))&amp;
IF($D$2=47.5,X38,IF($D$2=48.5,X39,IF($D$2=49.5,X40,IF($D$2=50.5,X41,IF($D$2=51.5,X42,IF($D$2=52.5,X43,IF($D$2=53.5,X44,)))))))&amp;
IF($D$2=54.5,X45,IF($D$2=55.5,X46,IF($D$2=56.5,X47,IF($D$2=57.5,X48,IF($D$2=15.5,X6,IF($D$2=16.5,X7,IF($D$2=17.5,X8,)))))))&amp;
IF($D$2=18.5,X9,IF($D$2=19.5,X10,IF($D$2=20.5,X11,IF($D$2=21.5,X12,IF($D$2=22.5,X13,IF($D$2=23.5,X14,IF($D$2=24.5,X15,)))))))&amp;IF($D$2=25.5,X16,IF($D$2=26.5,X17,IF($D$2=39.5,X30,)))&amp;IF($D$2=31.5,X22,IF($D$2=32.5,X23,IF($D$2=33.5,X24,IF($D$2=34.5,X25,IF($D$2=35.5,X26,IF($D$2=36.5,X27,IF($D$2=37.5,X28,IF($C$2=38.5,X29,))))))))&amp;IF($D$2=27.5,X18,IF($D$2=28.5,X19,IF($D$2=29.5,X20,IF($D$2=30.5,X21,))))</f>
        <v>3.06</v>
      </c>
      <c r="F14" s="1501">
        <f t="shared" ref="F14:F19" si="0">E14*1.25</f>
        <v>3.8250000000000002</v>
      </c>
      <c r="G14" s="1501">
        <f t="shared" ref="G14:G19" si="1">D14+E14</f>
        <v>22.59</v>
      </c>
      <c r="H14" s="1501">
        <f t="shared" ref="H14:H19" si="2">D14+F14</f>
        <v>23.355</v>
      </c>
      <c r="I14" s="1367"/>
      <c r="J14" s="1367"/>
      <c r="K14" s="1367"/>
      <c r="L14" s="1510">
        <v>23.5</v>
      </c>
      <c r="M14" s="1515">
        <v>1.42</v>
      </c>
      <c r="N14" s="1515">
        <v>0.22</v>
      </c>
      <c r="O14" s="1512">
        <v>2.89</v>
      </c>
      <c r="P14" s="1512">
        <v>0.55000000000000004</v>
      </c>
      <c r="Q14" s="1512">
        <v>4.37</v>
      </c>
      <c r="R14" s="1512">
        <v>0.78</v>
      </c>
      <c r="S14" s="1513">
        <v>16.75</v>
      </c>
      <c r="T14" s="1513">
        <v>3.51</v>
      </c>
      <c r="U14" s="1513">
        <v>31.98</v>
      </c>
      <c r="V14" s="1513">
        <v>10.8</v>
      </c>
      <c r="W14" s="1513">
        <v>17.09</v>
      </c>
      <c r="X14" s="1513">
        <v>3.06</v>
      </c>
      <c r="Y14" s="1513">
        <v>6.01</v>
      </c>
      <c r="Z14" s="1513">
        <v>1.7</v>
      </c>
      <c r="AA14" s="1513">
        <v>26.63</v>
      </c>
      <c r="AB14" s="1513">
        <v>3.34</v>
      </c>
      <c r="AC14" s="1513">
        <v>32.04</v>
      </c>
      <c r="AD14" s="1513">
        <v>5.18</v>
      </c>
      <c r="AE14" s="1513">
        <v>59.88</v>
      </c>
      <c r="AF14" s="1513">
        <v>4.66</v>
      </c>
      <c r="AG14" s="1513">
        <v>51.05</v>
      </c>
      <c r="AH14" s="1513">
        <v>19</v>
      </c>
      <c r="AI14" s="1510">
        <v>23.43</v>
      </c>
      <c r="AJ14" s="1510">
        <v>6.52</v>
      </c>
      <c r="AK14" s="1514">
        <v>7.72</v>
      </c>
      <c r="AL14" s="1514">
        <v>1.46</v>
      </c>
      <c r="AM14" s="1513">
        <v>38.380000000000003</v>
      </c>
      <c r="AN14" s="1513">
        <v>12.96</v>
      </c>
      <c r="AO14" s="1513">
        <v>14.52</v>
      </c>
      <c r="AP14" s="1513">
        <v>2.75</v>
      </c>
      <c r="AQ14" s="1513">
        <v>45.87</v>
      </c>
      <c r="AR14" s="1513">
        <v>20.9</v>
      </c>
      <c r="AS14" s="1513">
        <v>19.510000000000002</v>
      </c>
      <c r="AT14" s="1513">
        <v>4.2</v>
      </c>
      <c r="AU14" s="1513">
        <v>56.17</v>
      </c>
      <c r="AV14" s="1513">
        <v>25.71</v>
      </c>
      <c r="AW14" s="1513">
        <v>5.89</v>
      </c>
      <c r="AX14" s="1513">
        <v>1.66</v>
      </c>
      <c r="AY14" s="1510">
        <v>8.1199999999999992</v>
      </c>
      <c r="AZ14" s="1510">
        <v>2.11</v>
      </c>
      <c r="BA14" s="1514">
        <v>9.9</v>
      </c>
      <c r="BB14" s="1514">
        <v>3.38</v>
      </c>
      <c r="BC14" s="1513">
        <v>8.93</v>
      </c>
      <c r="BD14" s="1513">
        <v>1.75</v>
      </c>
      <c r="BE14" s="1513">
        <v>5.76</v>
      </c>
      <c r="BF14" s="1513">
        <v>0.62</v>
      </c>
      <c r="BG14" s="1513">
        <v>5.34</v>
      </c>
      <c r="BH14" s="1513">
        <v>0.88</v>
      </c>
      <c r="BI14" s="1513">
        <v>12.6</v>
      </c>
      <c r="BJ14" s="1513">
        <v>2.21</v>
      </c>
      <c r="BK14" s="1513">
        <v>17.41</v>
      </c>
      <c r="BL14" s="1513">
        <v>3.05</v>
      </c>
      <c r="BM14" s="1513">
        <v>25.89</v>
      </c>
      <c r="BN14" s="1513">
        <v>4.54</v>
      </c>
      <c r="BO14" s="1513">
        <v>37.909999999999997</v>
      </c>
      <c r="BP14" s="1513">
        <v>6.64</v>
      </c>
      <c r="BQ14" s="1514">
        <v>1.68</v>
      </c>
      <c r="BR14" s="1514">
        <v>0.49</v>
      </c>
      <c r="BS14" s="1513">
        <v>2.3199999999999998</v>
      </c>
      <c r="BT14" s="1513">
        <v>0.68</v>
      </c>
      <c r="BU14" s="1513">
        <v>3.45</v>
      </c>
      <c r="BV14" s="1513">
        <v>1</v>
      </c>
      <c r="BW14" s="1513">
        <v>5.0599999999999996</v>
      </c>
      <c r="BX14" s="1513">
        <v>1.47</v>
      </c>
      <c r="BY14" s="1513">
        <v>290.69</v>
      </c>
      <c r="BZ14" s="1513">
        <v>16.77</v>
      </c>
      <c r="CA14" s="1513">
        <v>11.04</v>
      </c>
      <c r="CB14" s="1513">
        <v>2.82</v>
      </c>
      <c r="CC14" s="1513">
        <v>8.69</v>
      </c>
      <c r="CD14" s="1513">
        <v>2.2799999999999998</v>
      </c>
      <c r="CE14" s="1513">
        <v>135.93</v>
      </c>
      <c r="CF14" s="1513">
        <v>35.15</v>
      </c>
      <c r="CG14" s="1510">
        <v>10.96</v>
      </c>
      <c r="CH14" s="1510">
        <v>1.74</v>
      </c>
      <c r="CI14" s="1510">
        <v>15.26</v>
      </c>
      <c r="CJ14" s="1510">
        <v>5.34</v>
      </c>
      <c r="CK14" s="1510">
        <v>9.86</v>
      </c>
      <c r="CL14" s="1510">
        <v>1.92</v>
      </c>
      <c r="CM14" s="1510">
        <v>19.39</v>
      </c>
      <c r="CN14" s="1510">
        <v>2.5299999999999998</v>
      </c>
      <c r="CO14" s="1510">
        <v>10.59</v>
      </c>
      <c r="CP14" s="1510">
        <v>2.39</v>
      </c>
      <c r="CQ14" s="1510">
        <v>7.27</v>
      </c>
      <c r="CR14" s="1510">
        <v>1.06</v>
      </c>
      <c r="CS14" s="1510">
        <v>29.91</v>
      </c>
      <c r="CT14" s="1510">
        <v>11.03</v>
      </c>
      <c r="CU14" s="1510">
        <v>36.340000000000003</v>
      </c>
      <c r="CV14" s="1510">
        <v>5.29</v>
      </c>
      <c r="CW14" s="1510">
        <v>32.9</v>
      </c>
      <c r="CX14" s="1510">
        <v>11.03</v>
      </c>
      <c r="CY14" s="1510">
        <v>36.340000000000003</v>
      </c>
      <c r="CZ14" s="1510">
        <v>5.29</v>
      </c>
      <c r="DA14" s="1510">
        <v>21.89</v>
      </c>
      <c r="DB14" s="1510">
        <v>5.92</v>
      </c>
      <c r="DC14" s="1510">
        <v>27.37</v>
      </c>
      <c r="DD14" s="1510">
        <v>7.39</v>
      </c>
      <c r="DE14" s="1510">
        <v>36.49</v>
      </c>
      <c r="DF14" s="1510">
        <v>9.86</v>
      </c>
      <c r="DG14" s="1510">
        <v>43.79</v>
      </c>
      <c r="DH14" s="1510">
        <v>11.83</v>
      </c>
      <c r="DI14" s="1510">
        <v>9.06</v>
      </c>
      <c r="DJ14" s="1510">
        <v>2.0699999999999998</v>
      </c>
      <c r="DK14" s="1510">
        <v>2.09</v>
      </c>
      <c r="DL14" s="1510">
        <v>0.39</v>
      </c>
      <c r="DM14" s="1510">
        <v>42.13</v>
      </c>
      <c r="DN14" s="1510">
        <v>5.86</v>
      </c>
      <c r="DO14" s="1510">
        <v>57.89</v>
      </c>
      <c r="DP14" s="1510">
        <v>7.39</v>
      </c>
      <c r="DQ14" s="1510">
        <v>70.09</v>
      </c>
      <c r="DR14" s="1510">
        <v>8.11</v>
      </c>
      <c r="DS14" s="1510">
        <v>84.95</v>
      </c>
      <c r="DT14" s="1510">
        <v>9</v>
      </c>
      <c r="DU14" s="1510">
        <v>9.2799999999999994</v>
      </c>
      <c r="DV14" s="1510">
        <v>1.97</v>
      </c>
      <c r="DW14" s="1510">
        <v>10.83</v>
      </c>
      <c r="DX14" s="1510">
        <v>2.2999999999999998</v>
      </c>
    </row>
    <row r="15" spans="1:128" ht="18.75" customHeight="1">
      <c r="A15" s="1497"/>
      <c r="B15" s="1498" t="s">
        <v>950</v>
      </c>
      <c r="C15" s="1508" t="s">
        <v>583</v>
      </c>
      <c r="D15" s="1500" t="str">
        <f>IF($D$2=40.5,Y31,IF($D$2=41.5,Y32,IF($D$2=42.5,Y33,IF($D$2=43.5,Y34,IF($D$2=44.5,Y35,IF($D$2=45.5,Y36,IF($D$2=46.5,Y37,)))))))&amp;
IF($D$2=47.5,Y38,IF($D$2=48.5,Y39,IF($D$2=49.5,Y40,IF($D$2=50.5,Y41,IF($D$2=51.5,Y42,IF($D$2=52.5,Y43,IF($D$2=53.5,Y44,)))))))&amp;
IF($D$2=54.5,Y45,IF($D$2=55.5,Y46,IF($D$2=56.5,Y47,IF($D$2=57.5,Y48,IF($D$2=15.5,Y6,IF($D$2=16.5,Y7,IF($D$2=17.5,Y8,)))))))&amp;
IF($D$2=18.5,Y9,IF($D$2=19.5,Y10,IF($D$2=20.5,Y11,IF($D$2=21.5,Y12,IF($D$2=22.5,Y13,IF($D$2=23.5,Y14,IF($D$2=24.5,Y15,)))))))&amp;IF($D$2=25.5,Y16,IF($D$2=26.5,Y17,IF($D$2=39.5,Y30,)))&amp;IF($D$2=31.5,Y22,IF($D$2=32.5,Y23,IF($D$2=33.5,Y24,IF($D$2=34.5,Y25,IF($D$2=35.5,Y26,IF($D$2=36.5,Y27,IF($D$2=37.5,Y28,IF($C$2=38.5,Y29,))))))))&amp;IF($D$2=27.5,Y18,IF($D$2=28.5,Y19,IF($D$2=29.5,Y20,IF($D$2=30.5,Y21,))))</f>
        <v>7.07</v>
      </c>
      <c r="E15" s="1516" t="str">
        <f>IF($D$2=40.5,Z31,IF($D$2=41.5,Z32,IF($D$2=42.5,Z33,IF($D$2=43.5,Z34,IF($D$2=44.5,Z35,IF($D$2=45.5,Z36,IF($D$2=46.5,Z37,)))))))&amp;
IF($D$2=47.5,Z38,IF($D$2=48.5,Z39,IF($D$2=49.5,Z40,IF($D$2=50.5,Z41,IF($D$2=51.5,Z42,IF($D$2=52.5,Z43,IF($D$2=53.5,Z44,)))))))&amp;
IF($D$2=54.5,Z45,IF($D$2=55.5,Z46,IF($D$2=56.5,Z47,IF($D$2=57.5,Z48,IF($D$2=15.5,Z6,IF($D$2=16.5,Z7,IF($D$2=17.5,Z8,)))))))&amp;
IF($D$2=18.5,Z9,IF($D$2=19.5,Z10,IF($D$2=20.5,Z11,IF($D$2=21.5,Z12,IF($D$2=22.5,Z13,IF($D$2=23.5,Z14,IF($D$2=24.5,Z15,)))))))&amp;IF($D$2=25.5,Z16,IF($D$2=26.5,Z17,IF($D$2=39.5,Z30,)))&amp;IF($D$2=31.5,Z22,IF($D$2=32.5,Z23,IF($D$2=33.5,Z24,IF($D$2=34.5,Z25,IF($D$2=35.5,Z26,IF($D$2=36.5,Z27,IF($D$2=37.5,Z28,IF($C$2=38.5,Z29,))))))))&amp;IF($D$2=27.5,Z18,IF($D$2=28.5,Z19,IF($D$2=29.5,Z20,IF($D$2=30.5,Z21,))))</f>
        <v>1.7</v>
      </c>
      <c r="F15" s="1501">
        <f t="shared" si="0"/>
        <v>2.125</v>
      </c>
      <c r="G15" s="1501">
        <f t="shared" si="1"/>
        <v>8.77</v>
      </c>
      <c r="H15" s="1501">
        <f t="shared" si="2"/>
        <v>9.1950000000000003</v>
      </c>
      <c r="I15" s="1367"/>
      <c r="J15" s="1367"/>
      <c r="K15" s="1367"/>
      <c r="L15" s="1517">
        <v>24.5</v>
      </c>
      <c r="M15" s="1518">
        <v>1.43</v>
      </c>
      <c r="N15" s="1518">
        <v>0.22</v>
      </c>
      <c r="O15" s="1519">
        <v>2.92</v>
      </c>
      <c r="P15" s="1519">
        <v>0.55000000000000004</v>
      </c>
      <c r="Q15" s="1519">
        <v>4.42</v>
      </c>
      <c r="R15" s="1519">
        <v>0.78</v>
      </c>
      <c r="S15" s="1520">
        <v>16.96</v>
      </c>
      <c r="T15" s="1520">
        <v>3.51</v>
      </c>
      <c r="U15" s="1520">
        <v>32.43</v>
      </c>
      <c r="V15" s="1520">
        <v>10.8</v>
      </c>
      <c r="W15" s="1520">
        <v>17.28</v>
      </c>
      <c r="X15" s="1520">
        <v>3.06</v>
      </c>
      <c r="Y15" s="1520">
        <v>6.1</v>
      </c>
      <c r="Z15" s="1520">
        <v>1.7</v>
      </c>
      <c r="AA15" s="1520">
        <v>27.02</v>
      </c>
      <c r="AB15" s="1520">
        <v>3.34</v>
      </c>
      <c r="AC15" s="1520">
        <v>32.49</v>
      </c>
      <c r="AD15" s="1520">
        <v>5.18</v>
      </c>
      <c r="AE15" s="1520">
        <v>60.31</v>
      </c>
      <c r="AF15" s="1520">
        <v>4.66</v>
      </c>
      <c r="AG15" s="1520">
        <v>52</v>
      </c>
      <c r="AH15" s="1520">
        <v>19</v>
      </c>
      <c r="AI15" s="1517">
        <v>23.73</v>
      </c>
      <c r="AJ15" s="1517">
        <v>6.52</v>
      </c>
      <c r="AK15" s="1517">
        <v>7.8</v>
      </c>
      <c r="AL15" s="1517">
        <v>1.46</v>
      </c>
      <c r="AM15" s="1520">
        <v>38.92</v>
      </c>
      <c r="AN15" s="1520">
        <v>12.96</v>
      </c>
      <c r="AO15" s="1520">
        <v>14.68</v>
      </c>
      <c r="AP15" s="1520">
        <v>2.75</v>
      </c>
      <c r="AQ15" s="1520">
        <v>46.5</v>
      </c>
      <c r="AR15" s="1520">
        <v>20.9</v>
      </c>
      <c r="AS15" s="1520">
        <v>19.649999999999999</v>
      </c>
      <c r="AT15" s="1520">
        <v>4.2</v>
      </c>
      <c r="AU15" s="1520">
        <v>56.95</v>
      </c>
      <c r="AV15" s="1520">
        <v>25.71</v>
      </c>
      <c r="AW15" s="1520">
        <v>5.97</v>
      </c>
      <c r="AX15" s="1520">
        <v>1.66</v>
      </c>
      <c r="AY15" s="1517">
        <v>8.2200000000000006</v>
      </c>
      <c r="AZ15" s="1517">
        <v>2.11</v>
      </c>
      <c r="BA15" s="1521">
        <v>10.029999999999999</v>
      </c>
      <c r="BB15" s="1521">
        <v>3.38</v>
      </c>
      <c r="BC15" s="1520">
        <v>9.0299999999999994</v>
      </c>
      <c r="BD15" s="1520">
        <v>1.75</v>
      </c>
      <c r="BE15" s="1520">
        <v>5.89</v>
      </c>
      <c r="BF15" s="1520">
        <v>0.62</v>
      </c>
      <c r="BG15" s="1520">
        <v>5.46</v>
      </c>
      <c r="BH15" s="1520">
        <v>0.88</v>
      </c>
      <c r="BI15" s="1520">
        <v>12.86</v>
      </c>
      <c r="BJ15" s="1520">
        <v>2.21</v>
      </c>
      <c r="BK15" s="1520">
        <v>17.77</v>
      </c>
      <c r="BL15" s="1520">
        <v>3.05</v>
      </c>
      <c r="BM15" s="1520">
        <v>26.42</v>
      </c>
      <c r="BN15" s="1520">
        <v>4.54</v>
      </c>
      <c r="BO15" s="1520">
        <v>38.700000000000003</v>
      </c>
      <c r="BP15" s="1520">
        <v>6.64</v>
      </c>
      <c r="BQ15" s="1517">
        <v>1.7</v>
      </c>
      <c r="BR15" s="1517">
        <v>0.49</v>
      </c>
      <c r="BS15" s="1520">
        <v>2.35</v>
      </c>
      <c r="BT15" s="1520">
        <v>0.68</v>
      </c>
      <c r="BU15" s="1520">
        <v>3.49</v>
      </c>
      <c r="BV15" s="1520">
        <v>1</v>
      </c>
      <c r="BW15" s="1520">
        <v>5.1100000000000003</v>
      </c>
      <c r="BX15" s="1520">
        <v>1.47</v>
      </c>
      <c r="BY15" s="1520">
        <v>301.74</v>
      </c>
      <c r="BZ15" s="1520">
        <v>16.77</v>
      </c>
      <c r="CA15" s="1520">
        <v>11.21</v>
      </c>
      <c r="CB15" s="1520">
        <v>2.82</v>
      </c>
      <c r="CC15" s="1520">
        <v>8.8000000000000007</v>
      </c>
      <c r="CD15" s="1520">
        <v>2.2799999999999998</v>
      </c>
      <c r="CE15" s="1520">
        <v>139.38999999999999</v>
      </c>
      <c r="CF15" s="1520">
        <v>35.15</v>
      </c>
      <c r="CG15" s="1517">
        <v>11.23</v>
      </c>
      <c r="CH15" s="1517">
        <v>1.74</v>
      </c>
      <c r="CI15" s="1517">
        <v>15.26</v>
      </c>
      <c r="CJ15" s="1517">
        <v>5.34</v>
      </c>
      <c r="CK15" s="1517">
        <v>9.91</v>
      </c>
      <c r="CL15" s="1517">
        <v>1.92</v>
      </c>
      <c r="CM15" s="1517">
        <v>19.39</v>
      </c>
      <c r="CN15" s="1517">
        <v>2.5299999999999998</v>
      </c>
      <c r="CO15" s="1517">
        <v>10.81</v>
      </c>
      <c r="CP15" s="1517">
        <v>2.39</v>
      </c>
      <c r="CQ15" s="1517">
        <v>7.4</v>
      </c>
      <c r="CR15" s="1517">
        <v>1.06</v>
      </c>
      <c r="CS15" s="1517">
        <v>30.31</v>
      </c>
      <c r="CT15" s="1517">
        <v>11.03</v>
      </c>
      <c r="CU15" s="1517">
        <v>37.01</v>
      </c>
      <c r="CV15" s="1517">
        <v>5.29</v>
      </c>
      <c r="CW15" s="1517">
        <v>33.340000000000003</v>
      </c>
      <c r="CX15" s="1517">
        <v>11.03</v>
      </c>
      <c r="CY15" s="1517">
        <v>37.01</v>
      </c>
      <c r="CZ15" s="1517">
        <v>5.29</v>
      </c>
      <c r="DA15" s="1517">
        <v>22.04</v>
      </c>
      <c r="DB15" s="1517">
        <v>5.92</v>
      </c>
      <c r="DC15" s="1517">
        <v>27.54</v>
      </c>
      <c r="DD15" s="1517">
        <v>7.39</v>
      </c>
      <c r="DE15" s="1517">
        <v>36.729999999999997</v>
      </c>
      <c r="DF15" s="1517">
        <v>9.86</v>
      </c>
      <c r="DG15" s="1517">
        <v>44.07</v>
      </c>
      <c r="DH15" s="1517">
        <v>11.83</v>
      </c>
      <c r="DI15" s="1517">
        <v>9.24</v>
      </c>
      <c r="DJ15" s="1517">
        <v>2.0699999999999998</v>
      </c>
      <c r="DK15" s="1517">
        <v>2.09</v>
      </c>
      <c r="DL15" s="1517">
        <v>0.39</v>
      </c>
      <c r="DM15" s="1517">
        <v>42.45</v>
      </c>
      <c r="DN15" s="1517">
        <v>5.86</v>
      </c>
      <c r="DO15" s="1517">
        <v>58.27</v>
      </c>
      <c r="DP15" s="1517">
        <v>7.39</v>
      </c>
      <c r="DQ15" s="1517">
        <v>70.56</v>
      </c>
      <c r="DR15" s="1517">
        <v>8.11</v>
      </c>
      <c r="DS15" s="1517">
        <v>85.52</v>
      </c>
      <c r="DT15" s="1517">
        <v>9</v>
      </c>
      <c r="DU15" s="1517">
        <v>9.48</v>
      </c>
      <c r="DV15" s="1517">
        <v>1.97</v>
      </c>
      <c r="DW15" s="1517">
        <v>11.06</v>
      </c>
      <c r="DX15" s="1517">
        <v>2.2999999999999998</v>
      </c>
    </row>
    <row r="16" spans="1:128" ht="18.75" customHeight="1">
      <c r="A16" s="1497"/>
      <c r="B16" s="1498" t="s">
        <v>952</v>
      </c>
      <c r="C16" s="1508" t="s">
        <v>1043</v>
      </c>
      <c r="D16" s="1500" t="str">
        <f>IF($D$2=40.5,AA31,IF($D$2=41.5,AA32,IF($D$2=42.5,AA33,IF($D$2=43.5,AA34,IF($D$2=44.5,AA35,IF($D$2=45.5,AA36,IF($D$2=46.5,AA37,)))))))&amp;
IF($D$2=47.5,AA38,IF($D$2=48.5,AA39,IF($D$2=49.5,AA40,IF($D$2=50.5,AA41,IF($D$2=51.5,AA42,IF($D$2=52.5,AA43,IF($D$2=53.5,AA44,)))))))&amp;
IF($D$2=54.5,AA45,IF($D$2=55.5,AA46,IF($D$2=56.5,AA47,IF($D$2=57.5,AA48,IF($D$2=15.5,AA6,IF($D$2=16.5,AA7,IF($D$2=17.5,AA8,)))))))&amp;
IF($D$2=18.5,AA9,IF($D$2=19.5,AA10,IF($D$2=20.5,AA11,IF($D$2=21.5,AA12,IF($D$2=22.5,AA13,IF($D$2=23.5,AA14,IF($D$2=24.5,AA15,)))))))&amp;IF($D$2=25.5,AA16,IF($D$2=26.5,AA17,IF($D$2=39.5,AA30,)))&amp;IF($D$2=31.5,AA22,IF($D$2=32.5,AA23,IF($D$2=33.5,AA24,IF($D$2=34.5,AA25,IF($D$2=35.5,AA26,IF($D$2=36.5,AA27,IF($D$2=37.5,AA28,IF($C$2=38.5,AA29,))))))))&amp;IF($D$2=27.5,AA18,IF($D$2=28.5,AA19,IF($D$2=29.5,AA20,IF($D$2=30.5,AA21,))))</f>
        <v>31.65</v>
      </c>
      <c r="E16" s="1500" t="str">
        <f>IF($D$2=40.5,AB31,IF($D$2=41.5,AB32,IF($D$2=42.5,AB33,IF($D$2=43.5,AB34,IF($D$2=44.5,AB35,IF($D$2=45.5,AB36,IF($D$2=46.5,AB37,)))))))&amp;
IF($D$2=47.5,AB38,IF($D$2=48.5,AB39,IF($D$2=49.5,AB40,IF($D$2=50.5,AB41,IF($D$2=51.5,AB42,IF($D$2=52.5,AB43,IF($D$2=53.5,AB44,)))))))&amp;
IF($D$2=54.5,AB45,IF($D$2=55.5,AB46,IF($D$2=56.5,AB47,IF($D$2=57.5,AB48,IF($D$2=15.5,AB6,IF($D$2=16.5,AB7,IF($D$2=17.5,AB8,)))))))&amp;
IF($D$2=18.5,AB9,IF($D$2=19.5,AB10,IF($D$2=20.5,AB11,IF($D$2=21.5,AB12,IF($D$2=22.5,AB13,IF($D$2=23.5,AB14,IF($D$2=24.5,AB15,)))))))&amp;IF($D$2=25.5,AB16,IF($D$2=26.5,AB17,IF($D$2=39.5,AB30,)))&amp;IF($D$2=31.5,AB22,IF($D$2=32.5,AB23,IF($D$2=33.5,AB24,IF($D$2=34.5,AB25,IF($D$2=35.5,AB26,IF($D$2=36.5,AB27,IF($D$2=37.5,AB28,IF($C$2=38.5,AB29,))))))))&amp;IF($D$2=27.5,AB18,IF($D$2=28.5,AB19,IF($D$2=29.5,AB20,IF($D$2=30.5,AB21,))))</f>
        <v>3.34</v>
      </c>
      <c r="F16" s="1501">
        <f t="shared" si="0"/>
        <v>4.1749999999999998</v>
      </c>
      <c r="G16" s="1501">
        <f t="shared" si="1"/>
        <v>34.989999999999995</v>
      </c>
      <c r="H16" s="1501">
        <f t="shared" si="2"/>
        <v>35.824999999999996</v>
      </c>
      <c r="I16" s="1367"/>
      <c r="J16" s="1367"/>
      <c r="K16" s="1367"/>
      <c r="L16" s="1517">
        <v>25.5</v>
      </c>
      <c r="M16" s="1517">
        <v>1.45</v>
      </c>
      <c r="N16" s="1517">
        <v>0.22</v>
      </c>
      <c r="O16" s="1520">
        <v>2.95</v>
      </c>
      <c r="P16" s="1520">
        <v>0.55000000000000004</v>
      </c>
      <c r="Q16" s="1520">
        <v>4.47</v>
      </c>
      <c r="R16" s="1520">
        <v>0.78</v>
      </c>
      <c r="S16" s="1520">
        <v>17.18</v>
      </c>
      <c r="T16" s="1520">
        <v>3.51</v>
      </c>
      <c r="U16" s="1520">
        <v>32.880000000000003</v>
      </c>
      <c r="V16" s="1520">
        <v>10.8</v>
      </c>
      <c r="W16" s="1520">
        <v>17.47</v>
      </c>
      <c r="X16" s="1520">
        <v>3.06</v>
      </c>
      <c r="Y16" s="1520">
        <v>6.18</v>
      </c>
      <c r="Z16" s="1520">
        <v>1.7</v>
      </c>
      <c r="AA16" s="1520">
        <v>27.4</v>
      </c>
      <c r="AB16" s="1520">
        <v>3.34</v>
      </c>
      <c r="AC16" s="1520">
        <v>32.94</v>
      </c>
      <c r="AD16" s="1520">
        <v>5.18</v>
      </c>
      <c r="AE16" s="1520">
        <v>60.74</v>
      </c>
      <c r="AF16" s="1520">
        <v>4.66</v>
      </c>
      <c r="AG16" s="1520">
        <v>52.95</v>
      </c>
      <c r="AH16" s="1520">
        <v>19</v>
      </c>
      <c r="AI16" s="1517">
        <v>24.04</v>
      </c>
      <c r="AJ16" s="1517">
        <v>6.52</v>
      </c>
      <c r="AK16" s="1517">
        <v>7.88</v>
      </c>
      <c r="AL16" s="1517">
        <v>1.46</v>
      </c>
      <c r="AM16" s="1520">
        <v>39.46</v>
      </c>
      <c r="AN16" s="1520">
        <v>12.96</v>
      </c>
      <c r="AO16" s="1520">
        <v>14.83</v>
      </c>
      <c r="AP16" s="1520">
        <v>2.75</v>
      </c>
      <c r="AQ16" s="1520">
        <v>47.12</v>
      </c>
      <c r="AR16" s="1520">
        <v>20.9</v>
      </c>
      <c r="AS16" s="1520">
        <v>19.8</v>
      </c>
      <c r="AT16" s="1520">
        <v>4.2</v>
      </c>
      <c r="AU16" s="1520">
        <v>57.73</v>
      </c>
      <c r="AV16" s="1520">
        <v>25.71</v>
      </c>
      <c r="AW16" s="1520">
        <v>6.04</v>
      </c>
      <c r="AX16" s="1520">
        <v>1.66</v>
      </c>
      <c r="AY16" s="1517">
        <v>8.32</v>
      </c>
      <c r="AZ16" s="1517">
        <v>2.11</v>
      </c>
      <c r="BA16" s="1521">
        <v>10.15</v>
      </c>
      <c r="BB16" s="1521">
        <v>3.38</v>
      </c>
      <c r="BC16" s="1520">
        <v>9.1199999999999992</v>
      </c>
      <c r="BD16" s="1520">
        <v>1.75</v>
      </c>
      <c r="BE16" s="1520">
        <v>6.01</v>
      </c>
      <c r="BF16" s="1520">
        <v>0.62</v>
      </c>
      <c r="BG16" s="1520">
        <v>5.57</v>
      </c>
      <c r="BH16" s="1520">
        <v>0.88</v>
      </c>
      <c r="BI16" s="1520">
        <v>13.12</v>
      </c>
      <c r="BJ16" s="1520">
        <v>2.21</v>
      </c>
      <c r="BK16" s="1520">
        <v>18.13</v>
      </c>
      <c r="BL16" s="1520">
        <v>3.05</v>
      </c>
      <c r="BM16" s="1520">
        <v>26.95</v>
      </c>
      <c r="BN16" s="1520">
        <v>4.54</v>
      </c>
      <c r="BO16" s="1520">
        <v>39.479999999999997</v>
      </c>
      <c r="BP16" s="1520">
        <v>6.64</v>
      </c>
      <c r="BQ16" s="1521">
        <v>1.72</v>
      </c>
      <c r="BR16" s="1521">
        <v>0.49</v>
      </c>
      <c r="BS16" s="1520">
        <v>2.37</v>
      </c>
      <c r="BT16" s="1520">
        <v>0.68</v>
      </c>
      <c r="BU16" s="1520">
        <v>3.53</v>
      </c>
      <c r="BV16" s="1520">
        <v>1</v>
      </c>
      <c r="BW16" s="1520">
        <v>5.17</v>
      </c>
      <c r="BX16" s="1520">
        <v>1.47</v>
      </c>
      <c r="BY16" s="1520">
        <v>312.52</v>
      </c>
      <c r="BZ16" s="1520">
        <v>16.77</v>
      </c>
      <c r="CA16" s="1520">
        <v>11.37</v>
      </c>
      <c r="CB16" s="1520">
        <v>2.82</v>
      </c>
      <c r="CC16" s="1520">
        <v>8.91</v>
      </c>
      <c r="CD16" s="1520">
        <v>2.2799999999999998</v>
      </c>
      <c r="CE16" s="1520">
        <v>142.85</v>
      </c>
      <c r="CF16" s="1520">
        <v>35.15</v>
      </c>
      <c r="CG16" s="1517">
        <v>11.51</v>
      </c>
      <c r="CH16" s="1517">
        <v>1.74</v>
      </c>
      <c r="CI16" s="1517">
        <v>15.26</v>
      </c>
      <c r="CJ16" s="1517">
        <v>5.34</v>
      </c>
      <c r="CK16" s="1517">
        <v>9.9600000000000009</v>
      </c>
      <c r="CL16" s="1517">
        <v>1.92</v>
      </c>
      <c r="CM16" s="1517">
        <v>19.63</v>
      </c>
      <c r="CN16" s="1517">
        <v>2.5299999999999998</v>
      </c>
      <c r="CO16" s="1517">
        <v>11.04</v>
      </c>
      <c r="CP16" s="1517">
        <v>2.39</v>
      </c>
      <c r="CQ16" s="1517">
        <v>7.54</v>
      </c>
      <c r="CR16" s="1517">
        <v>1.06</v>
      </c>
      <c r="CS16" s="1517">
        <v>30.71</v>
      </c>
      <c r="CT16" s="1517">
        <v>11.03</v>
      </c>
      <c r="CU16" s="1517">
        <v>37.69</v>
      </c>
      <c r="CV16" s="1517">
        <v>5.29</v>
      </c>
      <c r="CW16" s="1517">
        <v>33.79</v>
      </c>
      <c r="CX16" s="1517">
        <v>11.03</v>
      </c>
      <c r="CY16" s="1517">
        <v>37.69</v>
      </c>
      <c r="CZ16" s="1517">
        <v>5.29</v>
      </c>
      <c r="DA16" s="1517">
        <v>22.18</v>
      </c>
      <c r="DB16" s="1517">
        <v>5.92</v>
      </c>
      <c r="DC16" s="1517">
        <v>27.72</v>
      </c>
      <c r="DD16" s="1517">
        <v>7.39</v>
      </c>
      <c r="DE16" s="1517">
        <v>36.96</v>
      </c>
      <c r="DF16" s="1517">
        <v>9.86</v>
      </c>
      <c r="DG16" s="1517">
        <v>44.36</v>
      </c>
      <c r="DH16" s="1517">
        <v>11.83</v>
      </c>
      <c r="DI16" s="1517">
        <v>9.41</v>
      </c>
      <c r="DJ16" s="1517">
        <v>2.0699999999999998</v>
      </c>
      <c r="DK16" s="1517">
        <v>2.14</v>
      </c>
      <c r="DL16" s="1517">
        <v>0.39</v>
      </c>
      <c r="DM16" s="1517">
        <v>42.77</v>
      </c>
      <c r="DN16" s="1517">
        <v>5.86</v>
      </c>
      <c r="DO16" s="1517">
        <v>58.65</v>
      </c>
      <c r="DP16" s="1517">
        <v>7.39</v>
      </c>
      <c r="DQ16" s="1517">
        <v>71.02</v>
      </c>
      <c r="DR16" s="1517">
        <v>8.11</v>
      </c>
      <c r="DS16" s="1517">
        <v>86.09</v>
      </c>
      <c r="DT16" s="1517">
        <v>9</v>
      </c>
      <c r="DU16" s="1517">
        <v>9.67</v>
      </c>
      <c r="DV16" s="1517">
        <v>1.97</v>
      </c>
      <c r="DW16" s="1517">
        <v>11.28</v>
      </c>
      <c r="DX16" s="1517">
        <v>2.2999999999999998</v>
      </c>
    </row>
    <row r="17" spans="1:128" ht="18.75" customHeight="1">
      <c r="A17" s="1497"/>
      <c r="B17" s="1498" t="s">
        <v>953</v>
      </c>
      <c r="C17" s="1508" t="s">
        <v>583</v>
      </c>
      <c r="D17" s="1500" t="str">
        <f>IF($D$2=40.5,AC31,IF($D$2=41.5,AC32,IF($D$2=42.5,AC33,IF($D$2=43.5,AC34,IF($D$2=44.5,AC35,IF($D$2=45.5,AC36,IF($D$2=46.5,AC37,)))))))&amp;
IF($D$2=47.5,AC38,IF($D$2=48.5,AC39,IF($D$2=49.5,AC40,IF($D$2=50.5,AC41,IF($D$2=51.5,AC42,IF($D$2=52.5,AC43,IF($D$2=53.5,AC44,)))))))&amp;
IF($D$2=54.5,AC45,IF($D$2=55.5,AC46,IF($D$2=56.5,AC47,IF($D$2=57.5,AC48,IF($D$2=15.5,AC6,IF($D$2=16.5,AC7,IF($D$2=17.5,AC8,)))))))&amp;
IF($D$2=18.5,AC9,IF($D$2=19.5,AC10,IF($D$2=20.5,AC11,IF($D$2=21.5,AC12,IF($D$2=22.5,AC13,IF($D$2=23.5,AC14,IF($D$2=24.5,AC15,)))))))&amp;IF($D$2=25.5,AC16,IF($D$2=26.5,AC17,IF($D$2=39.5,AC30,)))&amp;IF($D$2=31.5,AC22,IF($D$2=32.5,AC23,IF($D$2=33.5,AC24,IF($D$2=34.5,AC25,IF($D$2=35.5,AC26,IF($D$2=36.5,AC27,IF($D$2=37.5,AC28,IF($C$2=38.5,AC29,))))))))&amp;IF($D$2=27.5,AC18,IF($D$2=28.5,AC19,IF($D$2=29.5,AC20,IF($D$2=30.5,AC21,))))</f>
        <v>37.87</v>
      </c>
      <c r="E17" s="1500" t="str">
        <f>IF($D$2=40.5,AD31,IF($D$2=41.5,AD32,IF($D$2=42.5,AD33,IF($D$2=43.5,AD34,IF($D$2=44.5,AD35,IF($D$2=45.5,AD36,IF($D$2=46.5,AD37,)))))))&amp;
IF($D$2=47.5,AD38,IF($D$2=48.5,AD39,IF($D$2=49.5,AD40,IF($D$2=50.5,AD41,IF($D$2=51.5,AD42,IF($D$2=52.5,AD43,IF($D$2=53.5,AD44,)))))))&amp;
IF($D$2=54.5,AD45,IF($D$2=55.5,AD46,IF($D$2=56.5,AD47,IF($D$2=57.5,AD48,IF($D$2=15.5,AD6,IF($D$2=16.5,AD7,IF($D$2=17.5,AD8,)))))))&amp;
IF($D$2=18.5,AD9,IF($D$2=19.5,AD10,IF($D$2=20.5,AD11,IF($D$2=21.5,AD12,IF($D$2=22.5,AD13,IF($D$2=23.5,AD14,IF($D$2=24.5,AD15,)))))))&amp;IF($D$2=25.5,AD16,IF($D$2=26.5,AD17,IF($D$2=39.5,AD30,)))&amp;IF($D$2=31.5,AD22,IF($D$2=32.5,AD23,IF($D$2=33.5,AD24,IF($D$2=34.5,AD25,IF($D$2=35.5,AD26,IF($D$2=36.5,AD27,IF($D$2=37.5,AD28,IF($C$2=38.5,AD29,))))))))&amp;IF($D$2=27.5,AD18,IF($D$2=28.5,AD19,IF($D$2=29.5,AD20,IF($D$2=30.5,AD21,))))</f>
        <v>5.18</v>
      </c>
      <c r="F17" s="1501">
        <f t="shared" si="0"/>
        <v>6.4749999999999996</v>
      </c>
      <c r="G17" s="1501">
        <f t="shared" si="1"/>
        <v>43.05</v>
      </c>
      <c r="H17" s="1501">
        <f t="shared" si="2"/>
        <v>44.344999999999999</v>
      </c>
      <c r="I17" s="1367"/>
      <c r="J17" s="1367"/>
      <c r="K17" s="1367"/>
      <c r="L17" s="1517">
        <v>26.5</v>
      </c>
      <c r="M17" s="1517">
        <v>1.46</v>
      </c>
      <c r="N17" s="1517">
        <v>0.22</v>
      </c>
      <c r="O17" s="1520">
        <v>2.99</v>
      </c>
      <c r="P17" s="1520">
        <v>0.55000000000000004</v>
      </c>
      <c r="Q17" s="1520">
        <v>4.5199999999999996</v>
      </c>
      <c r="R17" s="1520">
        <v>0.78</v>
      </c>
      <c r="S17" s="1520">
        <v>17.39</v>
      </c>
      <c r="T17" s="1520">
        <v>3.51</v>
      </c>
      <c r="U17" s="1520">
        <v>33.33</v>
      </c>
      <c r="V17" s="1520">
        <v>10.8</v>
      </c>
      <c r="W17" s="1520">
        <v>17.649999999999999</v>
      </c>
      <c r="X17" s="1520">
        <v>3.06</v>
      </c>
      <c r="Y17" s="1520">
        <v>6.26</v>
      </c>
      <c r="Z17" s="1520">
        <v>1.7</v>
      </c>
      <c r="AA17" s="1520">
        <v>27.79</v>
      </c>
      <c r="AB17" s="1520">
        <v>3.34</v>
      </c>
      <c r="AC17" s="1520">
        <v>33.39</v>
      </c>
      <c r="AD17" s="1520">
        <v>5.18</v>
      </c>
      <c r="AE17" s="1520">
        <v>61.18</v>
      </c>
      <c r="AF17" s="1520">
        <v>4.66</v>
      </c>
      <c r="AG17" s="1520">
        <v>53.9</v>
      </c>
      <c r="AH17" s="1520">
        <v>19</v>
      </c>
      <c r="AI17" s="1517">
        <v>24.34</v>
      </c>
      <c r="AJ17" s="1517">
        <v>6.52</v>
      </c>
      <c r="AK17" s="1517">
        <v>7.96</v>
      </c>
      <c r="AL17" s="1517">
        <v>1.46</v>
      </c>
      <c r="AM17" s="1520">
        <v>40</v>
      </c>
      <c r="AN17" s="1520">
        <v>12.96</v>
      </c>
      <c r="AO17" s="1520">
        <v>14.99</v>
      </c>
      <c r="AP17" s="1520">
        <v>2.75</v>
      </c>
      <c r="AQ17" s="1520">
        <v>47.74</v>
      </c>
      <c r="AR17" s="1520">
        <v>20.9</v>
      </c>
      <c r="AS17" s="1520">
        <v>19.940000000000001</v>
      </c>
      <c r="AT17" s="1520">
        <v>4.2</v>
      </c>
      <c r="AU17" s="1520">
        <v>58.51</v>
      </c>
      <c r="AV17" s="1520">
        <v>25.71</v>
      </c>
      <c r="AW17" s="1520">
        <v>6.12</v>
      </c>
      <c r="AX17" s="1520">
        <v>1.66</v>
      </c>
      <c r="AY17" s="1517">
        <v>8.42</v>
      </c>
      <c r="AZ17" s="1517">
        <v>2.11</v>
      </c>
      <c r="BA17" s="1521">
        <v>10.28</v>
      </c>
      <c r="BB17" s="1521">
        <v>3.38</v>
      </c>
      <c r="BC17" s="1520">
        <v>9.2200000000000006</v>
      </c>
      <c r="BD17" s="1520">
        <v>1.75</v>
      </c>
      <c r="BE17" s="1520">
        <v>6.14</v>
      </c>
      <c r="BF17" s="1520">
        <v>0.62</v>
      </c>
      <c r="BG17" s="1520">
        <v>5.69</v>
      </c>
      <c r="BH17" s="1520">
        <v>0.88</v>
      </c>
      <c r="BI17" s="1520">
        <v>13.38</v>
      </c>
      <c r="BJ17" s="1520">
        <v>2.21</v>
      </c>
      <c r="BK17" s="1520">
        <v>18.489999999999998</v>
      </c>
      <c r="BL17" s="1520">
        <v>30.5</v>
      </c>
      <c r="BM17" s="1520">
        <v>27.49</v>
      </c>
      <c r="BN17" s="1520">
        <v>4.54</v>
      </c>
      <c r="BO17" s="1520">
        <v>40.26</v>
      </c>
      <c r="BP17" s="1520">
        <v>6.64</v>
      </c>
      <c r="BQ17" s="1521">
        <v>1.74</v>
      </c>
      <c r="BR17" s="1521">
        <v>0.49</v>
      </c>
      <c r="BS17" s="1520">
        <v>2.4</v>
      </c>
      <c r="BT17" s="1520">
        <v>0.68</v>
      </c>
      <c r="BU17" s="1520">
        <v>3.57</v>
      </c>
      <c r="BV17" s="1520">
        <v>1</v>
      </c>
      <c r="BW17" s="1520">
        <v>5.22</v>
      </c>
      <c r="BX17" s="1520">
        <v>1.47</v>
      </c>
      <c r="BY17" s="1520">
        <v>323.31</v>
      </c>
      <c r="BZ17" s="1520">
        <v>16.77</v>
      </c>
      <c r="CA17" s="1520">
        <v>11.54</v>
      </c>
      <c r="CB17" s="1520">
        <v>9.02</v>
      </c>
      <c r="CC17" s="1520">
        <v>9.1300000000000008</v>
      </c>
      <c r="CD17" s="1520">
        <v>2.2799999999999998</v>
      </c>
      <c r="CE17" s="1520">
        <v>149.78</v>
      </c>
      <c r="CF17" s="1520">
        <v>35.15</v>
      </c>
      <c r="CG17" s="1517">
        <v>11.78</v>
      </c>
      <c r="CH17" s="1517">
        <v>1.74</v>
      </c>
      <c r="CI17" s="1517">
        <v>15.26</v>
      </c>
      <c r="CJ17" s="1517">
        <v>5.34</v>
      </c>
      <c r="CK17" s="1517">
        <v>10.01</v>
      </c>
      <c r="CL17" s="1517">
        <v>1.92</v>
      </c>
      <c r="CM17" s="1517">
        <v>19.88</v>
      </c>
      <c r="CN17" s="1517">
        <v>2.5299999999999998</v>
      </c>
      <c r="CO17" s="1517">
        <v>11.26</v>
      </c>
      <c r="CP17" s="1517">
        <v>2.39</v>
      </c>
      <c r="CQ17" s="1517">
        <v>7.67</v>
      </c>
      <c r="CR17" s="1517">
        <v>1.06</v>
      </c>
      <c r="CS17" s="1517">
        <v>31.12</v>
      </c>
      <c r="CT17" s="1517">
        <v>11.03</v>
      </c>
      <c r="CU17" s="1517">
        <v>38.369999999999997</v>
      </c>
      <c r="CV17" s="1517">
        <v>5.29</v>
      </c>
      <c r="CW17" s="1517">
        <v>34.229999999999997</v>
      </c>
      <c r="CX17" s="1517">
        <v>11.03</v>
      </c>
      <c r="CY17" s="1517">
        <v>38.369999999999997</v>
      </c>
      <c r="CZ17" s="1517">
        <v>5.29</v>
      </c>
      <c r="DA17" s="1517">
        <v>22.32</v>
      </c>
      <c r="DB17" s="1517">
        <v>5.92</v>
      </c>
      <c r="DC17" s="1517">
        <v>27.9</v>
      </c>
      <c r="DD17" s="1517">
        <v>7.39</v>
      </c>
      <c r="DE17" s="1517">
        <v>37.200000000000003</v>
      </c>
      <c r="DF17" s="1517">
        <v>9.86</v>
      </c>
      <c r="DG17" s="1517">
        <v>44.64</v>
      </c>
      <c r="DH17" s="1517">
        <v>11.83</v>
      </c>
      <c r="DI17" s="1517">
        <v>9.58</v>
      </c>
      <c r="DJ17" s="1517">
        <v>2.0699999999999998</v>
      </c>
      <c r="DK17" s="1517">
        <v>2.1800000000000002</v>
      </c>
      <c r="DL17" s="1517">
        <v>0.39</v>
      </c>
      <c r="DM17" s="1517">
        <v>43.1</v>
      </c>
      <c r="DN17" s="1517">
        <v>5.86</v>
      </c>
      <c r="DO17" s="1517">
        <v>59.03</v>
      </c>
      <c r="DP17" s="1517">
        <v>7.39</v>
      </c>
      <c r="DQ17" s="1517">
        <v>71.489999999999995</v>
      </c>
      <c r="DR17" s="1517">
        <v>8.11</v>
      </c>
      <c r="DS17" s="1517">
        <v>86.66</v>
      </c>
      <c r="DT17" s="1517">
        <v>9</v>
      </c>
      <c r="DU17" s="1517">
        <v>9.86</v>
      </c>
      <c r="DV17" s="1517">
        <v>1.97</v>
      </c>
      <c r="DW17" s="1517">
        <v>11.51</v>
      </c>
      <c r="DX17" s="1517">
        <v>2.2999999999999998</v>
      </c>
    </row>
    <row r="18" spans="1:128" ht="18.75" customHeight="1">
      <c r="A18" s="1497"/>
      <c r="B18" s="1498" t="s">
        <v>954</v>
      </c>
      <c r="C18" s="1508" t="s">
        <v>1043</v>
      </c>
      <c r="D18" s="1500" t="str">
        <f>IF($D$2=40.5,AE31,IF($D$2=41.5,AE32,IF($D$2=42.5,AE33,IF($D$2=43.5,AE34,IF($D$2=44.5,AE35,IF($D$2=45.5,AE36,IF($D$2=46.5,AE37,)))))))&amp;
IF($D$2=47.5,AE38,IF($D$2=48.5,AE39,IF($D$2=49.5,AE40,IF($D$2=50.5,AE41,IF($D$2=51.5,AE42,IF($D$2=52.5,AE43,IF($D$2=53.5,AE44,)))))))&amp;
IF($D$2=54.5,AE45,IF($D$2=55.5,AE46,IF($D$2=56.5,AE47,IF($D$2=57.5,AE48,IF($D$2=15.5,AE6,IF($D$2=16.5,AE7,IF($D$2=17.5,AE8,)))))))&amp;
IF($D$2=18.5,AE9,IF($D$2=19.5,AE10,IF($D$2=20.5,AE11,IF($D$2=21.5,AE12,IF($D$2=22.5,AE13,IF($D$2=23.5,AE14,IF($D$2=24.5,AE15,)))))))&amp;IF($D$2=25.5,AE16,IF($D$2=26.5,AE17,IF($D$2=39.5,AE30,)))&amp;IF($D$2=31.5,AE22,IF($D$2=32.5,AE23,IF($D$2=33.5,AE24,IF($D$2=34.5,AE25,IF($D$2=35.5,AE26,IF($D$2=36.5,AE27,IF($D$2=37.5,AE28,IF($C$2=38.5,AE29,))))))))&amp;IF($D$2=27.5,AE18,IF($D$2=28.5,AE19,IF($D$2=29.5,AE20,IF($D$2=30.5,AE21,))))</f>
        <v>65.5</v>
      </c>
      <c r="E18" s="1500" t="str">
        <f>IF($D$2=40.5,AF31,IF($D$2=41.5,AF32,IF($D$2=42.5,AF33,IF($D$2=43.5,AF34,IF($D$2=44.5,AF35,IF($D$2=45.5,AF36,IF($D$2=46.5,AF37,)))))))&amp;
IF($D$2=47.5,AF38,IF($D$2=48.5,AF39,IF($D$2=49.5,AF40,IF($D$2=50.5,AF41,IF($D$2=51.5,AF42,IF($D$2=52.5,AF43,IF($D$2=53.5,AF44,)))))))&amp;
IF($D$2=54.5,AF45,IF($D$2=55.5,AF46,IF($D$2=56.5,AF47,IF($D$2=57.5,AF48,IF($D$2=15.5,AF6,IF($D$2=16.5,AF7,IF($D$2=17.5,AF8,)))))))&amp;
IF($D$2=18.5,AF9,IF($D$2=19.5,AF10,IF($D$2=20.5,AF11,IF($D$2=21.5,AF12,IF($D$2=22.5,AF13,IF($D$2=23.5,AF14,IF($D$2=24.5,AF15,)))))))&amp;IF($D$2=25.5,AF16,IF($D$2=26.5,AF17,IF($D$2=39.5,AF30,)))&amp;IF($D$2=31.5,AF22,IF($D$2=32.5,AF23,IF($D$2=33.5,AF24,IF($D$2=34.5,AF25,IF($D$2=35.5,AF26,IF($D$2=36.5,AF27,IF($D$2=37.5,AF28,IF($C$2=38.5,AF29,))))))))&amp;IF($D$2=27.5,AF18,IF($D$2=28.5,AF19,IF($D$2=29.5,AF20,IF($D$2=30.5,AF21,))))</f>
        <v>4.66</v>
      </c>
      <c r="F18" s="1501">
        <f t="shared" si="0"/>
        <v>5.8250000000000002</v>
      </c>
      <c r="G18" s="1501">
        <f t="shared" si="1"/>
        <v>70.16</v>
      </c>
      <c r="H18" s="1501">
        <f t="shared" si="2"/>
        <v>71.325000000000003</v>
      </c>
      <c r="I18" s="1367"/>
      <c r="J18" s="1367"/>
      <c r="K18" s="1367"/>
      <c r="L18" s="1510">
        <v>27.5</v>
      </c>
      <c r="M18" s="1510">
        <v>1.47</v>
      </c>
      <c r="N18" s="1510">
        <v>0.22</v>
      </c>
      <c r="O18" s="1513">
        <v>3.02</v>
      </c>
      <c r="P18" s="1513">
        <v>0.55000000000000004</v>
      </c>
      <c r="Q18" s="1513">
        <v>4.58</v>
      </c>
      <c r="R18" s="1513">
        <v>0.78</v>
      </c>
      <c r="S18" s="1513">
        <v>17.61</v>
      </c>
      <c r="T18" s="1513">
        <v>3.51</v>
      </c>
      <c r="U18" s="1513">
        <v>33.78</v>
      </c>
      <c r="V18" s="1513">
        <v>10.8</v>
      </c>
      <c r="W18" s="1513">
        <v>17.84</v>
      </c>
      <c r="X18" s="1513">
        <v>3.06</v>
      </c>
      <c r="Y18" s="1513">
        <v>6.34</v>
      </c>
      <c r="Z18" s="1513">
        <v>1.7</v>
      </c>
      <c r="AA18" s="1513">
        <v>28.18</v>
      </c>
      <c r="AB18" s="1513">
        <v>3.34</v>
      </c>
      <c r="AC18" s="1513">
        <v>33.840000000000003</v>
      </c>
      <c r="AD18" s="1513">
        <v>5.18</v>
      </c>
      <c r="AE18" s="1513">
        <v>61.61</v>
      </c>
      <c r="AF18" s="1513">
        <v>4.66</v>
      </c>
      <c r="AG18" s="1513">
        <v>54.85</v>
      </c>
      <c r="AH18" s="1513">
        <v>19</v>
      </c>
      <c r="AI18" s="1510">
        <v>24.64</v>
      </c>
      <c r="AJ18" s="1510">
        <v>6.52</v>
      </c>
      <c r="AK18" s="1510">
        <v>8.0500000000000007</v>
      </c>
      <c r="AL18" s="1510">
        <v>1.46</v>
      </c>
      <c r="AM18" s="1513">
        <v>40.54</v>
      </c>
      <c r="AN18" s="1513">
        <v>12.96</v>
      </c>
      <c r="AO18" s="1513">
        <v>15.14</v>
      </c>
      <c r="AP18" s="1513">
        <v>2.75</v>
      </c>
      <c r="AQ18" s="1513">
        <v>48.36</v>
      </c>
      <c r="AR18" s="1513">
        <v>20.9</v>
      </c>
      <c r="AS18" s="1513">
        <v>20.079999999999998</v>
      </c>
      <c r="AT18" s="1513">
        <v>4.2</v>
      </c>
      <c r="AU18" s="1513">
        <v>59.28</v>
      </c>
      <c r="AV18" s="1513">
        <v>25.71</v>
      </c>
      <c r="AW18" s="1513">
        <v>6.2</v>
      </c>
      <c r="AX18" s="1513">
        <v>1.66</v>
      </c>
      <c r="AY18" s="1510">
        <v>8.52</v>
      </c>
      <c r="AZ18" s="1510">
        <v>2.11</v>
      </c>
      <c r="BA18" s="1514">
        <v>10.4</v>
      </c>
      <c r="BB18" s="1514">
        <v>3.38</v>
      </c>
      <c r="BC18" s="1513">
        <v>9.32</v>
      </c>
      <c r="BD18" s="1513">
        <v>1.75</v>
      </c>
      <c r="BE18" s="1513">
        <v>6.27</v>
      </c>
      <c r="BF18" s="1513">
        <v>0.62</v>
      </c>
      <c r="BG18" s="1513">
        <v>5.81</v>
      </c>
      <c r="BH18" s="1513">
        <v>0.88</v>
      </c>
      <c r="BI18" s="1513">
        <v>13.64</v>
      </c>
      <c r="BJ18" s="1513">
        <v>2.21</v>
      </c>
      <c r="BK18" s="1513">
        <v>18.850000000000001</v>
      </c>
      <c r="BL18" s="1513">
        <v>3.05</v>
      </c>
      <c r="BM18" s="1513">
        <v>28.02</v>
      </c>
      <c r="BN18" s="1513">
        <v>4.54</v>
      </c>
      <c r="BO18" s="1513">
        <v>41.04</v>
      </c>
      <c r="BP18" s="1513">
        <v>6.64</v>
      </c>
      <c r="BQ18" s="1514">
        <v>1.75</v>
      </c>
      <c r="BR18" s="1514">
        <v>0.49</v>
      </c>
      <c r="BS18" s="1513">
        <v>2.42</v>
      </c>
      <c r="BT18" s="1513">
        <v>0.68</v>
      </c>
      <c r="BU18" s="1513">
        <v>3.6</v>
      </c>
      <c r="BV18" s="1513">
        <v>1</v>
      </c>
      <c r="BW18" s="1513">
        <v>5.28</v>
      </c>
      <c r="BX18" s="1513">
        <v>1.47</v>
      </c>
      <c r="BY18" s="1513">
        <v>334.09</v>
      </c>
      <c r="BZ18" s="1513">
        <v>16.77</v>
      </c>
      <c r="CA18" s="1513">
        <v>11.7</v>
      </c>
      <c r="CB18" s="1513">
        <v>2.82</v>
      </c>
      <c r="CC18" s="1513">
        <v>9.1300000000000008</v>
      </c>
      <c r="CD18" s="1513">
        <v>2.2799999999999998</v>
      </c>
      <c r="CE18" s="1513">
        <v>149.78</v>
      </c>
      <c r="CF18" s="1513">
        <v>35.15</v>
      </c>
      <c r="CG18" s="1510">
        <v>12.06</v>
      </c>
      <c r="CH18" s="1510">
        <v>1.74</v>
      </c>
      <c r="CI18" s="1510">
        <v>15.26</v>
      </c>
      <c r="CJ18" s="1510">
        <v>5.34</v>
      </c>
      <c r="CK18" s="1510">
        <v>10.06</v>
      </c>
      <c r="CL18" s="1510">
        <v>1.92</v>
      </c>
      <c r="CM18" s="1510">
        <v>20.12</v>
      </c>
      <c r="CN18" s="1510">
        <v>2.5299999999999998</v>
      </c>
      <c r="CO18" s="1510">
        <v>11.48</v>
      </c>
      <c r="CP18" s="1510">
        <v>2.39</v>
      </c>
      <c r="CQ18" s="1510">
        <v>7.81</v>
      </c>
      <c r="CR18" s="1510">
        <v>1.06</v>
      </c>
      <c r="CS18" s="1510">
        <v>31.52</v>
      </c>
      <c r="CT18" s="1510">
        <v>11.03</v>
      </c>
      <c r="CU18" s="1510">
        <v>39.04</v>
      </c>
      <c r="CV18" s="1510">
        <v>5.29</v>
      </c>
      <c r="CW18" s="1510">
        <v>34.67</v>
      </c>
      <c r="CX18" s="1510">
        <v>11.03</v>
      </c>
      <c r="CY18" s="1510">
        <v>39.04</v>
      </c>
      <c r="CZ18" s="1510">
        <v>5.29</v>
      </c>
      <c r="DA18" s="1510">
        <v>22.46</v>
      </c>
      <c r="DB18" s="1510">
        <v>5.92</v>
      </c>
      <c r="DC18" s="1510">
        <v>28.08</v>
      </c>
      <c r="DD18" s="1510">
        <v>7.39</v>
      </c>
      <c r="DE18" s="1510">
        <v>37.44</v>
      </c>
      <c r="DF18" s="1510">
        <v>9.86</v>
      </c>
      <c r="DG18" s="1510">
        <v>44.92</v>
      </c>
      <c r="DH18" s="1510">
        <v>11.83</v>
      </c>
      <c r="DI18" s="1510">
        <v>9.76</v>
      </c>
      <c r="DJ18" s="1510">
        <v>2.0699999999999998</v>
      </c>
      <c r="DK18" s="1510">
        <v>2.23</v>
      </c>
      <c r="DL18" s="1510">
        <v>0.39</v>
      </c>
      <c r="DM18" s="1510">
        <v>43.42</v>
      </c>
      <c r="DN18" s="1510">
        <v>5.86</v>
      </c>
      <c r="DO18" s="1510">
        <v>59.41</v>
      </c>
      <c r="DP18" s="1510">
        <v>7.39</v>
      </c>
      <c r="DQ18" s="1510">
        <v>71.959999999999994</v>
      </c>
      <c r="DR18" s="1510">
        <v>8.11</v>
      </c>
      <c r="DS18" s="1510">
        <v>87.23</v>
      </c>
      <c r="DT18" s="1510">
        <v>9</v>
      </c>
      <c r="DU18" s="1510">
        <v>10.06</v>
      </c>
      <c r="DV18" s="1510">
        <v>1.97</v>
      </c>
      <c r="DW18" s="1510">
        <v>11.74</v>
      </c>
      <c r="DX18" s="1510">
        <v>2.2999999999999998</v>
      </c>
    </row>
    <row r="19" spans="1:128" ht="18.75" customHeight="1">
      <c r="A19" s="1497"/>
      <c r="B19" s="1498" t="s">
        <v>428</v>
      </c>
      <c r="C19" s="1508" t="s">
        <v>583</v>
      </c>
      <c r="D19" s="1500" t="str">
        <f>IF($D$2=40.5,AG31,IF($D$2=41.5,AG32,IF($D$2=42.5,AG33,IF($D$2=43.5,AG34,IF($D$2=44.5,AG35,IF($D$2=45.5,AG36,IF($D$2=46.5,AG37,)))))))&amp;
IF($D$2=47.5,AG38,IF($D$2=48.5,AG39,IF($D$2=49.5,AG40,IF($D$2=50.5,AG41,IF($D$2=51.5,AG42,IF($D$2=52.5,AG43,IF($D$2=53.5,AG44,)))))))&amp;
IF($D$2=54.5,AG45,IF($D$2=55.5,AG46,IF($D$2=56.5,AG47,IF($D$2=57.5,AG48,IF($D$2=15.5,AG6,IF($D$2=16.5,AG7,IF($D$2=17.5,AG8,)))))))&amp;
IF($D$2=18.5,AG9,IF($D$2=19.5,AG10,IF($D$2=20.5,AG11,IF($D$2=21.5,AG12,IF($D$2=22.5,AG13,IF($D$2=23.5,AG14,IF($D$2=24.5,AG15,)))))))&amp;IF($D$2=25.5,AG16,IF($D$2=26.5,AG17,IF($D$2=39.5,AG30,)))&amp;IF($D$2=31.5,AG22,IF($D$2=32.5,AG23,IF($D$2=33.5,AG24,IF($D$2=34.5,AG25,IF($D$2=35.5,AG26,IF($D$2=36.5,AG27,IF($D$2=37.5,AG28,IF($C$2=38.5,AG29,))))))))&amp;IF($D$2=27.5,AG18,IF($D$2=28.5,AG19,IF($D$2=29.5,AG20,IF($D$2=30.5,AG21,))))</f>
        <v>63.37</v>
      </c>
      <c r="E19" s="1500" t="str">
        <f>IF($D$2=40.5,AH31,IF($D$2=41.5,AH32,IF($D$2=42.5,AH33,IF($D$2=43.5,AH34,IF($D$2=44.5,AH35,IF($D$2=45.5,AH36,IF($D$2=46.5,AH37,)))))))&amp;
IF($D$2=47.5,AH38,IF($D$2=48.5,AH39,IF($D$2=49.5,AH40,IF($D$2=50.5,AH41,IF($D$2=51.5,AH42,IF($D$2=52.5,AH43,IF($D$2=53.5,AH44,)))))))&amp;
IF($D$2=54.5,AH45,IF($D$2=55.5,AH46,IF($D$2=56.5,AH47,IF($D$2=57.5,AH48,IF($D$2=15.5,AH6,IF($D$2=16.5,AH7,IF($D$2=17.5,AH8,)))))))&amp;
IF($D$2=18.5,AH9,IF($D$2=19.5,AH10,IF($D$2=20.5,AH11,IF($D$2=21.5,AH12,IF($D$2=22.5,AH13,IF($D$2=23.5,AH14,IF($D$2=24.5,AH15,)))))))&amp;IF($D$2=25.5,AH16,IF($D$2=26.5,AH17,IF($D$2=39.5,AH30,)))&amp;IF($D$2=31.5,AH22,IF($D$2=32.5,AH23,IF($D$2=33.5,AH24,IF($D$2=34.5,AH25,IF($D$2=35.5,AH26,IF($D$2=36.5,AH27,IF($D$2=37.5,AH28,IF($C$2=38.5,AH29,))))))))&amp;IF($D$2=27.5,AH18,IF($D$2=28.5,AH19,IF($D$2=29.5,AH20,IF($D$2=30.5,AH21,))))</f>
        <v>19</v>
      </c>
      <c r="F19" s="1501">
        <f t="shared" si="0"/>
        <v>23.75</v>
      </c>
      <c r="G19" s="1501">
        <f t="shared" si="1"/>
        <v>82.37</v>
      </c>
      <c r="H19" s="1501">
        <f t="shared" si="2"/>
        <v>87.12</v>
      </c>
      <c r="I19" s="1367"/>
      <c r="J19" s="1367"/>
      <c r="K19" s="1367"/>
      <c r="L19" s="1510">
        <v>28.5</v>
      </c>
      <c r="M19" s="1510">
        <v>1.48</v>
      </c>
      <c r="N19" s="1510">
        <v>0.22</v>
      </c>
      <c r="O19" s="1513">
        <v>3.05</v>
      </c>
      <c r="P19" s="1513">
        <v>0.55000000000000004</v>
      </c>
      <c r="Q19" s="1513">
        <v>4.63</v>
      </c>
      <c r="R19" s="1513">
        <v>0.78</v>
      </c>
      <c r="S19" s="1513">
        <v>17.829999999999998</v>
      </c>
      <c r="T19" s="1513">
        <v>3.51</v>
      </c>
      <c r="U19" s="1513">
        <v>34.229999999999997</v>
      </c>
      <c r="V19" s="1513">
        <v>10.8</v>
      </c>
      <c r="W19" s="1513">
        <v>18.03</v>
      </c>
      <c r="X19" s="1513">
        <v>3.06</v>
      </c>
      <c r="Y19" s="1513">
        <v>6.42</v>
      </c>
      <c r="Z19" s="1513">
        <v>1.7</v>
      </c>
      <c r="AA19" s="1513">
        <v>28.56</v>
      </c>
      <c r="AB19" s="1513">
        <v>3.34</v>
      </c>
      <c r="AC19" s="1513">
        <v>34.28</v>
      </c>
      <c r="AD19" s="1513">
        <v>5.18</v>
      </c>
      <c r="AE19" s="1513">
        <v>62.04</v>
      </c>
      <c r="AF19" s="1513">
        <v>4.66</v>
      </c>
      <c r="AG19" s="1513">
        <v>55.79</v>
      </c>
      <c r="AH19" s="1513">
        <v>19</v>
      </c>
      <c r="AI19" s="1510">
        <v>24.95</v>
      </c>
      <c r="AJ19" s="1510">
        <v>6.52</v>
      </c>
      <c r="AK19" s="1510">
        <v>8.1300000000000008</v>
      </c>
      <c r="AL19" s="1510">
        <v>1.46</v>
      </c>
      <c r="AM19" s="1513">
        <v>41.08</v>
      </c>
      <c r="AN19" s="1513">
        <v>12.96</v>
      </c>
      <c r="AO19" s="1513">
        <v>15.3</v>
      </c>
      <c r="AP19" s="1513">
        <v>2.75</v>
      </c>
      <c r="AQ19" s="1513">
        <v>48.99</v>
      </c>
      <c r="AR19" s="1513">
        <v>20.9</v>
      </c>
      <c r="AS19" s="1513">
        <v>20.22</v>
      </c>
      <c r="AT19" s="1513">
        <v>4.2</v>
      </c>
      <c r="AU19" s="1513">
        <v>60.06</v>
      </c>
      <c r="AV19" s="1513">
        <v>25.71</v>
      </c>
      <c r="AW19" s="1513">
        <v>6.27</v>
      </c>
      <c r="AX19" s="1513">
        <v>1.66</v>
      </c>
      <c r="AY19" s="1510">
        <v>8.6300000000000008</v>
      </c>
      <c r="AZ19" s="1510">
        <v>2.11</v>
      </c>
      <c r="BA19" s="1514">
        <v>10.52</v>
      </c>
      <c r="BB19" s="1514">
        <v>3.38</v>
      </c>
      <c r="BC19" s="1513">
        <v>9.42</v>
      </c>
      <c r="BD19" s="1513">
        <v>1.75</v>
      </c>
      <c r="BE19" s="1513">
        <v>6.4</v>
      </c>
      <c r="BF19" s="1513">
        <v>0.62</v>
      </c>
      <c r="BG19" s="1513">
        <v>5.93</v>
      </c>
      <c r="BH19" s="1513">
        <v>0.88</v>
      </c>
      <c r="BI19" s="1513">
        <v>13.9</v>
      </c>
      <c r="BJ19" s="1513">
        <v>2.21</v>
      </c>
      <c r="BK19" s="1513">
        <v>19.21</v>
      </c>
      <c r="BL19" s="1513">
        <v>3.05</v>
      </c>
      <c r="BM19" s="1513">
        <v>28.56</v>
      </c>
      <c r="BN19" s="1513">
        <v>4.54</v>
      </c>
      <c r="BO19" s="1513">
        <v>41.82</v>
      </c>
      <c r="BP19" s="1513">
        <v>6.64</v>
      </c>
      <c r="BQ19" s="1514">
        <v>1.77</v>
      </c>
      <c r="BR19" s="1514">
        <v>0.49</v>
      </c>
      <c r="BS19" s="1513">
        <v>2.4500000000000002</v>
      </c>
      <c r="BT19" s="1513">
        <v>0.68</v>
      </c>
      <c r="BU19" s="1513">
        <v>3.64</v>
      </c>
      <c r="BV19" s="1513">
        <v>1</v>
      </c>
      <c r="BW19" s="1513">
        <v>5.33</v>
      </c>
      <c r="BX19" s="1513">
        <v>1.47</v>
      </c>
      <c r="BY19" s="1513">
        <v>344.87</v>
      </c>
      <c r="BZ19" s="1513">
        <v>16.77</v>
      </c>
      <c r="CA19" s="1513">
        <v>11.87</v>
      </c>
      <c r="CB19" s="1513">
        <v>2.82</v>
      </c>
      <c r="CC19" s="1513">
        <v>9.24</v>
      </c>
      <c r="CD19" s="1513">
        <v>2.2799999999999998</v>
      </c>
      <c r="CE19" s="1513">
        <v>153.25</v>
      </c>
      <c r="CF19" s="1513">
        <v>35.15</v>
      </c>
      <c r="CG19" s="1510">
        <v>12.34</v>
      </c>
      <c r="CH19" s="1510">
        <v>1.74</v>
      </c>
      <c r="CI19" s="1510">
        <v>15.26</v>
      </c>
      <c r="CJ19" s="1510">
        <v>5.34</v>
      </c>
      <c r="CK19" s="1510">
        <v>10.1</v>
      </c>
      <c r="CL19" s="1510">
        <v>1.92</v>
      </c>
      <c r="CM19" s="1510">
        <v>20.37</v>
      </c>
      <c r="CN19" s="1510">
        <v>2.5299999999999998</v>
      </c>
      <c r="CO19" s="1510">
        <v>11.71</v>
      </c>
      <c r="CP19" s="1510">
        <v>2.39</v>
      </c>
      <c r="CQ19" s="1510">
        <v>7.94</v>
      </c>
      <c r="CR19" s="1510">
        <v>1.06</v>
      </c>
      <c r="CS19" s="1510">
        <v>31.92</v>
      </c>
      <c r="CT19" s="1510">
        <v>11.03</v>
      </c>
      <c r="CU19" s="1510">
        <v>39.72</v>
      </c>
      <c r="CV19" s="1510">
        <v>5.29</v>
      </c>
      <c r="CW19" s="1510">
        <v>35.11</v>
      </c>
      <c r="CX19" s="1510">
        <v>11.03</v>
      </c>
      <c r="CY19" s="1510">
        <v>39.72</v>
      </c>
      <c r="CZ19" s="1510">
        <v>5.29</v>
      </c>
      <c r="DA19" s="1510">
        <v>22.6</v>
      </c>
      <c r="DB19" s="1510">
        <v>5.92</v>
      </c>
      <c r="DC19" s="1510">
        <v>28.25</v>
      </c>
      <c r="DD19" s="1510">
        <v>7.39</v>
      </c>
      <c r="DE19" s="1510">
        <v>37.67</v>
      </c>
      <c r="DF19" s="1510">
        <v>9.86</v>
      </c>
      <c r="DG19" s="1510">
        <v>45.21</v>
      </c>
      <c r="DH19" s="1510">
        <v>11.83</v>
      </c>
      <c r="DI19" s="1510">
        <v>9.93</v>
      </c>
      <c r="DJ19" s="1510">
        <v>2.0699999999999998</v>
      </c>
      <c r="DK19" s="1510">
        <v>2.27</v>
      </c>
      <c r="DL19" s="1510">
        <v>0.39</v>
      </c>
      <c r="DM19" s="1510">
        <v>43.74</v>
      </c>
      <c r="DN19" s="1510">
        <v>5.86</v>
      </c>
      <c r="DO19" s="1510">
        <v>59.8</v>
      </c>
      <c r="DP19" s="1510">
        <v>7.39</v>
      </c>
      <c r="DQ19" s="1510">
        <v>72.42</v>
      </c>
      <c r="DR19" s="1510">
        <v>8.11</v>
      </c>
      <c r="DS19" s="1510">
        <v>87.8</v>
      </c>
      <c r="DT19" s="1510">
        <v>9</v>
      </c>
      <c r="DU19" s="1510">
        <v>10.25</v>
      </c>
      <c r="DV19" s="1510">
        <v>1.97</v>
      </c>
      <c r="DW19" s="1510">
        <v>11.96</v>
      </c>
      <c r="DX19" s="1510">
        <v>2.2999999999999998</v>
      </c>
    </row>
    <row r="20" spans="1:128" ht="18.75" customHeight="1">
      <c r="A20" s="1497">
        <v>4</v>
      </c>
      <c r="B20" s="1498" t="s">
        <v>429</v>
      </c>
      <c r="C20" s="1508"/>
      <c r="D20" s="1509"/>
      <c r="E20" s="1509"/>
      <c r="F20" s="1501"/>
      <c r="G20" s="1501"/>
      <c r="H20" s="1501"/>
      <c r="I20" s="1367"/>
      <c r="J20" s="1367"/>
      <c r="K20" s="1367"/>
      <c r="L20" s="1510">
        <v>29.5</v>
      </c>
      <c r="M20" s="1510">
        <v>1.5</v>
      </c>
      <c r="N20" s="1510">
        <v>0.22</v>
      </c>
      <c r="O20" s="1513">
        <v>3.08</v>
      </c>
      <c r="P20" s="1513">
        <v>0.55000000000000004</v>
      </c>
      <c r="Q20" s="1513">
        <v>4.68</v>
      </c>
      <c r="R20" s="1513">
        <v>0.78</v>
      </c>
      <c r="S20" s="1513">
        <v>18.04</v>
      </c>
      <c r="T20" s="1513">
        <v>3.51</v>
      </c>
      <c r="U20" s="1513">
        <v>34.69</v>
      </c>
      <c r="V20" s="1513">
        <v>10.8</v>
      </c>
      <c r="W20" s="1513">
        <v>18.22</v>
      </c>
      <c r="X20" s="1513">
        <v>3.06</v>
      </c>
      <c r="Y20" s="1513">
        <v>6.5</v>
      </c>
      <c r="Z20" s="1513">
        <v>1.7</v>
      </c>
      <c r="AA20" s="1513">
        <v>28.95</v>
      </c>
      <c r="AB20" s="1513">
        <v>3.34</v>
      </c>
      <c r="AC20" s="1513">
        <v>34.729999999999997</v>
      </c>
      <c r="AD20" s="1513">
        <v>5.18</v>
      </c>
      <c r="AE20" s="1513">
        <v>62.47</v>
      </c>
      <c r="AF20" s="1513">
        <v>4.66</v>
      </c>
      <c r="AG20" s="1513">
        <v>56.74</v>
      </c>
      <c r="AH20" s="1513">
        <v>19</v>
      </c>
      <c r="AI20" s="1510">
        <v>25.25</v>
      </c>
      <c r="AJ20" s="1510">
        <v>6.52</v>
      </c>
      <c r="AK20" s="1510">
        <v>8.2100000000000009</v>
      </c>
      <c r="AL20" s="1510">
        <v>1.46</v>
      </c>
      <c r="AM20" s="1513">
        <v>41.62</v>
      </c>
      <c r="AN20" s="1513">
        <v>12.96</v>
      </c>
      <c r="AO20" s="1513">
        <v>15.46</v>
      </c>
      <c r="AP20" s="1513">
        <v>2.75</v>
      </c>
      <c r="AQ20" s="1513">
        <v>49.61</v>
      </c>
      <c r="AR20" s="1513">
        <v>20.9</v>
      </c>
      <c r="AS20" s="1513">
        <v>20.37</v>
      </c>
      <c r="AT20" s="1513">
        <v>4.2</v>
      </c>
      <c r="AU20" s="1513">
        <v>60.84</v>
      </c>
      <c r="AV20" s="1513">
        <v>25.71</v>
      </c>
      <c r="AW20" s="1513">
        <v>6.35</v>
      </c>
      <c r="AX20" s="1513">
        <v>1.66</v>
      </c>
      <c r="AY20" s="1510">
        <v>8.73</v>
      </c>
      <c r="AZ20" s="1510">
        <v>2.11</v>
      </c>
      <c r="BA20" s="1514">
        <v>10.56</v>
      </c>
      <c r="BB20" s="1514">
        <v>3.38</v>
      </c>
      <c r="BC20" s="1513">
        <v>9.51</v>
      </c>
      <c r="BD20" s="1513">
        <v>1.75</v>
      </c>
      <c r="BE20" s="1513">
        <v>6.53</v>
      </c>
      <c r="BF20" s="1513">
        <v>0.62</v>
      </c>
      <c r="BG20" s="1513">
        <v>6.05</v>
      </c>
      <c r="BH20" s="1513">
        <v>0.88</v>
      </c>
      <c r="BI20" s="1513">
        <v>14.16</v>
      </c>
      <c r="BJ20" s="1513">
        <v>2.21</v>
      </c>
      <c r="BK20" s="1513">
        <v>19.57</v>
      </c>
      <c r="BL20" s="1513">
        <v>3.05</v>
      </c>
      <c r="BM20" s="1513">
        <v>29.09</v>
      </c>
      <c r="BN20" s="1513">
        <v>4.54</v>
      </c>
      <c r="BO20" s="1513">
        <v>42.61</v>
      </c>
      <c r="BP20" s="1513">
        <v>6.64</v>
      </c>
      <c r="BQ20" s="1514">
        <v>1.79</v>
      </c>
      <c r="BR20" s="1514">
        <v>0.49</v>
      </c>
      <c r="BS20" s="1513">
        <v>2.4700000000000002</v>
      </c>
      <c r="BT20" s="1513">
        <v>0.68</v>
      </c>
      <c r="BU20" s="1513">
        <v>3.68</v>
      </c>
      <c r="BV20" s="1513">
        <v>1</v>
      </c>
      <c r="BW20" s="1513">
        <v>5.39</v>
      </c>
      <c r="BX20" s="1513">
        <v>1.47</v>
      </c>
      <c r="BY20" s="1513">
        <v>355.66</v>
      </c>
      <c r="BZ20" s="1513">
        <v>16.77</v>
      </c>
      <c r="CA20" s="1513">
        <v>12.03</v>
      </c>
      <c r="CB20" s="1513">
        <v>2.82</v>
      </c>
      <c r="CC20" s="1513">
        <v>9.35</v>
      </c>
      <c r="CD20" s="1513">
        <v>2.2799999999999998</v>
      </c>
      <c r="CE20" s="1513">
        <v>156.71</v>
      </c>
      <c r="CF20" s="1513">
        <v>35.15</v>
      </c>
      <c r="CG20" s="1510">
        <v>12.61</v>
      </c>
      <c r="CH20" s="1510">
        <v>1.74</v>
      </c>
      <c r="CI20" s="1510">
        <v>15.26</v>
      </c>
      <c r="CJ20" s="1510">
        <v>5.34</v>
      </c>
      <c r="CK20" s="1510">
        <v>10.15</v>
      </c>
      <c r="CL20" s="1510">
        <v>1.92</v>
      </c>
      <c r="CM20" s="1510">
        <v>20.61</v>
      </c>
      <c r="CN20" s="1510">
        <v>2.5299999999999998</v>
      </c>
      <c r="CO20" s="1510">
        <v>11.93</v>
      </c>
      <c r="CP20" s="1510">
        <v>2.39</v>
      </c>
      <c r="CQ20" s="1510">
        <v>8.08</v>
      </c>
      <c r="CR20" s="1510">
        <v>1.06</v>
      </c>
      <c r="CS20" s="1510">
        <v>32.32</v>
      </c>
      <c r="CT20" s="1510">
        <v>11.03</v>
      </c>
      <c r="CU20" s="1510">
        <v>40.4</v>
      </c>
      <c r="CV20" s="1510">
        <v>5.29</v>
      </c>
      <c r="CW20" s="1510">
        <v>35.56</v>
      </c>
      <c r="CX20" s="1510">
        <v>11.03</v>
      </c>
      <c r="CY20" s="1510">
        <v>40.4</v>
      </c>
      <c r="CZ20" s="1510">
        <v>5.29</v>
      </c>
      <c r="DA20" s="1510">
        <v>22.75</v>
      </c>
      <c r="DB20" s="1510">
        <v>5.92</v>
      </c>
      <c r="DC20" s="1510">
        <v>28.43</v>
      </c>
      <c r="DD20" s="1510">
        <v>7.39</v>
      </c>
      <c r="DE20" s="1510">
        <v>37.909999999999997</v>
      </c>
      <c r="DF20" s="1510">
        <v>9.86</v>
      </c>
      <c r="DG20" s="1510">
        <v>45.49</v>
      </c>
      <c r="DH20" s="1510">
        <v>11.83</v>
      </c>
      <c r="DI20" s="1510">
        <v>10.1</v>
      </c>
      <c r="DJ20" s="1510">
        <v>2.0699999999999998</v>
      </c>
      <c r="DK20" s="1510">
        <v>2.31</v>
      </c>
      <c r="DL20" s="1510">
        <v>0.39</v>
      </c>
      <c r="DM20" s="1510">
        <v>44.07</v>
      </c>
      <c r="DN20" s="1510">
        <v>5.86</v>
      </c>
      <c r="DO20" s="1510">
        <v>60.18</v>
      </c>
      <c r="DP20" s="1510">
        <v>7.39</v>
      </c>
      <c r="DQ20" s="1510">
        <v>72.89</v>
      </c>
      <c r="DR20" s="1510">
        <v>8.11</v>
      </c>
      <c r="DS20" s="1510">
        <v>88.36</v>
      </c>
      <c r="DT20" s="1510">
        <v>9</v>
      </c>
      <c r="DU20" s="1510">
        <v>10.45</v>
      </c>
      <c r="DV20" s="1510">
        <v>1.97</v>
      </c>
      <c r="DW20" s="1510">
        <v>12.19</v>
      </c>
      <c r="DX20" s="1510">
        <v>2.2999999999999998</v>
      </c>
    </row>
    <row r="21" spans="1:128" ht="18.75" customHeight="1">
      <c r="A21" s="1497"/>
      <c r="B21" s="1498" t="s">
        <v>582</v>
      </c>
      <c r="C21" s="1508" t="s">
        <v>583</v>
      </c>
      <c r="D21" s="1500" t="str">
        <f>IF($D$2=40.5,AI31,IF($D$2=41.5,AI32,IF($D$2=42.5,AI33,IF($D$2=43.5,AI34,IF($D$2=44.5,AI35,IF($D$2=45.5,AI36,IF($D$2=46.5,AI37,)))))))&amp;
IF($D$2=47.5,AI38,IF($D$2=48.5,AI39,IF($D$2=49.5,AI40,IF($D$2=50.5,AI41,IF($D$2=51.5,AI42,IF($D$2=52.5,AI43,IF($D$2=53.5,AI44,)))))))&amp;
IF($D$2=54.5,AI45,IF($D$2=55.5,AI46,IF($D$2=56.5,AI47,IF($D$2=57.5,AI48,IF($D$2=15.5,AI6,IF($D$2=16.5,AI7,IF($D$2=17.5,AI8,)))))))&amp;
IF($D$2=18.5,AI9,IF($D$2=19.5,AI10,IF($D$2=20.5,AI11,IF($D$2=21.5,AI12,IF($D$2=22.5,AI13,IF($D$2=23.5,AI14,IF($D$2=24.5,AI15,)))))))&amp;IF($D$2=25.5,AI16,IF($D$2=26.5,AI17,IF($D$2=39.5,AI30,)))&amp;IF($D$2=31.5,AI22,IF($D$2=32.5,AI23,IF($D$2=33.5,AI24,IF($D$2=34.5,AI25,IF($D$2=35.5,AI26,IF($D$2=36.5,AI27,IF($D$2=37.5,AI28,IF($C$2=38.5,AI29,))))))))&amp;IF($D$2=27.5,AI18,IF($D$2=28.5,AI19,IF($D$2=29.5,AI20,IF($D$2=30.5,AI21,))))</f>
        <v>27.38</v>
      </c>
      <c r="E21" s="1500" t="str">
        <f>IF($D$2=40.5,AJ31,IF($D$2=41.5,AJ32,IF($D$2=42.5,AJ33,IF($D$2=43.5,AJ34,IF($D$2=44.5,AJ35,IF($D$2=45.5,AJ36,IF($D$2=46.5,AJ37,)))))))&amp;
IF($D$2=47.5,AJ38,IF($D$2=48.5,AJ39,IF($D$2=49.5,AJ40,IF($D$2=50.5,AJ41,IF($D$2=51.5,AJ42,IF($D$2=52.5,AJ43,IF($D$2=53.5,AJ44,)))))))&amp;
IF($D$2=54.5,AJ45,IF($D$2=55.5,AJ46,IF($D$2=56.5,AJ47,IF($D$2=57.5,AJ48,IF($D$2=15.5,AJ6,IF($D$2=16.5,AJ7,IF($D$2=17.5,AJ8,)))))))&amp;
IF($D$2=18.5,AJ9,IF($D$2=19.5,AJ10,IF($D$2=20.5,AJ11,IF($D$2=21.5,AJ12,IF($D$2=22.5,AJ13,IF($D$2=23.5,AJ14,IF($D$2=24.5,AJ15,)))))))&amp;IF($D$2=25.5,AJ16,IF($D$2=26.5,AJ17,IF($D$2=39.5,AJ30,)))&amp;IF($D$2=31.5,AJ22,IF($D$2=32.5,AJ23,IF($D$2=33.5,AJ24,IF($D$2=34.5,AJ25,IF($D$2=35.5,AJ26,IF($D$2=36.5,AJ27,IF($D$2=37.5,AJ28,IF($C$2=38.5,AJ29,))))))))&amp;IF($D$2=27.5,AJ18,IF($D$2=28.5,AJ19,IF($D$2=29.5,AJ20,IF($D$2=30.5,AJ21,))))</f>
        <v>6.52</v>
      </c>
      <c r="F21" s="1501">
        <f t="shared" ref="F21:F23" si="3">E21*1.25</f>
        <v>8.1499999999999986</v>
      </c>
      <c r="G21" s="1501">
        <f>D21+E21</f>
        <v>33.9</v>
      </c>
      <c r="H21" s="1501">
        <f>D21+F21</f>
        <v>35.53</v>
      </c>
      <c r="I21" s="1367"/>
      <c r="J21" s="1367"/>
      <c r="K21" s="1367"/>
      <c r="L21" s="1510">
        <v>30.5</v>
      </c>
      <c r="M21" s="1510">
        <v>1.51</v>
      </c>
      <c r="N21" s="1510">
        <v>0.22</v>
      </c>
      <c r="O21" s="1513">
        <v>3.12</v>
      </c>
      <c r="P21" s="1513">
        <v>0.55000000000000004</v>
      </c>
      <c r="Q21" s="1513">
        <v>4.7300000000000004</v>
      </c>
      <c r="R21" s="1513">
        <v>0.78</v>
      </c>
      <c r="S21" s="1513">
        <v>18.260000000000002</v>
      </c>
      <c r="T21" s="1513">
        <v>3.51</v>
      </c>
      <c r="U21" s="1513">
        <v>35.14</v>
      </c>
      <c r="V21" s="1513">
        <v>10.8</v>
      </c>
      <c r="W21" s="1513">
        <v>18.41</v>
      </c>
      <c r="X21" s="1513">
        <v>3.06</v>
      </c>
      <c r="Y21" s="1513">
        <v>6.58</v>
      </c>
      <c r="Z21" s="1513">
        <v>1.7</v>
      </c>
      <c r="AA21" s="1513">
        <v>29.34</v>
      </c>
      <c r="AB21" s="1513">
        <v>3.34</v>
      </c>
      <c r="AC21" s="1513">
        <v>35.18</v>
      </c>
      <c r="AD21" s="1513">
        <v>5.18</v>
      </c>
      <c r="AE21" s="1513">
        <v>62.91</v>
      </c>
      <c r="AF21" s="1513">
        <v>4.66</v>
      </c>
      <c r="AG21" s="1513">
        <v>57.69</v>
      </c>
      <c r="AH21" s="1513">
        <v>19</v>
      </c>
      <c r="AI21" s="1510">
        <v>25.55</v>
      </c>
      <c r="AJ21" s="1510">
        <v>6.52</v>
      </c>
      <c r="AK21" s="1510">
        <v>8.3000000000000007</v>
      </c>
      <c r="AL21" s="1510">
        <v>1.46</v>
      </c>
      <c r="AM21" s="1513">
        <v>42.16</v>
      </c>
      <c r="AN21" s="1513">
        <v>12.96</v>
      </c>
      <c r="AO21" s="1513">
        <v>15.61</v>
      </c>
      <c r="AP21" s="1513">
        <v>2.75</v>
      </c>
      <c r="AQ21" s="1513">
        <v>50.23</v>
      </c>
      <c r="AR21" s="1513">
        <v>20.9</v>
      </c>
      <c r="AS21" s="1513">
        <v>20.51</v>
      </c>
      <c r="AT21" s="1513">
        <v>4.2</v>
      </c>
      <c r="AU21" s="1513">
        <v>61.61</v>
      </c>
      <c r="AV21" s="1513">
        <v>25.71</v>
      </c>
      <c r="AW21" s="1513">
        <v>6.43</v>
      </c>
      <c r="AX21" s="1513">
        <v>1.66</v>
      </c>
      <c r="AY21" s="1510">
        <v>8.83</v>
      </c>
      <c r="AZ21" s="1510">
        <v>2.11</v>
      </c>
      <c r="BA21" s="1514">
        <v>10.77</v>
      </c>
      <c r="BB21" s="1514">
        <v>3.38</v>
      </c>
      <c r="BC21" s="1513">
        <v>9.61</v>
      </c>
      <c r="BD21" s="1513">
        <v>1.75</v>
      </c>
      <c r="BE21" s="1513">
        <v>6.66</v>
      </c>
      <c r="BF21" s="1513">
        <v>0.62</v>
      </c>
      <c r="BG21" s="1513">
        <v>6.17</v>
      </c>
      <c r="BH21" s="1513">
        <v>0.88</v>
      </c>
      <c r="BI21" s="1513">
        <v>14.42</v>
      </c>
      <c r="BJ21" s="1513">
        <v>2.21</v>
      </c>
      <c r="BK21" s="1513">
        <v>19.93</v>
      </c>
      <c r="BL21" s="1513">
        <v>3.05</v>
      </c>
      <c r="BM21" s="1513">
        <v>29.63</v>
      </c>
      <c r="BN21" s="1513">
        <v>4.54</v>
      </c>
      <c r="BO21" s="1513">
        <v>43.39</v>
      </c>
      <c r="BP21" s="1513">
        <v>6.64</v>
      </c>
      <c r="BQ21" s="1514">
        <v>1.81</v>
      </c>
      <c r="BR21" s="1514">
        <v>0.49</v>
      </c>
      <c r="BS21" s="1513">
        <v>2.5</v>
      </c>
      <c r="BT21" s="1513">
        <v>0.68</v>
      </c>
      <c r="BU21" s="1513">
        <v>3.71</v>
      </c>
      <c r="BV21" s="1513">
        <v>1</v>
      </c>
      <c r="BW21" s="1513">
        <v>5.44</v>
      </c>
      <c r="BX21" s="1513">
        <v>1.47</v>
      </c>
      <c r="BY21" s="1513">
        <v>366.44</v>
      </c>
      <c r="BZ21" s="1513">
        <v>16.77</v>
      </c>
      <c r="CA21" s="1513">
        <v>12.2</v>
      </c>
      <c r="CB21" s="1513">
        <v>2.82</v>
      </c>
      <c r="CC21" s="1513">
        <v>9.4600000000000009</v>
      </c>
      <c r="CD21" s="1513">
        <v>2.2799999999999998</v>
      </c>
      <c r="CE21" s="1513">
        <v>160.18</v>
      </c>
      <c r="CF21" s="1513">
        <v>35.15</v>
      </c>
      <c r="CG21" s="1510">
        <v>12.89</v>
      </c>
      <c r="CH21" s="1510">
        <v>1.74</v>
      </c>
      <c r="CI21" s="1510">
        <v>15.26</v>
      </c>
      <c r="CJ21" s="1510">
        <v>5.34</v>
      </c>
      <c r="CK21" s="1510">
        <v>10.199999999999999</v>
      </c>
      <c r="CL21" s="1510">
        <v>1.92</v>
      </c>
      <c r="CM21" s="1510">
        <v>20.86</v>
      </c>
      <c r="CN21" s="1510">
        <v>2.5299999999999998</v>
      </c>
      <c r="CO21" s="1510">
        <v>12.16</v>
      </c>
      <c r="CP21" s="1510">
        <v>2.39</v>
      </c>
      <c r="CQ21" s="1510">
        <v>8.2100000000000009</v>
      </c>
      <c r="CR21" s="1510">
        <v>1.06</v>
      </c>
      <c r="CS21" s="1510">
        <v>32.729999999999997</v>
      </c>
      <c r="CT21" s="1510">
        <v>11.03</v>
      </c>
      <c r="CU21" s="1510">
        <v>41.07</v>
      </c>
      <c r="CV21" s="1510">
        <v>5.29</v>
      </c>
      <c r="CW21" s="1510">
        <v>36</v>
      </c>
      <c r="CX21" s="1510">
        <v>11.03</v>
      </c>
      <c r="CY21" s="1510">
        <v>41.07</v>
      </c>
      <c r="CZ21" s="1510">
        <v>5.29</v>
      </c>
      <c r="DA21" s="1510">
        <v>22.89</v>
      </c>
      <c r="DB21" s="1510">
        <v>5.92</v>
      </c>
      <c r="DC21" s="1510">
        <v>28.61</v>
      </c>
      <c r="DD21" s="1510">
        <v>7.39</v>
      </c>
      <c r="DE21" s="1510">
        <v>38.15</v>
      </c>
      <c r="DF21" s="1510">
        <v>9.86</v>
      </c>
      <c r="DG21" s="1510">
        <v>45.77</v>
      </c>
      <c r="DH21" s="1510">
        <v>11.83</v>
      </c>
      <c r="DI21" s="1510">
        <v>10.27</v>
      </c>
      <c r="DJ21" s="1510">
        <v>2.0699999999999998</v>
      </c>
      <c r="DK21" s="1510">
        <v>2.36</v>
      </c>
      <c r="DL21" s="1510">
        <v>0.39</v>
      </c>
      <c r="DM21" s="1510">
        <v>44.39</v>
      </c>
      <c r="DN21" s="1510">
        <v>5.86</v>
      </c>
      <c r="DO21" s="1510">
        <v>60.56</v>
      </c>
      <c r="DP21" s="1510">
        <v>7.39</v>
      </c>
      <c r="DQ21" s="1510">
        <v>73.36</v>
      </c>
      <c r="DR21" s="1510">
        <v>8.11</v>
      </c>
      <c r="DS21" s="1510">
        <v>88.93</v>
      </c>
      <c r="DT21" s="1510">
        <v>9</v>
      </c>
      <c r="DU21" s="1510">
        <v>10.64</v>
      </c>
      <c r="DV21" s="1510">
        <v>1.97</v>
      </c>
      <c r="DW21" s="1510">
        <v>12.41</v>
      </c>
      <c r="DX21" s="1510">
        <v>2.2999999999999998</v>
      </c>
    </row>
    <row r="22" spans="1:128" ht="18.75" customHeight="1">
      <c r="A22" s="1497"/>
      <c r="B22" s="1498" t="s">
        <v>958</v>
      </c>
      <c r="C22" s="1508" t="s">
        <v>585</v>
      </c>
      <c r="D22" s="1500" t="str">
        <f>IF($D$2=40.5,AK31,IF($D$2=41.5,AK32,IF($D$2=42.5,AK33,IF($D$2=43.5,AK34,IF($D$2=44.5,AK35,IF($D$2=45.5,AK36,IF($D$2=46.5,AK37,)))))))&amp;
IF($D$2=47.5,AK38,IF($D$2=48.5,AK39,IF($D$2=49.5,AK40,IF($D$2=50.5,AK41,IF($D$2=51.5,AK42,IF($D$2=52.5,AK43,IF($D$2=53.5,AK44,)))))))&amp;
IF($D$2=54.5,AK45,IF($D$2=55.5,AK46,IF($D$2=56.5,AK47,IF($D$2=57.5,AK48,IF($D$2=15.5,AK6,IF($D$2=16.5,AK7,IF($D$2=17.5,AK8,)))))))&amp;
IF($D$2=18.5,AK9,IF($D$2=19.5,AK10,IF($D$2=20.5,AK11,IF($D$2=21.5,AK12,IF($D$2=22.5,AK13,IF($D$2=23.5,AK14,IF($D$2=24.5,AK15,)))))))&amp;IF($D$2=25.5,AK16,IF($D$2=26.5,AK17,IF($D$2=39.5,AK30,)))&amp;IF($D$2=31.5,AK22,IF($D$2=32.5,AK23,IF($D$2=33.5,AK24,IF($D$2=34.5,AK25,IF($D$2=35.5,AK26,IF($D$2=36.5,AK27,IF($D$2=37.5,AK28,IF($C$2=38.5,AK29,))))))))&amp;IF($D$2=27.5,AK18,IF($D$2=28.5,AK19,IF($D$2=29.5,AK20,IF($D$2=30.5,AK21,))))</f>
        <v>8.79</v>
      </c>
      <c r="E22" s="1500" t="str">
        <f>IF($D$2=40.5,AL31,IF($D$2=41.5,AL32,IF($D$2=42.5,AL33,IF($D$2=43.5,AL34,IF($D$2=44.5,AL35,IF($D$2=45.5,AL36,IF($D$2=46.5,AL37,)))))))&amp;
IF($D$2=47.5,AL38,IF($D$2=48.5,AL39,IF($D$2=49.5,AL40,IF($D$2=50.5,AL41,IF($D$2=51.5,AL42,IF($D$2=52.5,AL43,IF($D$2=53.5,AL44,)))))))&amp;
IF($D$2=54.5,AL45,IF($D$2=55.5,AL46,IF($D$2=56.5,AL47,IF($D$2=57.5,AL48,IF($D$2=15.5,AL6,IF($D$2=16.5,AL7,IF($D$2=17.5,AL8,)))))))&amp;
IF($D$2=18.5,AL9,IF($D$2=19.5,AL10,IF($D$2=20.5,AL11,IF($D$2=21.5,AL12,IF($D$2=22.5,AL13,IF($D$2=23.5,AL14,IF($D$2=24.5,AL15,)))))))&amp;IF($D$2=25.5,AL16,IF($D$2=26.5,AL17,IF($D$2=39.5,AL30,)))&amp;IF($D$2=31.5,AL22,IF($D$2=32.5,AL23,IF($D$2=33.5,AL24,IF($D$2=34.5,AL25,IF($D$2=35.5,AL26,IF($D$2=36.5,AL27,IF($D$2=37.5,AL28,IF($C$2=38.5,AL29,))))))))&amp;IF($D$2=27.5,AL18,IF($D$2=28.5,AL19,IF($D$2=29.5,AL20,IF($D$2=30.5,AL21,))))</f>
        <v>1.46</v>
      </c>
      <c r="F22" s="1501">
        <f t="shared" si="3"/>
        <v>1.825</v>
      </c>
      <c r="G22" s="1501">
        <f>D22+E22</f>
        <v>10.25</v>
      </c>
      <c r="H22" s="1501">
        <f>D22+F22</f>
        <v>10.614999999999998</v>
      </c>
      <c r="I22" s="1367"/>
      <c r="J22" s="1367"/>
      <c r="K22" s="1367"/>
      <c r="L22" s="1502">
        <v>31.5</v>
      </c>
      <c r="M22" s="1502">
        <v>1.54</v>
      </c>
      <c r="N22" s="1502">
        <v>0.22</v>
      </c>
      <c r="O22" s="1505">
        <v>3.18</v>
      </c>
      <c r="P22" s="1505">
        <v>0.55000000000000004</v>
      </c>
      <c r="Q22" s="1505">
        <v>4.84</v>
      </c>
      <c r="R22" s="1505">
        <v>0.78</v>
      </c>
      <c r="S22" s="1505">
        <v>18.690000000000001</v>
      </c>
      <c r="T22" s="1505">
        <v>3.51</v>
      </c>
      <c r="U22" s="1505">
        <v>36.04</v>
      </c>
      <c r="V22" s="1505">
        <v>10.8</v>
      </c>
      <c r="W22" s="1505">
        <v>18.78</v>
      </c>
      <c r="X22" s="1505">
        <v>3.06</v>
      </c>
      <c r="Y22" s="1505">
        <v>6.74</v>
      </c>
      <c r="Z22" s="1505">
        <v>1.7</v>
      </c>
      <c r="AA22" s="1505">
        <v>30.11</v>
      </c>
      <c r="AB22" s="1505">
        <v>3.34</v>
      </c>
      <c r="AC22" s="1505">
        <v>36.08</v>
      </c>
      <c r="AD22" s="1505">
        <v>5.18</v>
      </c>
      <c r="AE22" s="1505">
        <v>63.77</v>
      </c>
      <c r="AF22" s="1505">
        <v>4.66</v>
      </c>
      <c r="AG22" s="1505">
        <v>59.58</v>
      </c>
      <c r="AH22" s="1505">
        <v>19</v>
      </c>
      <c r="AI22" s="1502">
        <v>26.16</v>
      </c>
      <c r="AJ22" s="1502">
        <v>6.52</v>
      </c>
      <c r="AK22" s="1502">
        <v>8.4600000000000009</v>
      </c>
      <c r="AL22" s="1502">
        <v>1.46</v>
      </c>
      <c r="AM22" s="1505">
        <v>43.25</v>
      </c>
      <c r="AN22" s="1505">
        <v>12.96</v>
      </c>
      <c r="AO22" s="1505">
        <v>15.92</v>
      </c>
      <c r="AP22" s="1505">
        <v>2.75</v>
      </c>
      <c r="AQ22" s="1505">
        <v>51.48</v>
      </c>
      <c r="AR22" s="1505">
        <v>20.9</v>
      </c>
      <c r="AS22" s="1505">
        <v>20.8</v>
      </c>
      <c r="AT22" s="1505">
        <v>4.2</v>
      </c>
      <c r="AU22" s="1505">
        <v>63.17</v>
      </c>
      <c r="AV22" s="1505">
        <v>25.71</v>
      </c>
      <c r="AW22" s="1505">
        <v>6.58</v>
      </c>
      <c r="AX22" s="1505">
        <v>1.66</v>
      </c>
      <c r="AY22" s="1502">
        <v>9.0299999999999994</v>
      </c>
      <c r="AZ22" s="1502">
        <v>2.11</v>
      </c>
      <c r="BA22" s="1506">
        <v>11.02</v>
      </c>
      <c r="BB22" s="1506">
        <v>3.38</v>
      </c>
      <c r="BC22" s="1505">
        <v>9.81</v>
      </c>
      <c r="BD22" s="1505">
        <v>1.75</v>
      </c>
      <c r="BE22" s="1505">
        <v>6.92</v>
      </c>
      <c r="BF22" s="1505">
        <v>0.62</v>
      </c>
      <c r="BG22" s="1505">
        <v>6.41</v>
      </c>
      <c r="BH22" s="1505">
        <v>0.88</v>
      </c>
      <c r="BI22" s="1505">
        <v>14.94</v>
      </c>
      <c r="BJ22" s="1505">
        <v>2.21</v>
      </c>
      <c r="BK22" s="1505">
        <v>20.64</v>
      </c>
      <c r="BL22" s="1505">
        <v>3.05</v>
      </c>
      <c r="BM22" s="1505">
        <v>30.69</v>
      </c>
      <c r="BN22" s="1505">
        <v>4.54</v>
      </c>
      <c r="BO22" s="1505">
        <v>44.95</v>
      </c>
      <c r="BP22" s="1505">
        <v>6.64</v>
      </c>
      <c r="BQ22" s="1506">
        <v>1.84</v>
      </c>
      <c r="BR22" s="1506">
        <v>0.49</v>
      </c>
      <c r="BS22" s="1505">
        <v>2.5499999999999998</v>
      </c>
      <c r="BT22" s="1505">
        <v>0.68</v>
      </c>
      <c r="BU22" s="1505">
        <v>3.79</v>
      </c>
      <c r="BV22" s="1505">
        <v>1</v>
      </c>
      <c r="BW22" s="1505">
        <v>5.55</v>
      </c>
      <c r="BX22" s="1505">
        <v>1.47</v>
      </c>
      <c r="BY22" s="1505">
        <v>388.01</v>
      </c>
      <c r="BZ22" s="1505">
        <v>16.77</v>
      </c>
      <c r="CA22" s="1505">
        <v>12.53</v>
      </c>
      <c r="CB22" s="1505">
        <v>2.82</v>
      </c>
      <c r="CC22" s="1505">
        <v>9.68</v>
      </c>
      <c r="CD22" s="1505">
        <v>2.2799999999999998</v>
      </c>
      <c r="CE22" s="1505">
        <v>167.11</v>
      </c>
      <c r="CF22" s="1505">
        <v>35.15</v>
      </c>
      <c r="CG22" s="1502">
        <v>13.44</v>
      </c>
      <c r="CH22" s="1502">
        <v>1.74</v>
      </c>
      <c r="CI22" s="1502">
        <v>15.26</v>
      </c>
      <c r="CJ22" s="1502">
        <v>5.34</v>
      </c>
      <c r="CK22" s="1502">
        <v>10.29</v>
      </c>
      <c r="CL22" s="1502">
        <v>1.92</v>
      </c>
      <c r="CM22" s="1502">
        <v>21.34</v>
      </c>
      <c r="CN22" s="1502">
        <v>2.5299999999999998</v>
      </c>
      <c r="CO22" s="1502">
        <v>12.6</v>
      </c>
      <c r="CP22" s="1502">
        <v>2.39</v>
      </c>
      <c r="CQ22" s="1502">
        <v>8.48</v>
      </c>
      <c r="CR22" s="1502">
        <v>1.06</v>
      </c>
      <c r="CS22" s="1502">
        <v>33.53</v>
      </c>
      <c r="CT22" s="1502">
        <v>11.03</v>
      </c>
      <c r="CU22" s="1502">
        <v>42.42</v>
      </c>
      <c r="CV22" s="1502">
        <v>5.29</v>
      </c>
      <c r="CW22" s="1502">
        <v>36.89</v>
      </c>
      <c r="CX22" s="1502">
        <v>11.03</v>
      </c>
      <c r="CY22" s="1502">
        <v>42.42</v>
      </c>
      <c r="CZ22" s="1502">
        <v>5.29</v>
      </c>
      <c r="DA22" s="1502">
        <v>23.17</v>
      </c>
      <c r="DB22" s="1502">
        <v>5.92</v>
      </c>
      <c r="DC22" s="1502">
        <v>28.96</v>
      </c>
      <c r="DD22" s="1502">
        <v>7.39</v>
      </c>
      <c r="DE22" s="1502">
        <v>38.619999999999997</v>
      </c>
      <c r="DF22" s="1502">
        <v>9.86</v>
      </c>
      <c r="DG22" s="1502"/>
      <c r="DH22" s="1502"/>
      <c r="DI22" s="1502">
        <v>10.62</v>
      </c>
      <c r="DJ22" s="1502">
        <v>2.0699999999999998</v>
      </c>
      <c r="DK22" s="1502">
        <v>2.4500000000000002</v>
      </c>
      <c r="DL22" s="1502">
        <v>0.39</v>
      </c>
      <c r="DM22" s="1502">
        <v>45.04</v>
      </c>
      <c r="DN22" s="1502">
        <v>5.86</v>
      </c>
      <c r="DO22" s="1502">
        <v>61.32</v>
      </c>
      <c r="DP22" s="1502">
        <v>7.39</v>
      </c>
      <c r="DQ22" s="1502">
        <v>74.290000000000006</v>
      </c>
      <c r="DR22" s="1502">
        <v>8.11</v>
      </c>
      <c r="DS22" s="1502">
        <v>90.07</v>
      </c>
      <c r="DT22" s="1502">
        <v>9</v>
      </c>
      <c r="DU22" s="1502">
        <v>11.03</v>
      </c>
      <c r="DV22" s="1502">
        <v>1.97</v>
      </c>
      <c r="DW22" s="1502">
        <v>12.87</v>
      </c>
      <c r="DX22" s="1502">
        <v>2.2999999999999998</v>
      </c>
    </row>
    <row r="23" spans="1:128" ht="18.75" customHeight="1">
      <c r="A23" s="1497"/>
      <c r="B23" s="1498" t="s">
        <v>584</v>
      </c>
      <c r="C23" s="1508" t="s">
        <v>585</v>
      </c>
      <c r="D23" s="1500" t="str">
        <f>IF($D$2=40.5,AM31,IF($D$2=41.5,AM32,IF($D$2=42.5,AM33,IF($D$2=43.5,AM34,IF($D$2=44.5,AM35,IF($D$2=45.5,AM36,IF($D$2=46.5,AM37,)))))))&amp;
IF($D$2=47.5,AM38,IF($D$2=48.5,AM39,IF($D$2=49.5,AM40,IF($D$2=50.5,AM41,IF($D$2=51.5,AM42,IF($D$2=52.5,AM43,IF($D$2=53.5,AM44,)))))))&amp;
IF($D$2=54.5,AM45,IF($D$2=55.5,AM46,IF($D$2=56.5,AM47,IF($D$2=57.5,AM48,IF($D$2=15.5,AM6,IF($D$2=16.5,AM7,IF($D$2=17.5,AM8,)))))))&amp;
IF($D$2=18.5,AM9,IF($D$2=19.5,AM10,IF($D$2=20.5,AM11,IF($D$2=21.5,AM12,IF($D$2=22.5,AM13,IF($D$2=23.5,AM14,IF($D$2=24.5,AM15,)))))))&amp;IF($D$2=25.5,AM16,IF($D$2=26.5,AM17,IF($D$2=39.5,AM30,)))&amp;IF($D$2=31.5,AM22,IF($D$2=32.5,AM23,IF($D$2=33.5,AM24,IF($D$2=34.5,AM25,IF($D$2=35.5,AM26,IF($D$2=36.5,AM27,IF($D$2=37.5,AM28,IF($C$2=38.5,AM29,))))))))&amp;IF($D$2=27.5,AM18,IF($D$2=28.5,AM19,IF($D$2=29.5,AM20,IF($D$2=30.5,AM21,))))</f>
        <v>45.41</v>
      </c>
      <c r="E23" s="1500" t="str">
        <f>IF($D$2=40.5,AN31,IF($D$2=41.5,AN32,IF($D$2=42.5,AN33,IF($D$2=43.5,AN34,IF($D$2=44.5,AN35,IF($D$2=45.5,AN36,IF($D$2=46.5,AN37,)))))))&amp;
IF($D$2=47.5,AN38,IF($D$2=48.5,AN39,IF($D$2=49.5,AN40,IF($D$2=50.5,AN41,IF($D$2=51.5,AN42,IF($D$2=52.5,AN43,IF($D$2=53.5,AN44,)))))))&amp;
IF($D$2=54.5,AN45,IF($D$2=55.5,AN46,IF($D$2=56.5,AN47,IF($D$2=57.5,AN48,IF($D$2=15.5,AN6,IF($D$2=16.5,AN7,IF($D$2=17.5,AN8,)))))))&amp;
IF($D$2=18.5,AN9,IF($D$2=19.5,AN10,IF($D$2=20.5,AN11,IF($D$2=21.5,AN12,IF($D$2=22.5,AN13,IF($D$2=23.5,AN14,IF($D$2=24.5,AN15,)))))))&amp;IF($D$2=25.5,AN16,IF($D$2=26.5,AN17,IF($D$2=39.5,AN30,)))&amp;IF($D$2=31.5,AN22,IF($D$2=32.5,AN23,IF($D$2=33.5,AN24,IF($D$2=34.5,AN25,IF($D$2=35.5,AN26,IF($D$2=36.5,AN27,IF($D$2=37.5,AN28,IF($C$2=38.5,AN29,))))))))&amp;IF($D$2=27.5,AN18,IF($D$2=28.5,AN19,IF($D$2=29.5,AN20,IF($D$2=30.5,AN21,))))</f>
        <v>12.96</v>
      </c>
      <c r="F23" s="1501">
        <f t="shared" si="3"/>
        <v>16.200000000000003</v>
      </c>
      <c r="G23" s="1501">
        <f>D23+E23</f>
        <v>58.37</v>
      </c>
      <c r="H23" s="1501">
        <f>D23+F23</f>
        <v>61.61</v>
      </c>
      <c r="I23" s="1367"/>
      <c r="J23" s="1367"/>
      <c r="K23" s="1367"/>
      <c r="L23" s="1502">
        <v>32.5</v>
      </c>
      <c r="M23" s="1502">
        <v>1.55</v>
      </c>
      <c r="N23" s="1502">
        <v>0.22</v>
      </c>
      <c r="O23" s="1505">
        <v>3.21</v>
      </c>
      <c r="P23" s="1505">
        <v>0.55000000000000004</v>
      </c>
      <c r="Q23" s="1505">
        <v>4.8899999999999997</v>
      </c>
      <c r="R23" s="1505">
        <v>0.78</v>
      </c>
      <c r="S23" s="1505">
        <v>18.899999999999999</v>
      </c>
      <c r="T23" s="1505">
        <v>3.51</v>
      </c>
      <c r="U23" s="1505">
        <v>36.49</v>
      </c>
      <c r="V23" s="1505">
        <v>10.8</v>
      </c>
      <c r="W23" s="1505">
        <v>18.97</v>
      </c>
      <c r="X23" s="1505">
        <v>3.06</v>
      </c>
      <c r="Y23" s="1505">
        <v>6.83</v>
      </c>
      <c r="Z23" s="1505">
        <v>1.7</v>
      </c>
      <c r="AA23" s="1505">
        <v>30.49</v>
      </c>
      <c r="AB23" s="1505">
        <v>3.34</v>
      </c>
      <c r="AC23" s="1505">
        <v>36.53</v>
      </c>
      <c r="AD23" s="1505">
        <v>5.18</v>
      </c>
      <c r="AE23" s="1505">
        <v>64.2</v>
      </c>
      <c r="AF23" s="1505">
        <v>4.66</v>
      </c>
      <c r="AG23" s="1505">
        <v>60.53</v>
      </c>
      <c r="AH23" s="1505">
        <v>19</v>
      </c>
      <c r="AI23" s="1502">
        <v>26.47</v>
      </c>
      <c r="AJ23" s="1502">
        <v>6.52</v>
      </c>
      <c r="AK23" s="1502">
        <v>8.5399999999999991</v>
      </c>
      <c r="AL23" s="1502">
        <v>1.46</v>
      </c>
      <c r="AM23" s="1505">
        <v>43.79</v>
      </c>
      <c r="AN23" s="1505">
        <v>12.96</v>
      </c>
      <c r="AO23" s="1505">
        <v>16.079999999999998</v>
      </c>
      <c r="AP23" s="1505">
        <v>2.75</v>
      </c>
      <c r="AQ23" s="1505">
        <v>52.1</v>
      </c>
      <c r="AR23" s="1505">
        <v>20.9</v>
      </c>
      <c r="AS23" s="1505">
        <v>20.94</v>
      </c>
      <c r="AT23" s="1505">
        <v>4.2</v>
      </c>
      <c r="AU23" s="1505">
        <v>63.95</v>
      </c>
      <c r="AV23" s="1505">
        <v>25.71</v>
      </c>
      <c r="AW23" s="1505">
        <v>6.66</v>
      </c>
      <c r="AX23" s="1505">
        <v>1.66</v>
      </c>
      <c r="AY23" s="1502">
        <v>9.1300000000000008</v>
      </c>
      <c r="AZ23" s="1502">
        <v>2.11</v>
      </c>
      <c r="BA23" s="1506">
        <v>11.14</v>
      </c>
      <c r="BB23" s="1506">
        <v>3.38</v>
      </c>
      <c r="BC23" s="1505">
        <v>9.91</v>
      </c>
      <c r="BD23" s="1505">
        <v>1.75</v>
      </c>
      <c r="BE23" s="1505">
        <v>7.05</v>
      </c>
      <c r="BF23" s="1505">
        <v>0.62</v>
      </c>
      <c r="BG23" s="1505">
        <v>6.53</v>
      </c>
      <c r="BH23" s="1505">
        <v>0.88</v>
      </c>
      <c r="BI23" s="1505">
        <v>15.2</v>
      </c>
      <c r="BJ23" s="1505">
        <v>2.21</v>
      </c>
      <c r="BK23" s="1505">
        <v>21</v>
      </c>
      <c r="BL23" s="1505">
        <v>3.05</v>
      </c>
      <c r="BM23" s="1505">
        <v>31.23</v>
      </c>
      <c r="BN23" s="1505">
        <v>4.54</v>
      </c>
      <c r="BO23" s="1505">
        <v>45.74</v>
      </c>
      <c r="BP23" s="1505">
        <v>6.64</v>
      </c>
      <c r="BQ23" s="1506">
        <v>1.86</v>
      </c>
      <c r="BR23" s="1506">
        <v>0.49</v>
      </c>
      <c r="BS23" s="1505">
        <v>2.57</v>
      </c>
      <c r="BT23" s="1505">
        <v>0.68</v>
      </c>
      <c r="BU23" s="1505">
        <v>3.83</v>
      </c>
      <c r="BV23" s="1505">
        <v>1</v>
      </c>
      <c r="BW23" s="1505">
        <v>5.6</v>
      </c>
      <c r="BX23" s="1505">
        <v>1.47</v>
      </c>
      <c r="BY23" s="1505">
        <v>398.79</v>
      </c>
      <c r="BZ23" s="1505">
        <v>16.77</v>
      </c>
      <c r="CA23" s="1505">
        <v>12.7</v>
      </c>
      <c r="CB23" s="1505">
        <v>2.82</v>
      </c>
      <c r="CC23" s="1505">
        <v>9.7899999999999991</v>
      </c>
      <c r="CD23" s="1505">
        <v>2.2799999999999998</v>
      </c>
      <c r="CE23" s="1505">
        <v>170.57</v>
      </c>
      <c r="CF23" s="1505">
        <v>35.15</v>
      </c>
      <c r="CG23" s="1502">
        <v>13.72</v>
      </c>
      <c r="CH23" s="1502">
        <v>1.74</v>
      </c>
      <c r="CI23" s="1502">
        <v>15.26</v>
      </c>
      <c r="CJ23" s="1502">
        <v>5.34</v>
      </c>
      <c r="CK23" s="1502">
        <v>10.34</v>
      </c>
      <c r="CL23" s="1502">
        <v>1.92</v>
      </c>
      <c r="CM23" s="1502">
        <v>21.59</v>
      </c>
      <c r="CN23" s="1502">
        <v>2.5299999999999998</v>
      </c>
      <c r="CO23" s="1502">
        <v>12.83</v>
      </c>
      <c r="CP23" s="1502">
        <v>2.39</v>
      </c>
      <c r="CQ23" s="1502">
        <v>8.6199999999999992</v>
      </c>
      <c r="CR23" s="1502">
        <v>1.06</v>
      </c>
      <c r="CS23" s="1502">
        <v>33.93</v>
      </c>
      <c r="CT23" s="1502">
        <v>11.03</v>
      </c>
      <c r="CU23" s="1502">
        <v>43.1</v>
      </c>
      <c r="CV23" s="1502">
        <v>5.29</v>
      </c>
      <c r="CW23" s="1502">
        <v>37.33</v>
      </c>
      <c r="CX23" s="1502">
        <v>11.03</v>
      </c>
      <c r="CY23" s="1502">
        <v>43.1</v>
      </c>
      <c r="CZ23" s="1502">
        <v>5.29</v>
      </c>
      <c r="DA23" s="1502">
        <v>23.31</v>
      </c>
      <c r="DB23" s="1502">
        <v>5.92</v>
      </c>
      <c r="DC23" s="1502">
        <v>29.14</v>
      </c>
      <c r="DD23" s="1502">
        <v>7.39</v>
      </c>
      <c r="DE23" s="1502">
        <v>38.86</v>
      </c>
      <c r="DF23" s="1502">
        <v>9.86</v>
      </c>
      <c r="DG23" s="1502"/>
      <c r="DH23" s="1502"/>
      <c r="DI23" s="1502">
        <v>10.79</v>
      </c>
      <c r="DJ23" s="1502">
        <v>2.0699999999999998</v>
      </c>
      <c r="DK23" s="1502">
        <v>2.4900000000000002</v>
      </c>
      <c r="DL23" s="1502">
        <v>0.39</v>
      </c>
      <c r="DM23" s="1502">
        <v>45.36</v>
      </c>
      <c r="DN23" s="1502">
        <v>5.86</v>
      </c>
      <c r="DO23" s="1502">
        <v>61.71</v>
      </c>
      <c r="DP23" s="1502">
        <v>7.39</v>
      </c>
      <c r="DQ23" s="1502">
        <v>74.75</v>
      </c>
      <c r="DR23" s="1502">
        <v>8.11</v>
      </c>
      <c r="DS23" s="1502">
        <v>90.64</v>
      </c>
      <c r="DT23" s="1502">
        <v>9</v>
      </c>
      <c r="DU23" s="1502">
        <v>11.22</v>
      </c>
      <c r="DV23" s="1502">
        <v>1.97</v>
      </c>
      <c r="DW23" s="1502">
        <v>13.09</v>
      </c>
      <c r="DX23" s="1502">
        <v>2.2999999999999998</v>
      </c>
    </row>
    <row r="24" spans="1:128" ht="18.75" customHeight="1">
      <c r="A24" s="1497">
        <v>5</v>
      </c>
      <c r="B24" s="1498" t="s">
        <v>960</v>
      </c>
      <c r="C24" s="1508"/>
      <c r="D24" s="1509"/>
      <c r="E24" s="1509"/>
      <c r="F24" s="1501"/>
      <c r="G24" s="1501"/>
      <c r="H24" s="1501"/>
      <c r="I24" s="1367"/>
      <c r="J24" s="1367"/>
      <c r="K24" s="1367"/>
      <c r="L24" s="1502">
        <v>33.5</v>
      </c>
      <c r="M24" s="1502">
        <v>1.56</v>
      </c>
      <c r="N24" s="1502">
        <v>0.22</v>
      </c>
      <c r="O24" s="1505">
        <v>3.24</v>
      </c>
      <c r="P24" s="1505">
        <v>0.55000000000000004</v>
      </c>
      <c r="Q24" s="1505">
        <v>4.9400000000000004</v>
      </c>
      <c r="R24" s="1505">
        <v>0.78</v>
      </c>
      <c r="S24" s="1505">
        <v>19.12</v>
      </c>
      <c r="T24" s="1505">
        <v>3.51</v>
      </c>
      <c r="U24" s="1505">
        <v>36.94</v>
      </c>
      <c r="V24" s="1505">
        <v>10.8</v>
      </c>
      <c r="W24" s="1505">
        <v>19.16</v>
      </c>
      <c r="X24" s="1505">
        <v>3.06</v>
      </c>
      <c r="Y24" s="1505">
        <v>6.91</v>
      </c>
      <c r="Z24" s="1505">
        <v>1.7</v>
      </c>
      <c r="AA24" s="1505">
        <v>30.88</v>
      </c>
      <c r="AB24" s="1505">
        <v>3.34</v>
      </c>
      <c r="AC24" s="1505">
        <v>36.979999999999997</v>
      </c>
      <c r="AD24" s="1505">
        <v>5.18</v>
      </c>
      <c r="AE24" s="1505">
        <v>64.64</v>
      </c>
      <c r="AF24" s="1505">
        <v>4.66</v>
      </c>
      <c r="AG24" s="1505">
        <v>61.48</v>
      </c>
      <c r="AH24" s="1505">
        <v>19</v>
      </c>
      <c r="AI24" s="1502">
        <v>26.77</v>
      </c>
      <c r="AJ24" s="1502">
        <v>6.52</v>
      </c>
      <c r="AK24" s="1502">
        <v>8.6300000000000008</v>
      </c>
      <c r="AL24" s="1502">
        <v>1.46</v>
      </c>
      <c r="AM24" s="1505">
        <v>44.33</v>
      </c>
      <c r="AN24" s="1505">
        <v>12.96</v>
      </c>
      <c r="AO24" s="1505">
        <v>16.23</v>
      </c>
      <c r="AP24" s="1505">
        <v>2.75</v>
      </c>
      <c r="AQ24" s="1505">
        <v>52.73</v>
      </c>
      <c r="AR24" s="1505">
        <v>20.9</v>
      </c>
      <c r="AS24" s="1505">
        <v>21.08</v>
      </c>
      <c r="AT24" s="1505">
        <v>4.2</v>
      </c>
      <c r="AU24" s="1505">
        <v>64.72</v>
      </c>
      <c r="AV24" s="1505">
        <v>25.71</v>
      </c>
      <c r="AW24" s="1505">
        <v>6.73</v>
      </c>
      <c r="AX24" s="1505">
        <v>1.66</v>
      </c>
      <c r="AY24" s="1502">
        <v>9.23</v>
      </c>
      <c r="AZ24" s="1502">
        <v>2.11</v>
      </c>
      <c r="BA24" s="1506">
        <v>11.27</v>
      </c>
      <c r="BB24" s="1506">
        <v>3.38</v>
      </c>
      <c r="BC24" s="1505">
        <v>10</v>
      </c>
      <c r="BD24" s="1505">
        <v>1.75</v>
      </c>
      <c r="BE24" s="1505">
        <v>7.17</v>
      </c>
      <c r="BF24" s="1505">
        <v>0.62</v>
      </c>
      <c r="BG24" s="1505">
        <v>6.65</v>
      </c>
      <c r="BH24" s="1505">
        <v>0.88</v>
      </c>
      <c r="BI24" s="1505">
        <v>15.46</v>
      </c>
      <c r="BJ24" s="1505">
        <v>2.21</v>
      </c>
      <c r="BK24" s="1505">
        <v>21.36</v>
      </c>
      <c r="BL24" s="1505">
        <v>3.05</v>
      </c>
      <c r="BM24" s="1505">
        <v>31.76</v>
      </c>
      <c r="BN24" s="1505">
        <v>4.54</v>
      </c>
      <c r="BO24" s="1505">
        <v>46.52</v>
      </c>
      <c r="BP24" s="1505">
        <v>6.64</v>
      </c>
      <c r="BQ24" s="1502">
        <v>1.88</v>
      </c>
      <c r="BR24" s="1506">
        <v>0.49</v>
      </c>
      <c r="BS24" s="1505">
        <v>2.6</v>
      </c>
      <c r="BT24" s="1505">
        <v>0.68</v>
      </c>
      <c r="BU24" s="1505">
        <v>3.86</v>
      </c>
      <c r="BV24" s="1505">
        <v>1</v>
      </c>
      <c r="BW24" s="1505">
        <v>5.66</v>
      </c>
      <c r="BX24" s="1505">
        <v>1.47</v>
      </c>
      <c r="BY24" s="1505">
        <v>409.58</v>
      </c>
      <c r="BZ24" s="1505">
        <v>16.77</v>
      </c>
      <c r="CA24" s="1505">
        <v>12.86</v>
      </c>
      <c r="CB24" s="1505">
        <v>2.82</v>
      </c>
      <c r="CC24" s="1505">
        <v>9.9</v>
      </c>
      <c r="CD24" s="1505">
        <v>2.2799999999999998</v>
      </c>
      <c r="CE24" s="1505">
        <v>174.04</v>
      </c>
      <c r="CF24" s="1505">
        <v>35.15</v>
      </c>
      <c r="CG24" s="1502">
        <v>13.99</v>
      </c>
      <c r="CH24" s="1502">
        <v>1.74</v>
      </c>
      <c r="CI24" s="1502">
        <v>15.26</v>
      </c>
      <c r="CJ24" s="1502">
        <v>5.34</v>
      </c>
      <c r="CK24" s="1502">
        <v>10.39</v>
      </c>
      <c r="CL24" s="1502">
        <v>1.92</v>
      </c>
      <c r="CM24" s="1502">
        <v>21.83</v>
      </c>
      <c r="CN24" s="1502">
        <v>2.5299999999999998</v>
      </c>
      <c r="CO24" s="1502">
        <v>13.05</v>
      </c>
      <c r="CP24" s="1502">
        <v>2.39</v>
      </c>
      <c r="CQ24" s="1502">
        <v>8.76</v>
      </c>
      <c r="CR24" s="1502">
        <v>1.06</v>
      </c>
      <c r="CS24" s="1502">
        <v>34.340000000000003</v>
      </c>
      <c r="CT24" s="1502">
        <v>11.03</v>
      </c>
      <c r="CU24" s="1502">
        <v>43.78</v>
      </c>
      <c r="CV24" s="1502">
        <v>5.29</v>
      </c>
      <c r="CW24" s="1502">
        <v>37.770000000000003</v>
      </c>
      <c r="CX24" s="1502">
        <v>11.03</v>
      </c>
      <c r="CY24" s="1502">
        <v>43.78</v>
      </c>
      <c r="CZ24" s="1502">
        <v>5.29</v>
      </c>
      <c r="DA24" s="1502">
        <v>23.46</v>
      </c>
      <c r="DB24" s="1502">
        <v>5.92</v>
      </c>
      <c r="DC24" s="1502">
        <v>29.32</v>
      </c>
      <c r="DD24" s="1502">
        <v>7.39</v>
      </c>
      <c r="DE24" s="1502">
        <v>39.090000000000003</v>
      </c>
      <c r="DF24" s="1502">
        <v>9.86</v>
      </c>
      <c r="DG24" s="1502"/>
      <c r="DH24" s="1502"/>
      <c r="DI24" s="1502">
        <v>10.96</v>
      </c>
      <c r="DJ24" s="1502">
        <v>2.0699999999999998</v>
      </c>
      <c r="DK24" s="1502">
        <v>2.5299999999999998</v>
      </c>
      <c r="DL24" s="1502">
        <v>0.39</v>
      </c>
      <c r="DM24" s="1502">
        <v>45.68</v>
      </c>
      <c r="DN24" s="1502">
        <v>5.86</v>
      </c>
      <c r="DO24" s="1502">
        <v>62.09</v>
      </c>
      <c r="DP24" s="1502">
        <v>7.39</v>
      </c>
      <c r="DQ24" s="1502">
        <v>75.22</v>
      </c>
      <c r="DR24" s="1502">
        <v>8.11</v>
      </c>
      <c r="DS24" s="1502">
        <v>91.21</v>
      </c>
      <c r="DT24" s="1502">
        <v>9</v>
      </c>
      <c r="DU24" s="1502">
        <v>11.42</v>
      </c>
      <c r="DV24" s="1502">
        <v>1.97</v>
      </c>
      <c r="DW24" s="1502">
        <v>13.32</v>
      </c>
      <c r="DX24" s="1502">
        <v>2.2999999999999998</v>
      </c>
    </row>
    <row r="25" spans="1:128" ht="18.75" customHeight="1">
      <c r="A25" s="1497"/>
      <c r="B25" s="1498" t="s">
        <v>958</v>
      </c>
      <c r="C25" s="1508" t="s">
        <v>585</v>
      </c>
      <c r="D25" s="1500" t="str">
        <f>IF($D$2=40.5,AO31,IF($D$2=41.5,AO32,IF($D$2=42.5,AO33,IF($D$2=43.5,AO34,IF($D$2=44.5,AO35,IF($D$2=45.5,AO36,IF($D$2=46.5,AO37,)))))))&amp;
IF($D$2=47.5,AO38,IF($D$2=48.5,AO39,IF($D$2=49.5,AO40,IF($D$2=50.5,AO41,IF($D$2=51.5,AO42,IF($D$2=52.5,AO43,IF($D$2=53.5,AO44,)))))))&amp;
IF($D$2=54.5,AO45,IF($D$2=55.5,AO46,IF($D$2=56.5,AO47,IF($D$2=57.5,AO48,IF($D$2=15.5,AO6,IF($D$2=16.5,AO7,IF($D$2=17.5,AO8,)))))))&amp;
IF($D$2=18.5,AO9,IF($D$2=19.5,AO10,IF($D$2=20.5,AO11,IF($D$2=21.5,AO12,IF($D$2=22.5,AO13,IF($D$2=23.5,AO14,IF($D$2=24.5,AO15,)))))))&amp;IF($D$2=25.5,AO16,IF($D$2=26.5,AO17,IF($D$2=39.5,AO30,)))&amp;IF($D$2=31.5,AO22,IF($D$2=32.5,AO23,IF($D$2=33.5,AO24,IF($D$2=34.5,AO25,IF($D$2=35.5,AO26,IF($D$2=36.5,AO27,IF($D$2=37.5,AO28,IF($C$2=38.5,AO29,))))))))&amp;IF($D$2=27.5,AO18,IF($D$2=28.5,AO19,IF($D$2=29.5,AO20,IF($D$2=30.5,AO21,))))</f>
        <v>16.55</v>
      </c>
      <c r="E25" s="1500" t="str">
        <f>IF($D$2=40.5,AP31,IF($D$2=41.5,AP32,IF($D$2=42.5,AP33,IF($D$2=43.5,AP34,IF($D$2=44.5,AP35,IF($D$2=45.5,AP36,IF($D$2=46.5,AP37,)))))))&amp;
IF($D$2=47.5,AP38,IF($D$2=48.5,AP39,IF($D$2=49.5,AP40,IF($D$2=50.5,AP41,IF($D$2=51.5,AP42,IF($D$2=52.5,AP43,IF($D$2=53.5,AP44,)))))))&amp;
IF($D$2=54.5,AP45,IF($D$2=55.5,AP46,IF($D$2=56.5,AP47,IF($D$2=57.5,AP48,IF($D$2=15.5,AP6,IF($D$2=16.5,AP7,IF($D$2=17.5,AP8,)))))))&amp;
IF($D$2=18.5,AP9,IF($D$2=19.5,AP10,IF($D$2=20.5,AP11,IF($D$2=21.5,AP12,IF($D$2=22.5,AP13,IF($D$2=23.5,AP14,IF($D$2=24.5,AP15,)))))))&amp;IF($D$2=25.5,AP16,IF($D$2=26.5,AP17,IF($D$2=39.5,AP30,)))&amp;IF($D$2=31.5,AP22,IF($D$2=32.5,AP23,IF($D$2=33.5,AP24,IF($D$2=34.5,AP25,IF($D$2=35.5,AP26,IF($D$2=36.5,AP27,IF($D$2=37.5,AP28,IF($C$2=38.5,AP29,))))))))&amp;IF($D$2=27.5,AP18,IF($D$2=28.5,AP19,IF($D$2=29.5,AP20,IF($D$2=30.5,AP21,))))</f>
        <v>2.75</v>
      </c>
      <c r="F25" s="1501">
        <f t="shared" ref="F25:F30" si="4">E25*1.25</f>
        <v>3.4375</v>
      </c>
      <c r="G25" s="1501">
        <f>D25+E25</f>
        <v>19.3</v>
      </c>
      <c r="H25" s="1501">
        <f>D25+F25</f>
        <v>19.987500000000001</v>
      </c>
      <c r="I25" s="1367"/>
      <c r="J25" s="1367"/>
      <c r="K25" s="1367"/>
      <c r="L25" s="1502">
        <v>34.5</v>
      </c>
      <c r="M25" s="1502">
        <v>1.57</v>
      </c>
      <c r="N25" s="1502">
        <v>0.22</v>
      </c>
      <c r="O25" s="1505">
        <v>3.28</v>
      </c>
      <c r="P25" s="1505">
        <v>0.55000000000000004</v>
      </c>
      <c r="Q25" s="1505">
        <v>4.99</v>
      </c>
      <c r="R25" s="1505">
        <v>0.78</v>
      </c>
      <c r="S25" s="1505">
        <v>19.329999999999998</v>
      </c>
      <c r="T25" s="1505">
        <v>3.51</v>
      </c>
      <c r="U25" s="1505">
        <v>37.39</v>
      </c>
      <c r="V25" s="1505">
        <v>10.8</v>
      </c>
      <c r="W25" s="1505">
        <v>19.350000000000001</v>
      </c>
      <c r="X25" s="1505">
        <v>3.06</v>
      </c>
      <c r="Y25" s="1505">
        <v>6.99</v>
      </c>
      <c r="Z25" s="1505">
        <v>1.7</v>
      </c>
      <c r="AA25" s="1505">
        <v>31.27</v>
      </c>
      <c r="AB25" s="1505">
        <v>3.34</v>
      </c>
      <c r="AC25" s="1505">
        <v>37.42</v>
      </c>
      <c r="AD25" s="1505">
        <v>5.18</v>
      </c>
      <c r="AE25" s="1505">
        <v>65.069999999999993</v>
      </c>
      <c r="AF25" s="1505">
        <v>4.66</v>
      </c>
      <c r="AG25" s="1505">
        <v>62.43</v>
      </c>
      <c r="AH25" s="1505">
        <v>19</v>
      </c>
      <c r="AI25" s="1502">
        <v>37.07</v>
      </c>
      <c r="AJ25" s="1502">
        <v>6.52</v>
      </c>
      <c r="AK25" s="1502">
        <v>8.7100000000000009</v>
      </c>
      <c r="AL25" s="1502">
        <v>1.46</v>
      </c>
      <c r="AM25" s="1505">
        <v>44.87</v>
      </c>
      <c r="AN25" s="1505">
        <v>12.96</v>
      </c>
      <c r="AO25" s="1505">
        <v>16.39</v>
      </c>
      <c r="AP25" s="1505">
        <v>2.75</v>
      </c>
      <c r="AQ25" s="1505">
        <v>53.35</v>
      </c>
      <c r="AR25" s="1505">
        <v>20.9</v>
      </c>
      <c r="AS25" s="1505">
        <v>21.22</v>
      </c>
      <c r="AT25" s="1505">
        <v>4.2</v>
      </c>
      <c r="AU25" s="1505">
        <v>65.5</v>
      </c>
      <c r="AV25" s="1505">
        <v>25.71</v>
      </c>
      <c r="AW25" s="1505">
        <v>6.81</v>
      </c>
      <c r="AX25" s="1505">
        <v>1.66</v>
      </c>
      <c r="AY25" s="1502">
        <v>9.33</v>
      </c>
      <c r="AZ25" s="1502">
        <v>2.11</v>
      </c>
      <c r="BA25" s="1506">
        <v>11.39</v>
      </c>
      <c r="BB25" s="1506">
        <v>3.38</v>
      </c>
      <c r="BC25" s="1505">
        <v>10.1</v>
      </c>
      <c r="BD25" s="1505">
        <v>1.75</v>
      </c>
      <c r="BE25" s="1505">
        <v>7.3</v>
      </c>
      <c r="BF25" s="1505">
        <v>0.62</v>
      </c>
      <c r="BG25" s="1505">
        <v>6.77</v>
      </c>
      <c r="BH25" s="1505">
        <v>0.88</v>
      </c>
      <c r="BI25" s="1505">
        <v>15.72</v>
      </c>
      <c r="BJ25" s="1505">
        <v>2.21</v>
      </c>
      <c r="BK25" s="1505">
        <v>21.72</v>
      </c>
      <c r="BL25" s="1505">
        <v>3.05</v>
      </c>
      <c r="BM25" s="1505">
        <v>32.299999999999997</v>
      </c>
      <c r="BN25" s="1505">
        <v>4.54</v>
      </c>
      <c r="BO25" s="1505">
        <v>47.3</v>
      </c>
      <c r="BP25" s="1505">
        <v>6.64</v>
      </c>
      <c r="BQ25" s="1502">
        <v>1.9</v>
      </c>
      <c r="BR25" s="1506">
        <v>0.49</v>
      </c>
      <c r="BS25" s="1505">
        <v>2.62</v>
      </c>
      <c r="BT25" s="1505">
        <v>0.68</v>
      </c>
      <c r="BU25" s="1505">
        <v>3.9</v>
      </c>
      <c r="BV25" s="1505">
        <v>1</v>
      </c>
      <c r="BW25" s="1505">
        <v>5.71</v>
      </c>
      <c r="BX25" s="1505">
        <v>1.47</v>
      </c>
      <c r="BY25" s="1505">
        <v>420.36</v>
      </c>
      <c r="BZ25" s="1505">
        <v>16.77</v>
      </c>
      <c r="CA25" s="1505">
        <v>13.03</v>
      </c>
      <c r="CB25" s="1505">
        <v>2.82</v>
      </c>
      <c r="CC25" s="1505">
        <v>10.01</v>
      </c>
      <c r="CD25" s="1505">
        <v>2.2799999999999998</v>
      </c>
      <c r="CE25" s="1505">
        <v>177.5</v>
      </c>
      <c r="CF25" s="1505">
        <v>35.15</v>
      </c>
      <c r="CG25" s="1502">
        <v>14.27</v>
      </c>
      <c r="CH25" s="1502">
        <v>1.74</v>
      </c>
      <c r="CI25" s="1502">
        <v>15.26</v>
      </c>
      <c r="CJ25" s="1502">
        <v>5.34</v>
      </c>
      <c r="CK25" s="1502">
        <v>10.44</v>
      </c>
      <c r="CL25" s="1502">
        <v>1.92</v>
      </c>
      <c r="CM25" s="1502">
        <v>22.08</v>
      </c>
      <c r="CN25" s="1502">
        <v>2.5299999999999998</v>
      </c>
      <c r="CO25" s="1502">
        <v>13.28</v>
      </c>
      <c r="CP25" s="1502">
        <v>2.39</v>
      </c>
      <c r="CQ25" s="1502">
        <v>8.89</v>
      </c>
      <c r="CR25" s="1502">
        <v>1.06</v>
      </c>
      <c r="CS25" s="1502">
        <v>34.74</v>
      </c>
      <c r="CT25" s="1502">
        <v>11.03</v>
      </c>
      <c r="CU25" s="1502">
        <v>44.45</v>
      </c>
      <c r="CV25" s="1502">
        <v>5.29</v>
      </c>
      <c r="CW25" s="1502">
        <v>38.21</v>
      </c>
      <c r="CX25" s="1502">
        <v>11.03</v>
      </c>
      <c r="CY25" s="1502">
        <v>44.45</v>
      </c>
      <c r="CZ25" s="1502">
        <v>5.29</v>
      </c>
      <c r="DA25" s="1502">
        <v>23.6</v>
      </c>
      <c r="DB25" s="1502">
        <v>5.92</v>
      </c>
      <c r="DC25" s="1502">
        <v>29.5</v>
      </c>
      <c r="DD25" s="1502">
        <v>7.39</v>
      </c>
      <c r="DE25" s="1502">
        <v>39.33</v>
      </c>
      <c r="DF25" s="1502">
        <v>9.86</v>
      </c>
      <c r="DG25" s="1502"/>
      <c r="DH25" s="1502"/>
      <c r="DI25" s="1502">
        <v>11.14</v>
      </c>
      <c r="DJ25" s="1502">
        <v>2.0699999999999998</v>
      </c>
      <c r="DK25" s="1502">
        <v>2.58</v>
      </c>
      <c r="DL25" s="1502">
        <v>0.39</v>
      </c>
      <c r="DM25" s="1502">
        <v>46.01</v>
      </c>
      <c r="DN25" s="1502">
        <v>5.86</v>
      </c>
      <c r="DO25" s="1502">
        <v>62.47</v>
      </c>
      <c r="DP25" s="1502">
        <v>7.39</v>
      </c>
      <c r="DQ25" s="1502">
        <v>75.69</v>
      </c>
      <c r="DR25" s="1502">
        <v>8.11</v>
      </c>
      <c r="DS25" s="1502">
        <v>91.77</v>
      </c>
      <c r="DT25" s="1502">
        <v>9</v>
      </c>
      <c r="DU25" s="1502">
        <v>11.61</v>
      </c>
      <c r="DV25" s="1502">
        <v>1.97</v>
      </c>
      <c r="DW25" s="1502">
        <v>13.54</v>
      </c>
      <c r="DX25" s="1502">
        <v>2.2999999999999998</v>
      </c>
    </row>
    <row r="26" spans="1:128" ht="18.75" customHeight="1">
      <c r="A26" s="1497"/>
      <c r="B26" s="1498" t="s">
        <v>584</v>
      </c>
      <c r="C26" s="1508" t="s">
        <v>585</v>
      </c>
      <c r="D26" s="1500" t="str">
        <f>IF($D$2=40.5,AQ31,IF($D$2=41.5,AQ32,IF($D$2=42.5,AQ33,IF($D$2=43.5,AQ34,IF($D$2=44.5,AQ35,IF($D$2=45.5,AQ36,IF($D$2=46.5,AQ37,)))))))&amp;
IF($D$2=47.5,AQ38,IF($D$2=48.5,AQ39,IF($D$2=49.5,AQ40,IF($D$2=50.5,AQ41,IF($D$2=51.5,AQ42,IF($D$2=52.5,AQ43,IF($D$2=53.5,AQ44,)))))))&amp;
IF($D$2=54.5,AQ45,IF($D$2=55.5,AQ46,IF($D$2=56.5,AQ47,IF($D$2=57.5,AQ48,IF($D$2=15.5,AQ6,IF($D$2=16.5,AQ7,IF($D$2=17.5,AQ8,)))))))&amp;
IF($D$2=18.5,AQ9,IF($D$2=19.5,AQ10,IF($D$2=20.5,AQ11,IF($D$2=21.5,AQ12,IF($D$2=22.5,AQ13,IF($D$2=23.5,AQ14,IF($D$2=24.5,AQ15,)))))))&amp;IF($D$2=25.5,AQ16,IF($D$2=26.5,AQ17,IF($D$2=39.5,AQ30,)))&amp;IF($D$2=31.5,AQ22,IF($D$2=32.5,AQ23,IF($D$2=33.5,AQ24,IF($D$2=34.5,AQ25,IF($D$2=35.5,AQ26,IF($D$2=36.5,AQ27,IF($D$2=37.5,AQ28,IF($C$2=38.5,AQ29,))))))))&amp;IF($D$2=27.5,AQ18,IF($D$2=28.5,AQ19,IF($D$2=29.5,AQ20,IF($D$2=30.5,AQ21,))))</f>
        <v>53.97</v>
      </c>
      <c r="E26" s="1500" t="str">
        <f>IF($D$2=40.5,AR31,IF($D$2=41.5,AR32,IF($D$2=42.5,AR33,IF($D$2=43.5,AR34,IF($D$2=44.5,AR35,IF($D$2=45.5,AR36,IF($D$2=46.5,AR37,)))))))&amp;
IF($D$2=47.5,AR38,IF($D$2=48.5,AR39,IF($D$2=49.5,AR40,IF($D$2=50.5,AR41,IF($D$2=51.5,AR42,IF($D$2=52.5,AR43,IF($D$2=53.5,AR44,)))))))&amp;
IF($D$2=54.5,AR45,IF($D$2=55.5,AR46,IF($D$2=56.5,AR47,IF($D$2=57.5,AR48,IF($D$2=15.5,AR6,IF($D$2=16.5,AR7,IF($D$2=17.5,AR8,)))))))&amp;
IF($D$2=18.5,AR9,IF($D$2=19.5,AR10,IF($D$2=20.5,AR11,IF($D$2=21.5,AR12,IF($D$2=22.5,AR13,IF($D$2=23.5,AR14,IF($D$2=24.5,AR15,)))))))&amp;IF($D$2=25.5,AR16,IF($D$2=26.5,AR17,IF($D$2=39.5,AR30,)))&amp;IF($D$2=31.5,AR22,IF($D$2=32.5,AR23,IF($D$2=33.5,AR24,IF($D$2=34.5,AR25,IF($D$2=35.5,AR26,IF($D$2=36.5,AR27,IF($D$2=37.5,AR28,IF($C$2=38.5,AR29,))))))))&amp;IF($D$2=27.5,AR18,IF($D$2=28.5,AR19,IF($D$2=29.5,AR20,IF($D$2=30.5,AR21,))))</f>
        <v>20.9</v>
      </c>
      <c r="F26" s="1501">
        <f t="shared" si="4"/>
        <v>26.125</v>
      </c>
      <c r="G26" s="1501">
        <f>D26+E26</f>
        <v>74.87</v>
      </c>
      <c r="H26" s="1501">
        <f>D26+F26</f>
        <v>80.094999999999999</v>
      </c>
      <c r="I26" s="1367"/>
      <c r="J26" s="1367"/>
      <c r="K26" s="1367"/>
      <c r="L26" s="1502">
        <v>35.5</v>
      </c>
      <c r="M26" s="1502">
        <v>1.59</v>
      </c>
      <c r="N26" s="1502">
        <v>0.22</v>
      </c>
      <c r="O26" s="1505">
        <v>3.31</v>
      </c>
      <c r="P26" s="1505">
        <v>0.55000000000000004</v>
      </c>
      <c r="Q26" s="1505">
        <v>5.04</v>
      </c>
      <c r="R26" s="1505">
        <v>0.78</v>
      </c>
      <c r="S26" s="1505">
        <v>19.55</v>
      </c>
      <c r="T26" s="1505">
        <v>3.51</v>
      </c>
      <c r="U26" s="1505">
        <v>37.840000000000003</v>
      </c>
      <c r="V26" s="1505">
        <v>10.8</v>
      </c>
      <c r="W26" s="1505">
        <v>19.53</v>
      </c>
      <c r="X26" s="1505">
        <v>3.06</v>
      </c>
      <c r="Y26" s="1505">
        <v>7.07</v>
      </c>
      <c r="Z26" s="1505">
        <v>1.7</v>
      </c>
      <c r="AA26" s="1505">
        <v>31.65</v>
      </c>
      <c r="AB26" s="1505">
        <v>3.34</v>
      </c>
      <c r="AC26" s="1505">
        <v>37.869999999999997</v>
      </c>
      <c r="AD26" s="1505">
        <v>5.18</v>
      </c>
      <c r="AE26" s="1505">
        <v>65.5</v>
      </c>
      <c r="AF26" s="1505">
        <v>4.66</v>
      </c>
      <c r="AG26" s="1505">
        <v>63.37</v>
      </c>
      <c r="AH26" s="1505">
        <v>19</v>
      </c>
      <c r="AI26" s="1502">
        <v>27.38</v>
      </c>
      <c r="AJ26" s="1502">
        <v>6.52</v>
      </c>
      <c r="AK26" s="1502">
        <v>8.7899999999999991</v>
      </c>
      <c r="AL26" s="1502">
        <v>1.46</v>
      </c>
      <c r="AM26" s="1505">
        <v>45.41</v>
      </c>
      <c r="AN26" s="1505">
        <v>12.96</v>
      </c>
      <c r="AO26" s="1505">
        <v>16.55</v>
      </c>
      <c r="AP26" s="1505">
        <v>2.75</v>
      </c>
      <c r="AQ26" s="1505">
        <v>53.97</v>
      </c>
      <c r="AR26" s="1505">
        <v>20.9</v>
      </c>
      <c r="AS26" s="1505">
        <v>21.37</v>
      </c>
      <c r="AT26" s="1505">
        <v>4.2</v>
      </c>
      <c r="AU26" s="1505">
        <v>66.28</v>
      </c>
      <c r="AV26" s="1505">
        <v>25.71</v>
      </c>
      <c r="AW26" s="1505">
        <v>6.88</v>
      </c>
      <c r="AX26" s="1505">
        <v>1.66</v>
      </c>
      <c r="AY26" s="1502">
        <v>9.43</v>
      </c>
      <c r="AZ26" s="1502">
        <v>2.11</v>
      </c>
      <c r="BA26" s="1506">
        <v>11.51</v>
      </c>
      <c r="BB26" s="1506">
        <v>3.38</v>
      </c>
      <c r="BC26" s="1505">
        <v>10.199999999999999</v>
      </c>
      <c r="BD26" s="1505">
        <v>1.75</v>
      </c>
      <c r="BE26" s="1505">
        <v>7.43</v>
      </c>
      <c r="BF26" s="1505">
        <v>0.62</v>
      </c>
      <c r="BG26" s="1505">
        <v>6.89</v>
      </c>
      <c r="BH26" s="1505">
        <v>0.88</v>
      </c>
      <c r="BI26" s="1505">
        <v>15.98</v>
      </c>
      <c r="BJ26" s="1505">
        <v>2.21</v>
      </c>
      <c r="BK26" s="1505">
        <v>22.08</v>
      </c>
      <c r="BL26" s="1505">
        <v>3.05</v>
      </c>
      <c r="BM26" s="1505">
        <v>32.83</v>
      </c>
      <c r="BN26" s="1505">
        <v>4.54</v>
      </c>
      <c r="BO26" s="1505">
        <v>48.08</v>
      </c>
      <c r="BP26" s="1505">
        <v>6.64</v>
      </c>
      <c r="BQ26" s="1502">
        <v>1.92</v>
      </c>
      <c r="BR26" s="1506">
        <v>0.49</v>
      </c>
      <c r="BS26" s="1505">
        <v>2.65</v>
      </c>
      <c r="BT26" s="1505">
        <v>0.68</v>
      </c>
      <c r="BU26" s="1505">
        <v>3.94</v>
      </c>
      <c r="BV26" s="1505">
        <v>1</v>
      </c>
      <c r="BW26" s="1505">
        <v>5.77</v>
      </c>
      <c r="BX26" s="1505">
        <v>1.47</v>
      </c>
      <c r="BY26" s="1505">
        <v>431.14</v>
      </c>
      <c r="BZ26" s="1505">
        <v>16.77</v>
      </c>
      <c r="CA26" s="1505">
        <v>13.19</v>
      </c>
      <c r="CB26" s="1505">
        <v>2.82</v>
      </c>
      <c r="CC26" s="1505">
        <v>10.130000000000001</v>
      </c>
      <c r="CD26" s="1505">
        <v>2.2799999999999998</v>
      </c>
      <c r="CE26" s="1505">
        <v>180.97</v>
      </c>
      <c r="CF26" s="1505">
        <v>35.15</v>
      </c>
      <c r="CG26" s="1502">
        <v>14.54</v>
      </c>
      <c r="CH26" s="1502">
        <v>1.74</v>
      </c>
      <c r="CI26" s="1502">
        <v>15.26</v>
      </c>
      <c r="CJ26" s="1502">
        <v>5.34</v>
      </c>
      <c r="CK26" s="1502">
        <v>10.49</v>
      </c>
      <c r="CL26" s="1502">
        <v>1.92</v>
      </c>
      <c r="CM26" s="1502">
        <v>22.32</v>
      </c>
      <c r="CN26" s="1502">
        <v>2.5299999999999998</v>
      </c>
      <c r="CO26" s="1502">
        <v>13.5</v>
      </c>
      <c r="CP26" s="1502">
        <v>2.39</v>
      </c>
      <c r="CQ26" s="1502">
        <v>9.0299999999999994</v>
      </c>
      <c r="CR26" s="1502">
        <v>1.06</v>
      </c>
      <c r="CS26" s="1502">
        <v>35.14</v>
      </c>
      <c r="CT26" s="1502">
        <v>11.03</v>
      </c>
      <c r="CU26" s="1502">
        <v>45.13</v>
      </c>
      <c r="CV26" s="1502">
        <v>5.29</v>
      </c>
      <c r="CW26" s="1502">
        <v>38.659999999999997</v>
      </c>
      <c r="CX26" s="1502">
        <v>11.03</v>
      </c>
      <c r="CY26" s="1502">
        <v>45.13</v>
      </c>
      <c r="CZ26" s="1502">
        <v>5.29</v>
      </c>
      <c r="DA26" s="1502">
        <v>23.74</v>
      </c>
      <c r="DB26" s="1502">
        <v>5.92</v>
      </c>
      <c r="DC26" s="1502">
        <v>29.67</v>
      </c>
      <c r="DD26" s="1502">
        <v>7.39</v>
      </c>
      <c r="DE26" s="1502">
        <v>39.57</v>
      </c>
      <c r="DF26" s="1502">
        <v>9.86</v>
      </c>
      <c r="DG26" s="1502"/>
      <c r="DH26" s="1502"/>
      <c r="DI26" s="1502">
        <v>11.31</v>
      </c>
      <c r="DJ26" s="1502">
        <v>2.0699999999999998</v>
      </c>
      <c r="DK26" s="1502">
        <v>2.62</v>
      </c>
      <c r="DL26" s="1502">
        <v>0.39</v>
      </c>
      <c r="DM26" s="1502">
        <v>46.33</v>
      </c>
      <c r="DN26" s="1502">
        <v>5.86</v>
      </c>
      <c r="DO26" s="1502">
        <v>62.85</v>
      </c>
      <c r="DP26" s="1502">
        <v>7.39</v>
      </c>
      <c r="DQ26" s="1502">
        <v>76.150000000000006</v>
      </c>
      <c r="DR26" s="1502">
        <v>8.11</v>
      </c>
      <c r="DS26" s="1502">
        <v>92.34</v>
      </c>
      <c r="DT26" s="1502">
        <v>9</v>
      </c>
      <c r="DU26" s="1502">
        <v>11.8</v>
      </c>
      <c r="DV26" s="1502">
        <v>1.97</v>
      </c>
      <c r="DW26" s="1502">
        <v>13.77</v>
      </c>
      <c r="DX26" s="1502">
        <v>2.2999999999999998</v>
      </c>
    </row>
    <row r="27" spans="1:128" ht="18.75" customHeight="1">
      <c r="A27" s="1497">
        <v>6</v>
      </c>
      <c r="B27" s="1498" t="s">
        <v>961</v>
      </c>
      <c r="C27" s="1508"/>
      <c r="D27" s="1509"/>
      <c r="E27" s="1509"/>
      <c r="F27" s="1501"/>
      <c r="G27" s="1501"/>
      <c r="H27" s="1501"/>
      <c r="I27" s="1367"/>
      <c r="J27" s="1367"/>
      <c r="K27" s="1367"/>
      <c r="L27" s="1522">
        <v>36.5</v>
      </c>
      <c r="M27" s="1522">
        <v>1.21</v>
      </c>
      <c r="N27" s="1522">
        <v>0.16</v>
      </c>
      <c r="O27" s="1523">
        <v>2.83</v>
      </c>
      <c r="P27" s="1523">
        <v>0.46</v>
      </c>
      <c r="Q27" s="1523">
        <v>4.34</v>
      </c>
      <c r="R27" s="1523">
        <v>0.66</v>
      </c>
      <c r="S27" s="1523">
        <v>17.13</v>
      </c>
      <c r="T27" s="1523">
        <v>3.47</v>
      </c>
      <c r="U27" s="1523">
        <v>31.23</v>
      </c>
      <c r="V27" s="1523">
        <v>7.92</v>
      </c>
      <c r="W27" s="1523">
        <v>17.010000000000002</v>
      </c>
      <c r="X27" s="1523">
        <v>2.93</v>
      </c>
      <c r="Y27" s="1523">
        <v>6.34</v>
      </c>
      <c r="Z27" s="1523">
        <v>1.7</v>
      </c>
      <c r="AA27" s="1523">
        <v>30.19</v>
      </c>
      <c r="AB27" s="1523">
        <v>3.34</v>
      </c>
      <c r="AC27" s="1523">
        <v>35.76</v>
      </c>
      <c r="AD27" s="1523">
        <v>5.04</v>
      </c>
      <c r="AE27" s="1523">
        <v>48.43</v>
      </c>
      <c r="AF27" s="1523">
        <v>4.66</v>
      </c>
      <c r="AG27" s="1523">
        <v>62.21</v>
      </c>
      <c r="AH27" s="1523">
        <v>19</v>
      </c>
      <c r="AI27" s="1522">
        <v>24.34</v>
      </c>
      <c r="AJ27" s="1522">
        <v>6.36</v>
      </c>
      <c r="AK27" s="1522">
        <v>7.13</v>
      </c>
      <c r="AL27" s="1522">
        <v>1.01</v>
      </c>
      <c r="AM27" s="1523">
        <v>37.47</v>
      </c>
      <c r="AN27" s="1523">
        <v>9.5</v>
      </c>
      <c r="AO27" s="1523">
        <v>13.43</v>
      </c>
      <c r="AP27" s="1523">
        <v>1.91</v>
      </c>
      <c r="AQ27" s="1523">
        <v>44</v>
      </c>
      <c r="AR27" s="1523">
        <v>15.33</v>
      </c>
      <c r="AS27" s="1523">
        <v>15.39</v>
      </c>
      <c r="AT27" s="1523">
        <v>2.91</v>
      </c>
      <c r="AU27" s="1523">
        <v>54.46</v>
      </c>
      <c r="AV27" s="1523">
        <v>19.100000000000001</v>
      </c>
      <c r="AW27" s="1523">
        <v>5.79</v>
      </c>
      <c r="AX27" s="1523">
        <v>1.3</v>
      </c>
      <c r="AY27" s="1522">
        <v>7.71</v>
      </c>
      <c r="AZ27" s="1522">
        <v>1.51</v>
      </c>
      <c r="BA27" s="1524">
        <v>9.41</v>
      </c>
      <c r="BB27" s="1524">
        <v>2.4700000000000002</v>
      </c>
      <c r="BC27" s="1523">
        <v>8.34</v>
      </c>
      <c r="BD27" s="1523">
        <v>1.25</v>
      </c>
      <c r="BE27" s="1523">
        <v>6.74</v>
      </c>
      <c r="BF27" s="1523">
        <v>0.54</v>
      </c>
      <c r="BG27" s="1523">
        <v>6.14</v>
      </c>
      <c r="BH27" s="1523">
        <v>0.77</v>
      </c>
      <c r="BI27" s="1523">
        <v>14.36</v>
      </c>
      <c r="BJ27" s="1523">
        <v>1.94</v>
      </c>
      <c r="BK27" s="1523">
        <v>19.84</v>
      </c>
      <c r="BL27" s="1523">
        <v>2.68</v>
      </c>
      <c r="BM27" s="1523">
        <v>29.5</v>
      </c>
      <c r="BN27" s="1523">
        <v>3.99</v>
      </c>
      <c r="BO27" s="1523">
        <v>43.2</v>
      </c>
      <c r="BP27" s="1523">
        <v>5.84</v>
      </c>
      <c r="BQ27" s="1522">
        <v>1.57</v>
      </c>
      <c r="BR27" s="1524">
        <v>0.49</v>
      </c>
      <c r="BS27" s="1523">
        <v>2.1800000000000002</v>
      </c>
      <c r="BT27" s="1523">
        <v>0.68</v>
      </c>
      <c r="BU27" s="1523">
        <v>3.23</v>
      </c>
      <c r="BV27" s="1523">
        <v>1</v>
      </c>
      <c r="BW27" s="1523">
        <v>4.74</v>
      </c>
      <c r="BX27" s="1523">
        <v>1.47</v>
      </c>
      <c r="BY27" s="1523">
        <v>428.87</v>
      </c>
      <c r="BZ27" s="1523">
        <v>16.77</v>
      </c>
      <c r="CA27" s="1523">
        <v>11.75</v>
      </c>
      <c r="CB27" s="1523">
        <v>2.56</v>
      </c>
      <c r="CC27" s="1523">
        <v>8.94</v>
      </c>
      <c r="CD27" s="1523">
        <v>2.1</v>
      </c>
      <c r="CE27" s="1523">
        <v>175.59</v>
      </c>
      <c r="CF27" s="1523">
        <v>34.07</v>
      </c>
      <c r="CG27" s="1522">
        <v>13.71</v>
      </c>
      <c r="CH27" s="1522">
        <v>1.52</v>
      </c>
      <c r="CI27" s="1522">
        <v>7.81</v>
      </c>
      <c r="CJ27" s="1522">
        <v>3.69</v>
      </c>
      <c r="CK27" s="1522">
        <v>7.9</v>
      </c>
      <c r="CL27" s="1522">
        <v>1.92</v>
      </c>
      <c r="CM27" s="1522">
        <v>20.78</v>
      </c>
      <c r="CN27" s="1522">
        <v>2.4500000000000002</v>
      </c>
      <c r="CO27" s="1522">
        <v>11.97</v>
      </c>
      <c r="CP27" s="1522">
        <v>2.34</v>
      </c>
      <c r="CQ27" s="1522">
        <v>7.51</v>
      </c>
      <c r="CR27" s="1522">
        <v>0.71</v>
      </c>
      <c r="CS27" s="1522">
        <v>35.14</v>
      </c>
      <c r="CT27" s="1522">
        <v>11.03</v>
      </c>
      <c r="CU27" s="1522">
        <v>37.56</v>
      </c>
      <c r="CV27" s="1522">
        <v>3.53</v>
      </c>
      <c r="CW27" s="1522">
        <v>38.659999999999997</v>
      </c>
      <c r="CX27" s="1522">
        <v>11.03</v>
      </c>
      <c r="CY27" s="1522">
        <v>37.56</v>
      </c>
      <c r="CZ27" s="1522">
        <v>3.53</v>
      </c>
      <c r="DA27" s="1522">
        <v>24.42</v>
      </c>
      <c r="DB27" s="1522">
        <v>10.73</v>
      </c>
      <c r="DC27" s="1522">
        <v>30.53</v>
      </c>
      <c r="DD27" s="1522">
        <v>13.41</v>
      </c>
      <c r="DE27" s="1522">
        <v>40.700000000000003</v>
      </c>
      <c r="DF27" s="1522">
        <v>17.88</v>
      </c>
      <c r="DG27" s="1522"/>
      <c r="DH27" s="1522"/>
      <c r="DI27" s="1522">
        <v>10.42</v>
      </c>
      <c r="DJ27" s="1522">
        <v>1.93</v>
      </c>
      <c r="DK27" s="1522">
        <v>2.44</v>
      </c>
      <c r="DL27" s="1522">
        <v>0.36</v>
      </c>
      <c r="DM27" s="1522">
        <v>38.04</v>
      </c>
      <c r="DN27" s="1522">
        <v>5.56</v>
      </c>
      <c r="DO27" s="1522">
        <v>50.28</v>
      </c>
      <c r="DP27" s="1522">
        <v>7.06</v>
      </c>
      <c r="DQ27" s="1522">
        <v>60.83</v>
      </c>
      <c r="DR27" s="1522">
        <v>7.75</v>
      </c>
      <c r="DS27" s="1522">
        <v>73.67</v>
      </c>
      <c r="DT27" s="1522">
        <v>8.59</v>
      </c>
      <c r="DU27" s="1522">
        <v>11.09</v>
      </c>
      <c r="DV27" s="1522">
        <v>1.72</v>
      </c>
      <c r="DW27" s="1522">
        <v>12.94</v>
      </c>
      <c r="DX27" s="1522">
        <v>2</v>
      </c>
    </row>
    <row r="28" spans="1:128" ht="18.75" customHeight="1">
      <c r="A28" s="1497"/>
      <c r="B28" s="1498" t="s">
        <v>962</v>
      </c>
      <c r="C28" s="1508" t="s">
        <v>585</v>
      </c>
      <c r="D28" s="1500" t="str">
        <f>IF($D$2=40.5,AS31,IF($D$2=41.5,AS32,IF($D$2=42.5,AS33,IF($D$2=43.5,AS34,IF($D$2=44.5,AS35,IF($D$2=45.5,AS36,IF($D$2=46.5,AS37,)))))))&amp;
IF($D$2=47.5,AS38,IF($D$2=48.5,AS39,IF($D$2=49.5,AS40,IF($D$2=50.5,AS41,IF($D$2=51.5,AS42,IF($D$2=52.5,AS43,IF($D$2=53.5,AS44,)))))))&amp;
IF($D$2=54.5,AS45,IF($D$2=55.5,AS46,IF($D$2=56.5,AS47,IF($D$2=57.5,AS48,IF($D$2=15.5,AS6,IF($D$2=16.5,AS7,IF($D$2=17.5,AS8,)))))))&amp;
IF($D$2=18.5,AS9,IF($D$2=19.5,AS10,IF($D$2=20.5,AS11,IF($D$2=21.5,AS12,IF($D$2=22.5,AS13,IF($D$2=23.5,AS14,IF($D$2=24.5,AS15,)))))))&amp;IF($D$2=25.5,AS16,IF($D$2=26.5,AS17,IF($D$2=39.5,AS30,)))&amp;IF($D$2=31.5,AS22,IF($D$2=32.5,AS23,IF($D$2=33.5,AS24,IF($D$2=34.5,AS25,IF($D$2=35.5,AS26,IF($D$2=36.5,AS27,IF($D$2=37.5,AS28,IF($C$2=38.5,AS29,))))))))&amp;IF($D$2=27.5,AS18,IF($D$2=28.5,AS19,IF($D$2=29.5,AS20,IF($D$2=30.5,AS21,))))</f>
        <v>21.37</v>
      </c>
      <c r="E28" s="1500" t="str">
        <f>IF($D$2=40.5,AT31,IF($D$2=41.5,AT32,IF($D$2=42.5,AT33,IF($D$2=43.5,AT34,IF($D$2=44.5,AT35,IF($D$2=45.5,AT36,IF($D$2=46.5,AT37,)))))))&amp;
IF($D$2=47.5,AT38,IF($D$2=48.5,AT39,IF($D$2=49.5,AT40,IF($D$2=50.5,AT41,IF($D$2=51.5,AT42,IF($D$2=52.5,AT43,IF($D$2=53.5,AT44,)))))))&amp;
IF($D$2=54.5,AT45,IF($D$2=55.5,AT46,IF($D$2=56.5,AT47,IF($D$2=57.5,AT48,IF($D$2=15.5,AT6,IF($D$2=16.5,AT7,IF($D$2=17.5,AT8,)))))))&amp;
IF($D$2=18.5,AT9,IF($D$2=19.5,AT10,IF($D$2=20.5,AT11,IF($D$2=21.5,AT12,IF($D$2=22.5,AT13,IF($D$2=23.5,AT14,IF($D$2=24.5,AT15,)))))))&amp;IF($D$2=25.5,AT16,IF($D$2=26.5,AT17,IF($D$2=39.5,AT30,)))&amp;IF($D$2=31.5,AT22,IF($D$2=32.5,AT23,IF($D$2=33.5,AT24,IF($D$2=34.5,AT25,IF($D$2=35.5,AT26,IF($D$2=36.5,AT27,IF($D$2=37.5,AT28,IF($C$2=38.5,AT29,))))))))&amp;IF($D$2=27.5,AT18,IF($D$2=28.5,AT19,IF($D$2=29.5,AT20,IF($D$2=30.5,AT21,))))</f>
        <v>4.2</v>
      </c>
      <c r="F28" s="1501">
        <f t="shared" si="4"/>
        <v>5.25</v>
      </c>
      <c r="G28" s="1501">
        <f>D28+E28</f>
        <v>25.57</v>
      </c>
      <c r="H28" s="1501">
        <f>D28+F28</f>
        <v>26.62</v>
      </c>
      <c r="I28" s="1367"/>
      <c r="J28" s="1367"/>
      <c r="K28" s="1367"/>
      <c r="L28" s="1522">
        <v>37.5</v>
      </c>
      <c r="M28" s="1522">
        <v>1.23</v>
      </c>
      <c r="N28" s="1522">
        <v>0.16</v>
      </c>
      <c r="O28" s="1523">
        <v>2.86</v>
      </c>
      <c r="P28" s="1523">
        <v>0.46</v>
      </c>
      <c r="Q28" s="1523">
        <v>4.3899999999999997</v>
      </c>
      <c r="R28" s="1523">
        <v>0.66</v>
      </c>
      <c r="S28" s="1523">
        <v>17.350000000000001</v>
      </c>
      <c r="T28" s="1523">
        <v>3.47</v>
      </c>
      <c r="U28" s="1523">
        <v>31.68</v>
      </c>
      <c r="V28" s="1523">
        <v>7.92</v>
      </c>
      <c r="W28" s="1523">
        <v>17.190000000000001</v>
      </c>
      <c r="X28" s="1523">
        <v>2.93</v>
      </c>
      <c r="Y28" s="1523">
        <v>6.43</v>
      </c>
      <c r="Z28" s="1523">
        <v>1.7</v>
      </c>
      <c r="AA28" s="1523">
        <v>30.57</v>
      </c>
      <c r="AB28" s="1523">
        <v>3.34</v>
      </c>
      <c r="AC28" s="1523">
        <v>36.21</v>
      </c>
      <c r="AD28" s="1523">
        <v>5.04</v>
      </c>
      <c r="AE28" s="1523">
        <v>48.86</v>
      </c>
      <c r="AF28" s="1523">
        <v>4.66</v>
      </c>
      <c r="AG28" s="1523">
        <v>63.16</v>
      </c>
      <c r="AH28" s="1523">
        <v>19</v>
      </c>
      <c r="AI28" s="1522">
        <v>24.64</v>
      </c>
      <c r="AJ28" s="1522">
        <v>6.36</v>
      </c>
      <c r="AK28" s="1522">
        <v>7.22</v>
      </c>
      <c r="AL28" s="1522">
        <v>1.01</v>
      </c>
      <c r="AM28" s="1523">
        <v>38.01</v>
      </c>
      <c r="AN28" s="1523">
        <v>9.5</v>
      </c>
      <c r="AO28" s="1523">
        <v>13.58</v>
      </c>
      <c r="AP28" s="1523">
        <v>1.91</v>
      </c>
      <c r="AQ28" s="1523">
        <v>44.62</v>
      </c>
      <c r="AR28" s="1523">
        <v>15.33</v>
      </c>
      <c r="AS28" s="1523">
        <v>15.53</v>
      </c>
      <c r="AT28" s="1523">
        <v>2.91</v>
      </c>
      <c r="AU28" s="1523">
        <v>55.24</v>
      </c>
      <c r="AV28" s="1523">
        <v>19.100000000000001</v>
      </c>
      <c r="AW28" s="1523">
        <v>5.86</v>
      </c>
      <c r="AX28" s="1523">
        <v>1.3</v>
      </c>
      <c r="AY28" s="1522">
        <v>7.81</v>
      </c>
      <c r="AZ28" s="1522">
        <v>1.51</v>
      </c>
      <c r="BA28" s="1524">
        <v>9.5299999999999994</v>
      </c>
      <c r="BB28" s="1524">
        <v>2.4700000000000002</v>
      </c>
      <c r="BC28" s="1523">
        <v>8.44</v>
      </c>
      <c r="BD28" s="1523">
        <v>1.25</v>
      </c>
      <c r="BE28" s="1523">
        <v>6.87</v>
      </c>
      <c r="BF28" s="1523">
        <v>0.54</v>
      </c>
      <c r="BG28" s="1523">
        <v>6.26</v>
      </c>
      <c r="BH28" s="1523">
        <v>0.77</v>
      </c>
      <c r="BI28" s="1523">
        <v>14.62</v>
      </c>
      <c r="BJ28" s="1523">
        <v>1.94</v>
      </c>
      <c r="BK28" s="1523">
        <v>20.2</v>
      </c>
      <c r="BL28" s="1523">
        <v>2.68</v>
      </c>
      <c r="BM28" s="1523">
        <v>30.3</v>
      </c>
      <c r="BN28" s="1523">
        <v>3.99</v>
      </c>
      <c r="BO28" s="1523">
        <v>43.98</v>
      </c>
      <c r="BP28" s="1523">
        <v>5.84</v>
      </c>
      <c r="BQ28" s="1522">
        <v>1.59</v>
      </c>
      <c r="BR28" s="1524">
        <v>0.49</v>
      </c>
      <c r="BS28" s="1523">
        <v>2.2000000000000002</v>
      </c>
      <c r="BT28" s="1523">
        <v>0.68</v>
      </c>
      <c r="BU28" s="1523">
        <v>3.27</v>
      </c>
      <c r="BV28" s="1523">
        <v>1</v>
      </c>
      <c r="BW28" s="1523">
        <v>4.79</v>
      </c>
      <c r="BX28" s="1523">
        <v>1.47</v>
      </c>
      <c r="BY28" s="1523">
        <v>439.66</v>
      </c>
      <c r="BZ28" s="1523">
        <v>16.77</v>
      </c>
      <c r="CA28" s="1523">
        <v>11.92</v>
      </c>
      <c r="CB28" s="1523">
        <v>2.56</v>
      </c>
      <c r="CC28" s="1523">
        <v>9.0500000000000007</v>
      </c>
      <c r="CD28" s="1523">
        <v>2.1</v>
      </c>
      <c r="CE28" s="1523">
        <v>179.05</v>
      </c>
      <c r="CF28" s="1523">
        <v>34.07</v>
      </c>
      <c r="CG28" s="1522">
        <v>13.99</v>
      </c>
      <c r="CH28" s="1522">
        <v>1.52</v>
      </c>
      <c r="CI28" s="1522">
        <v>7.81</v>
      </c>
      <c r="CJ28" s="1522">
        <v>3.69</v>
      </c>
      <c r="CK28" s="1522">
        <v>7.95</v>
      </c>
      <c r="CL28" s="1522">
        <v>1.92</v>
      </c>
      <c r="CM28" s="1522">
        <v>21.02</v>
      </c>
      <c r="CN28" s="1522">
        <v>2.4500000000000002</v>
      </c>
      <c r="CO28" s="1522">
        <v>12.2</v>
      </c>
      <c r="CP28" s="1522">
        <v>2.34</v>
      </c>
      <c r="CQ28" s="1522">
        <v>7.65</v>
      </c>
      <c r="CR28" s="1522">
        <v>0.71</v>
      </c>
      <c r="CS28" s="1522">
        <v>35.54</v>
      </c>
      <c r="CT28" s="1522">
        <v>11.03</v>
      </c>
      <c r="CU28" s="1522">
        <v>38.229999999999997</v>
      </c>
      <c r="CV28" s="1522">
        <v>3.53</v>
      </c>
      <c r="CW28" s="1522">
        <v>39.1</v>
      </c>
      <c r="CX28" s="1522">
        <v>11.03</v>
      </c>
      <c r="CY28" s="1522">
        <v>38.229999999999997</v>
      </c>
      <c r="CZ28" s="1522">
        <v>3.53</v>
      </c>
      <c r="DA28" s="1522">
        <v>24.56</v>
      </c>
      <c r="DB28" s="1522">
        <v>10.73</v>
      </c>
      <c r="DC28" s="1522">
        <v>30.71</v>
      </c>
      <c r="DD28" s="1522">
        <v>13.41</v>
      </c>
      <c r="DE28" s="1522">
        <v>40.94</v>
      </c>
      <c r="DF28" s="1522">
        <v>17.88</v>
      </c>
      <c r="DG28" s="1522"/>
      <c r="DH28" s="1522"/>
      <c r="DI28" s="1522">
        <v>10.6</v>
      </c>
      <c r="DJ28" s="1522">
        <v>1.93</v>
      </c>
      <c r="DK28" s="1522">
        <v>2.48</v>
      </c>
      <c r="DL28" s="1522">
        <v>0.36</v>
      </c>
      <c r="DM28" s="1522">
        <v>38.369999999999997</v>
      </c>
      <c r="DN28" s="1522">
        <v>5.56</v>
      </c>
      <c r="DO28" s="1522">
        <v>50.66</v>
      </c>
      <c r="DP28" s="1522">
        <v>7.06</v>
      </c>
      <c r="DQ28" s="1522">
        <v>61.29</v>
      </c>
      <c r="DR28" s="1522">
        <v>7.75</v>
      </c>
      <c r="DS28" s="1522">
        <v>74.239999999999995</v>
      </c>
      <c r="DT28" s="1522">
        <v>8.59</v>
      </c>
      <c r="DU28" s="1522">
        <v>11.29</v>
      </c>
      <c r="DV28" s="1522">
        <v>1.72</v>
      </c>
      <c r="DW28" s="1522">
        <v>13.17</v>
      </c>
      <c r="DX28" s="1522">
        <v>2</v>
      </c>
    </row>
    <row r="29" spans="1:128" ht="18.75" customHeight="1">
      <c r="A29" s="1497"/>
      <c r="B29" s="1498" t="s">
        <v>584</v>
      </c>
      <c r="C29" s="1508" t="s">
        <v>585</v>
      </c>
      <c r="D29" s="1500" t="str">
        <f>IF($D$2=40.5,AU31,IF($D$2=41.5,AU32,IF($D$2=42.5,AU33,IF($D$2=43.5,AU34,IF($D$2=44.5,AU35,IF($D$2=45.5,AU36,IF($D$2=46.5,AU37,)))))))&amp;
IF($D$2=47.5,AU38,IF($D$2=48.5,AU39,IF($D$2=49.5,AU40,IF($D$2=50.5,AU41,IF($D$2=51.5,AU42,IF($D$2=52.5,AU43,IF($D$2=53.5,AU44,)))))))&amp;
IF($D$2=54.5,AU45,IF($D$2=55.5,AU46,IF($D$2=56.5,AU47,IF($D$2=57.5,AU48,IF($D$2=15.5,AU6,IF($D$2=16.5,AU7,IF($D$2=17.5,AU8,)))))))&amp;
IF($D$2=18.5,AU9,IF($D$2=19.5,AU10,IF($D$2=20.5,AU11,IF($D$2=21.5,AU12,IF($D$2=22.5,AU13,IF($D$2=23.5,AU14,IF($D$2=24.5,AU15,)))))))&amp;IF($D$2=25.5,AU16,IF($D$2=26.5,AU17,IF($D$2=39.5,AU30,)))&amp;IF($D$2=31.5,AU22,IF($D$2=32.5,AU23,IF($D$2=33.5,AU24,IF($D$2=34.5,AU25,IF($D$2=35.5,AU26,IF($D$2=36.5,AU27,IF($D$2=37.5,AU28,IF($C$2=38.5,AU29,))))))))&amp;IF($D$2=27.5,AU18,IF($D$2=28.5,AU19,IF($D$2=29.5,AU20,IF($D$2=30.5,AU21,))))</f>
        <v>66.28</v>
      </c>
      <c r="E29" s="1500" t="str">
        <f>IF($D$2=40.5,AV31,IF($D$2=41.5,AV32,IF($D$2=42.5,AV33,IF($D$2=43.5,AV34,IF($D$2=44.5,AV35,IF($D$2=45.5,AV36,IF($D$2=46.5,AV37,)))))))&amp;
IF($D$2=47.5,AV38,IF($D$2=48.5,AV39,IF($D$2=49.5,AV40,IF($D$2=50.5,AV41,IF($D$2=51.5,AV42,IF($D$2=52.5,AV43,IF($D$2=53.5,AV44,)))))))&amp;
IF($D$2=54.5,AV45,IF($D$2=55.5,AV46,IF($D$2=56.5,AV47,IF($D$2=57.5,AV48,IF($D$2=15.5,AV6,IF($D$2=16.5,AV7,IF($D$2=17.5,AV8,)))))))&amp;
IF($D$2=18.5,AV9,IF($D$2=19.5,AV10,IF($D$2=20.5,AV11,IF($D$2=21.5,AV12,IF($D$2=22.5,AV13,IF($D$2=23.5,AV14,IF($D$2=24.5,AV15,)))))))&amp;IF($D$2=25.5,AV16,IF($D$2=26.5,AV17,IF($D$2=39.5,AV30,)))&amp;IF($D$2=31.5,AV22,IF($D$2=32.5,AV23,IF($D$2=33.5,AV24,IF($D$2=34.5,AV25,IF($D$2=35.5,AV26,IF($D$2=36.5,AV27,IF($D$2=37.5,AV28,IF($C$2=38.5,AV29,))))))))&amp;IF($D$2=27.5,AV18,IF($D$2=28.5,AV19,IF($D$2=29.5,AV20,IF($D$2=30.5,AV21,))))</f>
        <v>25.71</v>
      </c>
      <c r="F29" s="1501">
        <f t="shared" si="4"/>
        <v>32.137500000000003</v>
      </c>
      <c r="G29" s="1501">
        <f>D29+E29</f>
        <v>91.990000000000009</v>
      </c>
      <c r="H29" s="1501">
        <f>D29+F29</f>
        <v>98.417500000000004</v>
      </c>
      <c r="I29" s="1367"/>
      <c r="J29" s="1367"/>
      <c r="K29" s="1367"/>
      <c r="L29" s="1522">
        <v>38.5</v>
      </c>
      <c r="M29" s="1522">
        <v>1.24</v>
      </c>
      <c r="N29" s="1522">
        <v>0.16</v>
      </c>
      <c r="O29" s="1523">
        <v>2.89</v>
      </c>
      <c r="P29" s="1523">
        <v>0.46</v>
      </c>
      <c r="Q29" s="1523">
        <v>4.4400000000000004</v>
      </c>
      <c r="R29" s="1523">
        <v>0.66</v>
      </c>
      <c r="S29" s="1523">
        <v>17.559999999999999</v>
      </c>
      <c r="T29" s="1523">
        <v>3.47</v>
      </c>
      <c r="U29" s="1523">
        <v>32.130000000000003</v>
      </c>
      <c r="V29" s="1523">
        <v>7.92</v>
      </c>
      <c r="W29" s="1523">
        <v>17.38</v>
      </c>
      <c r="X29" s="1523">
        <v>2.93</v>
      </c>
      <c r="Y29" s="1523">
        <v>6.51</v>
      </c>
      <c r="Z29" s="1523">
        <v>1.7</v>
      </c>
      <c r="AA29" s="1523">
        <v>30.96</v>
      </c>
      <c r="AB29" s="1523">
        <v>3.34</v>
      </c>
      <c r="AC29" s="1523">
        <v>36.659999999999997</v>
      </c>
      <c r="AD29" s="1523">
        <v>5.04</v>
      </c>
      <c r="AE29" s="1523">
        <v>49.29</v>
      </c>
      <c r="AF29" s="1523">
        <v>4.66</v>
      </c>
      <c r="AG29" s="1523">
        <v>64.099999999999994</v>
      </c>
      <c r="AH29" s="1523">
        <v>19</v>
      </c>
      <c r="AI29" s="1522">
        <v>24.95</v>
      </c>
      <c r="AJ29" s="1522">
        <v>6.36</v>
      </c>
      <c r="AK29" s="1522">
        <v>7.3</v>
      </c>
      <c r="AL29" s="1522">
        <v>1.01</v>
      </c>
      <c r="AM29" s="1523">
        <v>38.549999999999997</v>
      </c>
      <c r="AN29" s="1523">
        <v>9.5</v>
      </c>
      <c r="AO29" s="1523">
        <v>13.74</v>
      </c>
      <c r="AP29" s="1523">
        <v>1.91</v>
      </c>
      <c r="AQ29" s="1523">
        <v>45.24</v>
      </c>
      <c r="AR29" s="1523">
        <v>15.33</v>
      </c>
      <c r="AS29" s="1523">
        <v>15.68</v>
      </c>
      <c r="AT29" s="1523">
        <v>2.91</v>
      </c>
      <c r="AU29" s="1523">
        <v>56.02</v>
      </c>
      <c r="AV29" s="1523">
        <v>19.100000000000001</v>
      </c>
      <c r="AW29" s="1523">
        <v>5.94</v>
      </c>
      <c r="AX29" s="1523">
        <v>1.3</v>
      </c>
      <c r="AY29" s="1522">
        <v>7.91</v>
      </c>
      <c r="AZ29" s="1522">
        <v>1.51</v>
      </c>
      <c r="BA29" s="1524">
        <v>9.66</v>
      </c>
      <c r="BB29" s="1524">
        <v>2.4700000000000002</v>
      </c>
      <c r="BC29" s="1523">
        <v>8.5399999999999991</v>
      </c>
      <c r="BD29" s="1523">
        <v>1.25</v>
      </c>
      <c r="BE29" s="1523">
        <v>7</v>
      </c>
      <c r="BF29" s="1523">
        <v>0.54</v>
      </c>
      <c r="BG29" s="1523">
        <v>6.38</v>
      </c>
      <c r="BH29" s="1523">
        <v>0.77</v>
      </c>
      <c r="BI29" s="1523">
        <v>14.88</v>
      </c>
      <c r="BJ29" s="1523">
        <v>1.94</v>
      </c>
      <c r="BK29" s="1523">
        <v>20.56</v>
      </c>
      <c r="BL29" s="1523">
        <v>2.68</v>
      </c>
      <c r="BM29" s="1523">
        <v>30.56</v>
      </c>
      <c r="BN29" s="1523">
        <v>3.99</v>
      </c>
      <c r="BO29" s="1523">
        <v>44.76</v>
      </c>
      <c r="BP29" s="1523">
        <v>5.84</v>
      </c>
      <c r="BQ29" s="1523">
        <v>1.61</v>
      </c>
      <c r="BR29" s="1524">
        <v>0.49</v>
      </c>
      <c r="BS29" s="1523">
        <v>2.2200000000000002</v>
      </c>
      <c r="BT29" s="1523">
        <v>0.68</v>
      </c>
      <c r="BU29" s="1523">
        <v>3.31</v>
      </c>
      <c r="BV29" s="1523">
        <v>1</v>
      </c>
      <c r="BW29" s="1523">
        <v>4.84</v>
      </c>
      <c r="BX29" s="1523">
        <v>1.47</v>
      </c>
      <c r="BY29" s="1523">
        <v>450.44</v>
      </c>
      <c r="BZ29" s="1523">
        <v>16.77</v>
      </c>
      <c r="CA29" s="1523">
        <v>12.08</v>
      </c>
      <c r="CB29" s="1523">
        <v>2.56</v>
      </c>
      <c r="CC29" s="1523">
        <v>9.16</v>
      </c>
      <c r="CD29" s="1523">
        <v>2.1</v>
      </c>
      <c r="CE29" s="1523">
        <v>182.52</v>
      </c>
      <c r="CF29" s="1523">
        <v>34.07</v>
      </c>
      <c r="CG29" s="1522">
        <v>14.26</v>
      </c>
      <c r="CH29" s="1522">
        <v>1.52</v>
      </c>
      <c r="CI29" s="1522">
        <v>7.81</v>
      </c>
      <c r="CJ29" s="1522">
        <v>3.69</v>
      </c>
      <c r="CK29" s="1522">
        <v>8</v>
      </c>
      <c r="CL29" s="1522">
        <v>1.92</v>
      </c>
      <c r="CM29" s="1522">
        <v>21.27</v>
      </c>
      <c r="CN29" s="1522">
        <v>2.4500000000000002</v>
      </c>
      <c r="CO29" s="1522">
        <v>12.42</v>
      </c>
      <c r="CP29" s="1522">
        <v>2.34</v>
      </c>
      <c r="CQ29" s="1522">
        <v>7.78</v>
      </c>
      <c r="CR29" s="1522">
        <v>0.71</v>
      </c>
      <c r="CS29" s="1522">
        <v>35.950000000000003</v>
      </c>
      <c r="CT29" s="1522">
        <v>11.03</v>
      </c>
      <c r="CU29" s="1522">
        <v>38.909999999999997</v>
      </c>
      <c r="CV29" s="1522">
        <v>3.53</v>
      </c>
      <c r="CW29" s="1522">
        <v>39.54</v>
      </c>
      <c r="CX29" s="1522">
        <v>11.03</v>
      </c>
      <c r="CY29" s="1522">
        <v>38.909999999999997</v>
      </c>
      <c r="CZ29" s="1522">
        <v>3.53</v>
      </c>
      <c r="DA29" s="1522">
        <v>24.71</v>
      </c>
      <c r="DB29" s="1522">
        <v>10.73</v>
      </c>
      <c r="DC29" s="1522">
        <v>30.88</v>
      </c>
      <c r="DD29" s="1522">
        <v>13.41</v>
      </c>
      <c r="DE29" s="1522">
        <v>41.18</v>
      </c>
      <c r="DF29" s="1522">
        <v>17.88</v>
      </c>
      <c r="DG29" s="1522"/>
      <c r="DH29" s="1522"/>
      <c r="DI29" s="1522">
        <v>10.77</v>
      </c>
      <c r="DJ29" s="1522">
        <v>1.93</v>
      </c>
      <c r="DK29" s="1522">
        <v>2.5299999999999998</v>
      </c>
      <c r="DL29" s="1522">
        <v>0.36</v>
      </c>
      <c r="DM29" s="1522">
        <v>38.69</v>
      </c>
      <c r="DN29" s="1522">
        <v>5.56</v>
      </c>
      <c r="DO29" s="1522">
        <v>51.04</v>
      </c>
      <c r="DP29" s="1522">
        <v>7.06</v>
      </c>
      <c r="DQ29" s="1522">
        <v>61.76</v>
      </c>
      <c r="DR29" s="1522">
        <v>7.75</v>
      </c>
      <c r="DS29" s="1522">
        <v>74.81</v>
      </c>
      <c r="DT29" s="1522">
        <v>8.59</v>
      </c>
      <c r="DU29" s="1522">
        <v>11.48</v>
      </c>
      <c r="DV29" s="1522">
        <v>1.72</v>
      </c>
      <c r="DW29" s="1522">
        <v>13.39</v>
      </c>
      <c r="DX29" s="1522">
        <v>2</v>
      </c>
    </row>
    <row r="30" spans="1:128" ht="18.75" customHeight="1">
      <c r="A30" s="1497">
        <v>7</v>
      </c>
      <c r="B30" s="1498" t="s">
        <v>988</v>
      </c>
      <c r="C30" s="1508" t="s">
        <v>585</v>
      </c>
      <c r="D30" s="1500" t="str">
        <f>IF($D$2=40.5,AW31,IF($D$2=41.5,AW32,IF($D$2=42.5,AW33,IF($D$2=43.5,AW34,IF($D$2=44.5,AW35,IF($D$2=45.5,AW36,IF($D$2=46.5,AW37,)))))))&amp;
IF($D$2=47.5,AW38,IF($D$2=48.5,AW39,IF($D$2=49.5,AW40,IF($D$2=50.5,AW41,IF($D$2=51.5,AW42,IF($D$2=52.5,AW43,IF($D$2=53.5,AW44,)))))))&amp;
IF($D$2=54.5,AW45,IF($D$2=55.5,AW46,IF($D$2=56.5,AW47,IF($D$2=57.5,AW48,IF($D$2=15.5,AW6,IF($D$2=16.5,AW7,IF($D$2=17.5,AW8,)))))))&amp;
IF($D$2=18.5,AW9,IF($D$2=19.5,AW10,IF($D$2=20.5,AW11,IF($D$2=21.5,AW12,IF($D$2=22.5,AW13,IF($D$2=23.5,AW14,IF($D$2=24.5,AW15,)))))))&amp;IF($D$2=25.5,AW16,IF($D$2=26.5,AW17,IF($D$2=39.5,AW30,)))&amp;IF($D$2=31.5,AW22,IF($D$2=32.5,AW23,IF($D$2=33.5,AW24,IF($D$2=34.5,AW25,IF($D$2=35.5,AW26,IF($D$2=36.5,AW27,IF($D$2=37.5,AW28,IF($C$2=38.5,AW29,))))))))&amp;IF($D$2=27.5,AW18,IF($D$2=28.5,AW19,IF($D$2=29.5,AW20,IF($D$2=30.5,AW21,))))</f>
        <v>6.88</v>
      </c>
      <c r="E30" s="1500" t="str">
        <f>IF($D$2=40.5,AX31,IF($D$2=41.5,AX32,IF($D$2=42.5,AX33,IF($D$2=43.5,AX34,IF($D$2=44.5,AX35,IF($D$2=45.5,AX36,IF($D$2=46.5,AX37,)))))))&amp;
IF($D$2=47.5,AX38,IF($D$2=48.5,AX39,IF($D$2=49.5,AX40,IF($D$2=50.5,AX41,IF($D$2=51.5,AX42,IF($D$2=52.5,AX43,IF($D$2=53.5,AX44,)))))))&amp;
IF($D$2=54.5,AX45,IF($D$2=55.5,AX46,IF($D$2=56.5,AX47,IF($D$2=57.5,AX48,IF($D$2=15.5,AX6,IF($D$2=16.5,AX7,IF($D$2=17.5,AX8,)))))))&amp;
IF($D$2=18.5,AX9,IF($D$2=19.5,AX10,IF($D$2=20.5,AX11,IF($D$2=21.5,AX12,IF($D$2=22.5,AX13,IF($D$2=23.5,AX14,IF($D$2=24.5,AX15,)))))))&amp;IF($D$2=25.5,AX16,IF($D$2=26.5,AX17,IF($D$2=39.5,AX30,)))&amp;IF($D$2=31.5,AX22,IF($D$2=32.5,AX23,IF($D$2=33.5,AX24,IF($D$2=34.5,AX25,IF($D$2=35.5,AX26,IF($D$2=36.5,AX27,IF($D$2=37.5,AX28,IF($C$2=38.5,AX29,))))))))&amp;IF($D$2=27.5,AX18,IF($D$2=28.5,AX19,IF($D$2=29.5,AX20,IF($D$2=30.5,AX21,))))</f>
        <v>1.66</v>
      </c>
      <c r="F30" s="1501">
        <f t="shared" si="4"/>
        <v>2.0749999999999997</v>
      </c>
      <c r="G30" s="1501">
        <f>D30+E30</f>
        <v>8.5399999999999991</v>
      </c>
      <c r="H30" s="1501">
        <f>D30+F30</f>
        <v>8.9550000000000001</v>
      </c>
      <c r="I30" s="1367"/>
      <c r="J30" s="1367"/>
      <c r="K30" s="1367"/>
      <c r="L30" s="1522">
        <v>39.5</v>
      </c>
      <c r="M30" s="1522">
        <v>1.25</v>
      </c>
      <c r="N30" s="1522">
        <v>0.16</v>
      </c>
      <c r="O30" s="1523">
        <v>2.93</v>
      </c>
      <c r="P30" s="1523">
        <v>0.46</v>
      </c>
      <c r="Q30" s="1523">
        <v>4.5</v>
      </c>
      <c r="R30" s="1523">
        <v>0.66</v>
      </c>
      <c r="S30" s="1523">
        <v>17.78</v>
      </c>
      <c r="T30" s="1523">
        <v>3.47</v>
      </c>
      <c r="U30" s="1523">
        <v>32.58</v>
      </c>
      <c r="V30" s="1523">
        <v>7.92</v>
      </c>
      <c r="W30" s="1523">
        <v>17.57</v>
      </c>
      <c r="X30" s="1523">
        <v>2.93</v>
      </c>
      <c r="Y30" s="1523">
        <v>6.59</v>
      </c>
      <c r="Z30" s="1523">
        <v>1.7</v>
      </c>
      <c r="AA30" s="1523">
        <v>31.35</v>
      </c>
      <c r="AB30" s="1523">
        <v>3.34</v>
      </c>
      <c r="AC30" s="1523">
        <v>37.11</v>
      </c>
      <c r="AD30" s="1523">
        <v>5.04</v>
      </c>
      <c r="AE30" s="1523">
        <v>49.72</v>
      </c>
      <c r="AF30" s="1523">
        <v>4.66</v>
      </c>
      <c r="AG30" s="1523">
        <v>65.05</v>
      </c>
      <c r="AH30" s="1523">
        <v>19</v>
      </c>
      <c r="AI30" s="1522">
        <v>25.25</v>
      </c>
      <c r="AJ30" s="1522">
        <v>6.36</v>
      </c>
      <c r="AK30" s="1522">
        <v>7.38</v>
      </c>
      <c r="AL30" s="1522">
        <v>1.01</v>
      </c>
      <c r="AM30" s="1523">
        <v>39.1</v>
      </c>
      <c r="AN30" s="1523">
        <v>9.5</v>
      </c>
      <c r="AO30" s="1523">
        <v>13.89</v>
      </c>
      <c r="AP30" s="1523">
        <v>1.91</v>
      </c>
      <c r="AQ30" s="1523">
        <v>45.87</v>
      </c>
      <c r="AR30" s="1523">
        <v>15.33</v>
      </c>
      <c r="AS30" s="1523">
        <v>15.82</v>
      </c>
      <c r="AT30" s="1523">
        <v>2.91</v>
      </c>
      <c r="AU30" s="1523">
        <v>56.8</v>
      </c>
      <c r="AV30" s="1523">
        <v>19.100000000000001</v>
      </c>
      <c r="AW30" s="1523">
        <v>6.02</v>
      </c>
      <c r="AX30" s="1523">
        <v>1.3</v>
      </c>
      <c r="AY30" s="1522">
        <v>8.01</v>
      </c>
      <c r="AZ30" s="1522">
        <v>1.51</v>
      </c>
      <c r="BA30" s="1524">
        <v>9.7799999999999994</v>
      </c>
      <c r="BB30" s="1524">
        <v>2.4700000000000002</v>
      </c>
      <c r="BC30" s="1523">
        <v>8.6300000000000008</v>
      </c>
      <c r="BD30" s="1523">
        <v>1.25</v>
      </c>
      <c r="BE30" s="1523">
        <v>7.13</v>
      </c>
      <c r="BF30" s="1523">
        <v>0.54</v>
      </c>
      <c r="BG30" s="1523">
        <v>6.5</v>
      </c>
      <c r="BH30" s="1523">
        <v>0.77</v>
      </c>
      <c r="BI30" s="1523">
        <v>15.14</v>
      </c>
      <c r="BJ30" s="1523">
        <v>1.94</v>
      </c>
      <c r="BK30" s="1523">
        <v>20.92</v>
      </c>
      <c r="BL30" s="1523">
        <v>2.68</v>
      </c>
      <c r="BM30" s="1523">
        <v>31.1</v>
      </c>
      <c r="BN30" s="1523">
        <v>3.99</v>
      </c>
      <c r="BO30" s="1523">
        <v>45.55</v>
      </c>
      <c r="BP30" s="1523">
        <v>5.84</v>
      </c>
      <c r="BQ30" s="1523">
        <v>1.63</v>
      </c>
      <c r="BR30" s="1524">
        <v>0.49</v>
      </c>
      <c r="BS30" s="1523">
        <v>2.25</v>
      </c>
      <c r="BT30" s="1523">
        <v>0.68</v>
      </c>
      <c r="BU30" s="1523">
        <v>3.35</v>
      </c>
      <c r="BV30" s="1523">
        <v>1</v>
      </c>
      <c r="BW30" s="1523">
        <v>4.9000000000000004</v>
      </c>
      <c r="BX30" s="1523">
        <v>1.47</v>
      </c>
      <c r="BY30" s="1523">
        <v>461.22</v>
      </c>
      <c r="BZ30" s="1523">
        <v>16.77</v>
      </c>
      <c r="CA30" s="1523">
        <v>12.25</v>
      </c>
      <c r="CB30" s="1523">
        <v>2.56</v>
      </c>
      <c r="CC30" s="1523">
        <v>9.27</v>
      </c>
      <c r="CD30" s="1523">
        <v>2.1</v>
      </c>
      <c r="CE30" s="1523">
        <v>185.98</v>
      </c>
      <c r="CF30" s="1523">
        <v>34.07</v>
      </c>
      <c r="CG30" s="1522">
        <v>14.34</v>
      </c>
      <c r="CH30" s="1522">
        <v>1.52</v>
      </c>
      <c r="CI30" s="1522">
        <v>7.81</v>
      </c>
      <c r="CJ30" s="1522">
        <v>3.69</v>
      </c>
      <c r="CK30" s="1522">
        <v>8.0500000000000007</v>
      </c>
      <c r="CL30" s="1522">
        <v>1.92</v>
      </c>
      <c r="CM30" s="1522">
        <v>21.51</v>
      </c>
      <c r="CN30" s="1522">
        <v>2.4500000000000002</v>
      </c>
      <c r="CO30" s="1522">
        <v>12.64</v>
      </c>
      <c r="CP30" s="1522">
        <v>2.34</v>
      </c>
      <c r="CQ30" s="1522">
        <v>7.92</v>
      </c>
      <c r="CR30" s="1522">
        <v>0.71</v>
      </c>
      <c r="CS30" s="1522">
        <v>36.35</v>
      </c>
      <c r="CT30" s="1522">
        <v>11.03</v>
      </c>
      <c r="CU30" s="1522">
        <v>39.58</v>
      </c>
      <c r="CV30" s="1522">
        <v>3.53</v>
      </c>
      <c r="CW30" s="1522">
        <v>39.979999999999997</v>
      </c>
      <c r="CX30" s="1522">
        <v>11.03</v>
      </c>
      <c r="CY30" s="1522">
        <v>39.58</v>
      </c>
      <c r="CZ30" s="1522">
        <v>3.53</v>
      </c>
      <c r="DA30" s="1522">
        <v>24.85</v>
      </c>
      <c r="DB30" s="1522">
        <v>10.73</v>
      </c>
      <c r="DC30" s="1522">
        <v>31.06</v>
      </c>
      <c r="DD30" s="1522">
        <v>13.41</v>
      </c>
      <c r="DE30" s="1522">
        <v>41.41</v>
      </c>
      <c r="DF30" s="1522">
        <v>17.88</v>
      </c>
      <c r="DG30" s="1522"/>
      <c r="DH30" s="1522"/>
      <c r="DI30" s="1522">
        <v>10.94</v>
      </c>
      <c r="DJ30" s="1522">
        <v>1.93</v>
      </c>
      <c r="DK30" s="1522">
        <v>2.57</v>
      </c>
      <c r="DL30" s="1522">
        <v>0.36</v>
      </c>
      <c r="DM30" s="1522">
        <v>39.01</v>
      </c>
      <c r="DN30" s="1522">
        <v>5.56</v>
      </c>
      <c r="DO30" s="1522">
        <v>51.42</v>
      </c>
      <c r="DP30" s="1522">
        <v>7.06</v>
      </c>
      <c r="DQ30" s="1522">
        <v>62.23</v>
      </c>
      <c r="DR30" s="1522">
        <v>7.75</v>
      </c>
      <c r="DS30" s="1522">
        <v>75.38</v>
      </c>
      <c r="DT30" s="1522">
        <v>8.59</v>
      </c>
      <c r="DU30" s="1522">
        <v>11.67</v>
      </c>
      <c r="DV30" s="1522">
        <v>1.72</v>
      </c>
      <c r="DW30" s="1522">
        <v>13.62</v>
      </c>
      <c r="DX30" s="1522">
        <v>2</v>
      </c>
    </row>
    <row r="31" spans="1:128" ht="18.75" customHeight="1">
      <c r="A31" s="1497">
        <v>8</v>
      </c>
      <c r="B31" s="1498" t="s">
        <v>435</v>
      </c>
      <c r="C31" s="1499"/>
      <c r="D31" s="1509"/>
      <c r="E31" s="1509"/>
      <c r="F31" s="1501"/>
      <c r="G31" s="1501"/>
      <c r="H31" s="1501"/>
      <c r="I31" s="1367"/>
      <c r="J31" s="1367"/>
      <c r="K31" s="1367"/>
      <c r="L31" s="1522">
        <v>40.5</v>
      </c>
      <c r="M31" s="1522">
        <v>1.26</v>
      </c>
      <c r="N31" s="1522">
        <v>0.16</v>
      </c>
      <c r="O31" s="1523">
        <v>2.96</v>
      </c>
      <c r="P31" s="1523">
        <v>0.46</v>
      </c>
      <c r="Q31" s="1523">
        <v>4.55</v>
      </c>
      <c r="R31" s="1523">
        <v>0.66</v>
      </c>
      <c r="S31" s="1523">
        <v>17.989999999999998</v>
      </c>
      <c r="T31" s="1523">
        <v>3.47</v>
      </c>
      <c r="U31" s="1523">
        <v>33.03</v>
      </c>
      <c r="V31" s="1523">
        <v>7.92</v>
      </c>
      <c r="W31" s="1523">
        <v>17.760000000000002</v>
      </c>
      <c r="X31" s="1523">
        <v>2.93</v>
      </c>
      <c r="Y31" s="1523">
        <v>6.67</v>
      </c>
      <c r="Z31" s="1523">
        <v>1.7</v>
      </c>
      <c r="AA31" s="1523">
        <v>31.73</v>
      </c>
      <c r="AB31" s="1523">
        <v>3.34</v>
      </c>
      <c r="AC31" s="1523">
        <v>37.549999999999997</v>
      </c>
      <c r="AD31" s="1523">
        <v>5.04</v>
      </c>
      <c r="AE31" s="1523">
        <v>50.16</v>
      </c>
      <c r="AF31" s="1523">
        <v>4.66</v>
      </c>
      <c r="AG31" s="1523">
        <v>66</v>
      </c>
      <c r="AH31" s="1523">
        <v>19</v>
      </c>
      <c r="AI31" s="1522">
        <v>25.55</v>
      </c>
      <c r="AJ31" s="1522">
        <v>6.36</v>
      </c>
      <c r="AK31" s="1522">
        <v>7.47</v>
      </c>
      <c r="AL31" s="1522">
        <v>1.01</v>
      </c>
      <c r="AM31" s="1523">
        <v>39.64</v>
      </c>
      <c r="AN31" s="1523">
        <v>9.5</v>
      </c>
      <c r="AO31" s="1523">
        <v>14.05</v>
      </c>
      <c r="AP31" s="1523">
        <v>1.91</v>
      </c>
      <c r="AQ31" s="1523">
        <v>46.49</v>
      </c>
      <c r="AR31" s="1523">
        <v>15.33</v>
      </c>
      <c r="AS31" s="1523">
        <v>15.96</v>
      </c>
      <c r="AT31" s="1523">
        <v>2.91</v>
      </c>
      <c r="AU31" s="1523">
        <v>57.57</v>
      </c>
      <c r="AV31" s="1523">
        <v>19.100000000000001</v>
      </c>
      <c r="AW31" s="1523">
        <v>6.09</v>
      </c>
      <c r="AX31" s="1523">
        <v>1.3</v>
      </c>
      <c r="AY31" s="1522">
        <v>8.11</v>
      </c>
      <c r="AZ31" s="1522">
        <v>1.51</v>
      </c>
      <c r="BA31" s="1524">
        <v>9.91</v>
      </c>
      <c r="BB31" s="1524">
        <v>2.4700000000000002</v>
      </c>
      <c r="BC31" s="1523">
        <v>8.73</v>
      </c>
      <c r="BD31" s="1523">
        <v>1.25</v>
      </c>
      <c r="BE31" s="1523">
        <v>7.26</v>
      </c>
      <c r="BF31" s="1523">
        <v>0.54</v>
      </c>
      <c r="BG31" s="1523">
        <v>6.62</v>
      </c>
      <c r="BH31" s="1523">
        <v>0.77</v>
      </c>
      <c r="BI31" s="1523">
        <v>15.4</v>
      </c>
      <c r="BJ31" s="1523">
        <v>1.94</v>
      </c>
      <c r="BK31" s="1523">
        <v>21.28</v>
      </c>
      <c r="BL31" s="1523">
        <v>2.68</v>
      </c>
      <c r="BM31" s="1523">
        <v>31.63</v>
      </c>
      <c r="BN31" s="1523">
        <v>3.99</v>
      </c>
      <c r="BO31" s="1523">
        <v>46.33</v>
      </c>
      <c r="BP31" s="1523">
        <v>5.84</v>
      </c>
      <c r="BQ31" s="1523">
        <v>1.65</v>
      </c>
      <c r="BR31" s="1524">
        <v>0.49</v>
      </c>
      <c r="BS31" s="1523">
        <v>2.27</v>
      </c>
      <c r="BT31" s="1523">
        <v>0.68</v>
      </c>
      <c r="BU31" s="1523">
        <v>3.38</v>
      </c>
      <c r="BV31" s="1523">
        <v>1</v>
      </c>
      <c r="BW31" s="1523">
        <v>4.95</v>
      </c>
      <c r="BX31" s="1523">
        <v>1.47</v>
      </c>
      <c r="BY31" s="1523">
        <v>472.01</v>
      </c>
      <c r="BZ31" s="1523">
        <v>16.77</v>
      </c>
      <c r="CA31" s="1523">
        <v>12.41</v>
      </c>
      <c r="CB31" s="1523">
        <v>2.56</v>
      </c>
      <c r="CC31" s="1523">
        <v>9.3800000000000008</v>
      </c>
      <c r="CD31" s="1523">
        <v>2.1</v>
      </c>
      <c r="CE31" s="1523">
        <v>189.45</v>
      </c>
      <c r="CF31" s="1523">
        <v>34.07</v>
      </c>
      <c r="CG31" s="1522">
        <v>14.81</v>
      </c>
      <c r="CH31" s="1522">
        <v>1.52</v>
      </c>
      <c r="CI31" s="1522">
        <v>7.81</v>
      </c>
      <c r="CJ31" s="1522">
        <v>3.69</v>
      </c>
      <c r="CK31" s="1522">
        <v>8.09</v>
      </c>
      <c r="CL31" s="1522">
        <v>1.92</v>
      </c>
      <c r="CM31" s="1522">
        <v>21.76</v>
      </c>
      <c r="CN31" s="1522">
        <v>2.4500000000000002</v>
      </c>
      <c r="CO31" s="1522">
        <v>12.87</v>
      </c>
      <c r="CP31" s="1522">
        <v>2.34</v>
      </c>
      <c r="CQ31" s="1522">
        <v>8.0500000000000007</v>
      </c>
      <c r="CR31" s="1522">
        <v>0.71</v>
      </c>
      <c r="CS31" s="1522">
        <v>36.75</v>
      </c>
      <c r="CT31" s="1522">
        <v>11.03</v>
      </c>
      <c r="CU31" s="1522">
        <v>40.26</v>
      </c>
      <c r="CV31" s="1522">
        <v>3.53</v>
      </c>
      <c r="CW31" s="1522">
        <v>40.43</v>
      </c>
      <c r="CX31" s="1522">
        <v>11.03</v>
      </c>
      <c r="CY31" s="1522">
        <v>40.26</v>
      </c>
      <c r="CZ31" s="1522">
        <v>3.53</v>
      </c>
      <c r="DA31" s="1522">
        <v>24.99</v>
      </c>
      <c r="DB31" s="1522">
        <v>10.73</v>
      </c>
      <c r="DC31" s="1522">
        <v>31.24</v>
      </c>
      <c r="DD31" s="1522">
        <v>13.41</v>
      </c>
      <c r="DE31" s="1522">
        <v>41.65</v>
      </c>
      <c r="DF31" s="1522">
        <v>17.88</v>
      </c>
      <c r="DG31" s="1522"/>
      <c r="DH31" s="1522"/>
      <c r="DI31" s="1522">
        <v>11.11</v>
      </c>
      <c r="DJ31" s="1522">
        <v>1.93</v>
      </c>
      <c r="DK31" s="1522">
        <v>2.61</v>
      </c>
      <c r="DL31" s="1522">
        <v>0.36</v>
      </c>
      <c r="DM31" s="1522">
        <v>39.340000000000003</v>
      </c>
      <c r="DN31" s="1522">
        <v>5.56</v>
      </c>
      <c r="DO31" s="1522">
        <v>51.81</v>
      </c>
      <c r="DP31" s="1522">
        <v>7.06</v>
      </c>
      <c r="DQ31" s="1522">
        <v>62.69</v>
      </c>
      <c r="DR31" s="1522">
        <v>7.75</v>
      </c>
      <c r="DS31" s="1522">
        <v>75.95</v>
      </c>
      <c r="DT31" s="1522">
        <v>8.59</v>
      </c>
      <c r="DU31" s="1522">
        <v>11.87</v>
      </c>
      <c r="DV31" s="1522">
        <v>1.72</v>
      </c>
      <c r="DW31" s="1522">
        <v>13.85</v>
      </c>
      <c r="DX31" s="1522">
        <v>2</v>
      </c>
    </row>
    <row r="32" spans="1:128" ht="18.75" customHeight="1">
      <c r="A32" s="1497"/>
      <c r="B32" s="1498" t="s">
        <v>436</v>
      </c>
      <c r="C32" s="1499" t="s">
        <v>1026</v>
      </c>
      <c r="D32" s="1500" t="str">
        <f>IF($D$2=40.5,AY31,IF($D$2=41.5,AY32,IF($D$2=42.5,AY33,IF($D$2=43.5,AY34,IF($D$2=44.5,AY35,IF($D$2=45.5,AY36,IF($D$2=46.5,AY37,)))))))&amp;
IF($D$2=47.5,AY38,IF($D$2=48.5,AY39,IF($D$2=49.5,AY40,IF($D$2=50.5,AY41,IF($D$2=51.5,AY42,IF($D$2=52.5,AY43,IF($D$2=53.5,AY44,)))))))&amp;
IF($D$2=54.5,AY45,IF($D$2=55.5,AY46,IF($D$2=56.5,AY47,IF($D$2=57.5,AY48,IF($D$2=15.5,AY6,IF($D$2=16.5,AY7,IF($D$2=17.5,AY8,)))))))&amp;
IF($D$2=18.5,AY9,IF($D$2=19.5,AY10,IF($D$2=20.5,AY11,IF($D$2=21.5,AY12,IF($D$2=22.5,AY13,IF($D$2=23.5,AY14,IF($D$2=24.5,AY15,)))))))&amp;IF($D$2=25.5,AY16,IF($D$2=26.5,AY17,IF($D$2=39.5,AY30,)))&amp;IF($D$2=31.5,AY22,IF($D$2=32.5,AY23,IF($D$2=33.5,AY24,IF($D$2=34.5,AY25,IF($D$2=35.5,AY26,IF($D$2=36.5,AY27,IF($D$2=37.5,AY28,IF($C$2=38.5,AY29,))))))))&amp;IF($D$2=27.5,AY18,IF($D$2=28.5,AY19,IF($D$2=29.5,AY20,IF($D$2=30.5,AY21,))))</f>
        <v>9.43</v>
      </c>
      <c r="E32" s="1500" t="str">
        <f>IF($D$2=40.5,AZ31,IF($D$2=41.5,AZ32,IF($D$2=42.5,AZ33,IF($D$2=43.5,AZ34,IF($D$2=44.5,AZ35,IF($D$2=45.5,AZ36,IF($D$2=46.5,AZ37,)))))))&amp;
IF($D$2=47.5,AZ38,IF($D$2=48.5,AZ39,IF($D$2=49.5,AZ40,IF($D$2=50.5,AZ41,IF($D$2=51.5,AZ42,IF($D$2=52.5,AZ43,IF($D$2=53.5,AZ44,)))))))&amp;
IF($D$2=54.5,AZ45,IF($D$2=55.5,AZ46,IF($D$2=56.5,AZ47,IF($D$2=57.5,AZ48,IF($D$2=15.5,AZ6,IF($D$2=16.5,AZ7,IF($D$2=17.5,AZ8,)))))))&amp;
IF($D$2=18.5,AZ9,IF($D$2=19.5,AZ10,IF($D$2=20.5,AZ11,IF($D$2=21.5,AZ12,IF($D$2=22.5,AZ13,IF($D$2=23.5,AZ14,IF($D$2=24.5,AZ15,)))))))&amp;IF($D$2=25.5,AZ16,IF($D$2=26.5,AZ17,IF($D$2=39.5,AZ30,)))&amp;IF($D$2=31.5,AZ22,IF($D$2=32.5,AZ23,IF($D$2=33.5,AZ24,IF($D$2=34.5,AZ25,IF($D$2=35.5,AZ26,IF($D$2=36.5,AZ27,IF($D$2=37.5,AZ28,IF($C$2=38.5,AZ29,))))))))&amp;IF($D$2=27.5,AZ18,IF($D$2=28.5,AZ19,IF($D$2=29.5,AZ20,IF($D$2=30.5,AZ21,))))</f>
        <v>2.11</v>
      </c>
      <c r="F32" s="1501">
        <f>E32*1.25</f>
        <v>2.6374999999999997</v>
      </c>
      <c r="G32" s="1501">
        <f>D32+E32</f>
        <v>11.54</v>
      </c>
      <c r="H32" s="1501">
        <f>D32+F32</f>
        <v>12.067499999999999</v>
      </c>
      <c r="I32" s="1367"/>
      <c r="J32" s="1367"/>
      <c r="K32" s="1367"/>
      <c r="L32" s="1522">
        <v>41.5</v>
      </c>
      <c r="M32" s="1522">
        <v>1.28</v>
      </c>
      <c r="N32" s="1522">
        <v>0.16</v>
      </c>
      <c r="O32" s="1523">
        <v>2.99</v>
      </c>
      <c r="P32" s="1523">
        <v>0.46</v>
      </c>
      <c r="Q32" s="1523">
        <v>4.5999999999999996</v>
      </c>
      <c r="R32" s="1523">
        <v>0.66</v>
      </c>
      <c r="S32" s="1523">
        <v>18.21</v>
      </c>
      <c r="T32" s="1523">
        <v>3.47</v>
      </c>
      <c r="U32" s="1523">
        <v>33.479999999999997</v>
      </c>
      <c r="V32" s="1523">
        <v>7.92</v>
      </c>
      <c r="W32" s="1523">
        <v>17.940000000000001</v>
      </c>
      <c r="X32" s="1523">
        <v>2.93</v>
      </c>
      <c r="Y32" s="1523">
        <v>6.75</v>
      </c>
      <c r="Z32" s="1523">
        <v>1.7</v>
      </c>
      <c r="AA32" s="1523">
        <v>32.119999999999997</v>
      </c>
      <c r="AB32" s="1523">
        <v>3.34</v>
      </c>
      <c r="AC32" s="1523">
        <v>38</v>
      </c>
      <c r="AD32" s="1523">
        <v>5.04</v>
      </c>
      <c r="AE32" s="1523">
        <v>50.59</v>
      </c>
      <c r="AF32" s="1523">
        <v>4.66</v>
      </c>
      <c r="AG32" s="1523">
        <v>66.95</v>
      </c>
      <c r="AH32" s="1523">
        <v>19</v>
      </c>
      <c r="AI32" s="1522">
        <v>25.86</v>
      </c>
      <c r="AJ32" s="1522">
        <v>6.36</v>
      </c>
      <c r="AK32" s="1522">
        <v>7.55</v>
      </c>
      <c r="AL32" s="1522">
        <v>1.01</v>
      </c>
      <c r="AM32" s="1523">
        <v>40.18</v>
      </c>
      <c r="AN32" s="1523">
        <v>9.5</v>
      </c>
      <c r="AO32" s="1523">
        <v>14.2</v>
      </c>
      <c r="AP32" s="1523">
        <v>1.91</v>
      </c>
      <c r="AQ32" s="1523">
        <v>47.11</v>
      </c>
      <c r="AR32" s="1523">
        <v>15.33</v>
      </c>
      <c r="AS32" s="1523">
        <v>16.11</v>
      </c>
      <c r="AT32" s="1523">
        <v>2.91</v>
      </c>
      <c r="AU32" s="1523">
        <v>58.35</v>
      </c>
      <c r="AV32" s="1523">
        <v>19.100000000000001</v>
      </c>
      <c r="AW32" s="1523">
        <v>6.17</v>
      </c>
      <c r="AX32" s="1523">
        <v>1.3</v>
      </c>
      <c r="AY32" s="1522">
        <v>8.2100000000000009</v>
      </c>
      <c r="AZ32" s="1522">
        <v>1.51</v>
      </c>
      <c r="BA32" s="1524">
        <v>10.029999999999999</v>
      </c>
      <c r="BB32" s="1524">
        <v>2.4700000000000002</v>
      </c>
      <c r="BC32" s="1523">
        <v>8.83</v>
      </c>
      <c r="BD32" s="1523">
        <v>1.25</v>
      </c>
      <c r="BE32" s="1523">
        <v>7.39</v>
      </c>
      <c r="BF32" s="1523">
        <v>0.54</v>
      </c>
      <c r="BG32" s="1523">
        <v>6.74</v>
      </c>
      <c r="BH32" s="1523">
        <v>0.77</v>
      </c>
      <c r="BI32" s="1523">
        <v>15.66</v>
      </c>
      <c r="BJ32" s="1523">
        <v>1.94</v>
      </c>
      <c r="BK32" s="1523">
        <v>21.63</v>
      </c>
      <c r="BL32" s="1523">
        <v>2.68</v>
      </c>
      <c r="BM32" s="1523">
        <v>32.17</v>
      </c>
      <c r="BN32" s="1523">
        <v>3.99</v>
      </c>
      <c r="BO32" s="1523">
        <v>47.11</v>
      </c>
      <c r="BP32" s="1523">
        <v>5.84</v>
      </c>
      <c r="BQ32" s="1523">
        <v>1.66</v>
      </c>
      <c r="BR32" s="1524">
        <v>0.49</v>
      </c>
      <c r="BS32" s="1523">
        <v>2.2999999999999998</v>
      </c>
      <c r="BT32" s="1523">
        <v>0.68</v>
      </c>
      <c r="BU32" s="1523">
        <v>3.42</v>
      </c>
      <c r="BV32" s="1523">
        <v>1</v>
      </c>
      <c r="BW32" s="1523">
        <v>5.01</v>
      </c>
      <c r="BX32" s="1523">
        <v>1.47</v>
      </c>
      <c r="BY32" s="1523">
        <v>482.79</v>
      </c>
      <c r="BZ32" s="1523">
        <v>16.77</v>
      </c>
      <c r="CA32" s="1523">
        <v>12.58</v>
      </c>
      <c r="CB32" s="1523">
        <v>2.56</v>
      </c>
      <c r="CC32" s="1523">
        <v>9.49</v>
      </c>
      <c r="CD32" s="1523">
        <v>2.1</v>
      </c>
      <c r="CE32" s="1523">
        <v>192.91</v>
      </c>
      <c r="CF32" s="1523">
        <v>34.07</v>
      </c>
      <c r="CG32" s="1522">
        <v>15.09</v>
      </c>
      <c r="CH32" s="1522">
        <v>1.52</v>
      </c>
      <c r="CI32" s="1522">
        <v>7.81</v>
      </c>
      <c r="CJ32" s="1522">
        <v>3.69</v>
      </c>
      <c r="CK32" s="1522">
        <v>8.14</v>
      </c>
      <c r="CL32" s="1522">
        <v>1.92</v>
      </c>
      <c r="CM32" s="1522">
        <v>22</v>
      </c>
      <c r="CN32" s="1522">
        <v>2.4500000000000002</v>
      </c>
      <c r="CO32" s="1522">
        <v>13.09</v>
      </c>
      <c r="CP32" s="1522">
        <v>2.34</v>
      </c>
      <c r="CQ32" s="1522">
        <v>8.19</v>
      </c>
      <c r="CR32" s="1522">
        <v>0.71</v>
      </c>
      <c r="CS32" s="1522">
        <v>37.15</v>
      </c>
      <c r="CT32" s="1522">
        <v>11.03</v>
      </c>
      <c r="CU32" s="1522">
        <v>40.94</v>
      </c>
      <c r="CV32" s="1522">
        <v>3.53</v>
      </c>
      <c r="CW32" s="1522">
        <v>40.869999999999997</v>
      </c>
      <c r="CX32" s="1522">
        <v>11.03</v>
      </c>
      <c r="CY32" s="1522">
        <f>CU32</f>
        <v>40.94</v>
      </c>
      <c r="CZ32" s="1522">
        <v>3.53</v>
      </c>
      <c r="DA32" s="1522">
        <v>25.13</v>
      </c>
      <c r="DB32" s="1522">
        <v>10.73</v>
      </c>
      <c r="DC32" s="1522">
        <v>31.42</v>
      </c>
      <c r="DD32" s="1522">
        <v>13.41</v>
      </c>
      <c r="DE32" s="1522">
        <v>41.89</v>
      </c>
      <c r="DF32" s="1522">
        <v>17.88</v>
      </c>
      <c r="DG32" s="1522"/>
      <c r="DH32" s="1522"/>
      <c r="DI32" s="1522">
        <v>11.29</v>
      </c>
      <c r="DJ32" s="1522">
        <v>1.93</v>
      </c>
      <c r="DK32" s="1522">
        <v>2.66</v>
      </c>
      <c r="DL32" s="1522">
        <v>0.36</v>
      </c>
      <c r="DM32" s="1522">
        <v>39.659999999999997</v>
      </c>
      <c r="DN32" s="1522">
        <v>5.56</v>
      </c>
      <c r="DO32" s="1522">
        <v>52.19</v>
      </c>
      <c r="DP32" s="1522">
        <v>7.06</v>
      </c>
      <c r="DQ32" s="1522">
        <v>63.16</v>
      </c>
      <c r="DR32" s="1522">
        <v>7.75</v>
      </c>
      <c r="DS32" s="1522">
        <v>76.52</v>
      </c>
      <c r="DT32" s="1522">
        <v>8.59</v>
      </c>
      <c r="DU32" s="1522">
        <v>12.06</v>
      </c>
      <c r="DV32" s="1522">
        <v>1.72</v>
      </c>
      <c r="DW32" s="1522">
        <v>14.07</v>
      </c>
      <c r="DX32" s="1522">
        <v>2</v>
      </c>
    </row>
    <row r="33" spans="1:128" ht="18.75" customHeight="1">
      <c r="A33" s="1497"/>
      <c r="B33" s="1498" t="s">
        <v>437</v>
      </c>
      <c r="C33" s="1499" t="s">
        <v>1026</v>
      </c>
      <c r="D33" s="1500" t="str">
        <f>IF($D$2=40.5,BA31,IF($D$2=41.5,BA32,IF($D$2=42.5,BA33,IF($D$2=43.5,BA34,IF($D$2=44.5,BA35,IF($D$2=45.5,BA36,IF($D$2=46.5,BA37,)))))))&amp;
IF($D$2=47.5,BA38,IF($D$2=48.5,BA39,IF($D$2=49.5,BA40,IF($D$2=50.5,BA41,IF($D$2=51.5,BA42,IF($D$2=52.5,BA43,IF($D$2=53.5,BA44,)))))))&amp;
IF($D$2=54.5,BA45,IF($D$2=55.5,BA46,IF($D$2=56.5,BA47,IF($D$2=57.5,BA48,IF($D$2=15.5,BA6,IF($D$2=16.5,BA7,IF($D$2=17.5,BA8,)))))))&amp;
IF($D$2=18.5,BA9,IF($D$2=19.5,BA10,IF($D$2=20.5,BA11,IF($D$2=21.5,BA12,IF($D$2=22.5,BA13,IF($D$2=23.5,BA14,IF($D$2=24.5,BA15,)))))))&amp;IF($D$2=25.5,BA16,IF($D$2=26.5,BA17,IF($D$2=39.5,BA30,)))&amp;IF($D$2=31.5,BA22,IF($D$2=32.5,BA23,IF($D$2=33.5,BA24,IF($D$2=34.5,BA25,IF($D$2=35.5,BA26,IF($D$2=36.5,BA27,IF($D$2=37.5,BA28,IF($C$2=38.5,BA29,))))))))&amp;IF($D$2=27.5,BA18,IF($D$2=28.5,BA19,IF($D$2=29.5,BA20,IF($D$2=30.5,BA21,))))</f>
        <v>11.51</v>
      </c>
      <c r="E33" s="1500" t="str">
        <f>IF($D$2=40.5,BB31,IF($D$2=41.5,BB32,IF($D$2=42.5,BB33,IF($D$2=43.5,BB34,IF($D$2=44.5,BB35,IF($D$2=45.5,BB36,IF($D$2=46.5,BB37,)))))))&amp;
IF($D$2=47.5,BB38,IF($D$2=48.5,BB39,IF($D$2=49.5,BB40,IF($D$2=50.5,BB41,IF($D$2=51.5,BB42,IF($D$2=52.5,BB43,IF($D$2=53.5,BB44,)))))))&amp;
IF($D$2=54.5,BB45,IF($D$2=55.5,BB46,IF($D$2=56.5,BB47,IF($D$2=57.5,BB48,IF($D$2=15.5,BB6,IF($D$2=16.5,BB7,IF($D$2=17.5,BB8,)))))))&amp;
IF($D$2=18.5,BB9,IF($D$2=19.5,BB10,IF($D$2=20.5,BB11,IF($D$2=21.5,BB12,IF($D$2=22.5,BB13,IF($D$2=23.5,BB14,IF($D$2=24.5,BB15,)))))))&amp;IF($D$2=25.5,BB16,IF($D$2=26.5,BB17,IF($D$2=39.5,BB30,)))&amp;IF($D$2=31.5,BB22,IF($D$2=32.5,BB23,IF($D$2=33.5,BB24,IF($D$2=34.5,BB25,IF($D$2=35.5,BB26,IF($D$2=36.5,BB27,IF($D$2=37.5,BB28,IF($C$2=38.5,BB29,))))))))&amp;IF($D$2=27.5,BB18,IF($D$2=28.5,BB19,IF($D$2=29.5,BB20,IF($D$2=30.5,BB21,))))</f>
        <v>3.38</v>
      </c>
      <c r="F33" s="1501">
        <f>E33*1.25</f>
        <v>4.2249999999999996</v>
      </c>
      <c r="G33" s="1501">
        <f>D33+E33</f>
        <v>14.89</v>
      </c>
      <c r="H33" s="1501">
        <f>D33+F33</f>
        <v>15.734999999999999</v>
      </c>
      <c r="I33" s="1367"/>
      <c r="J33" s="1367"/>
      <c r="K33" s="1367"/>
      <c r="L33" s="1522">
        <v>42.5</v>
      </c>
      <c r="M33" s="1522">
        <v>1.29</v>
      </c>
      <c r="N33" s="1522">
        <v>0.16</v>
      </c>
      <c r="O33" s="1523">
        <v>3.02</v>
      </c>
      <c r="P33" s="1523">
        <v>0.46</v>
      </c>
      <c r="Q33" s="1523">
        <v>4.6500000000000004</v>
      </c>
      <c r="R33" s="1523">
        <v>0.66</v>
      </c>
      <c r="S33" s="1523">
        <v>18.420000000000002</v>
      </c>
      <c r="T33" s="1523">
        <v>3.47</v>
      </c>
      <c r="U33" s="1523">
        <v>33.93</v>
      </c>
      <c r="V33" s="1523">
        <v>7.92</v>
      </c>
      <c r="W33" s="1523">
        <v>18.13</v>
      </c>
      <c r="X33" s="1523">
        <v>2.93</v>
      </c>
      <c r="Y33" s="1523">
        <v>6.83</v>
      </c>
      <c r="Z33" s="1523">
        <v>1.7</v>
      </c>
      <c r="AA33" s="1523">
        <v>32.51</v>
      </c>
      <c r="AB33" s="1523">
        <v>3.34</v>
      </c>
      <c r="AC33" s="1523">
        <v>38.450000000000003</v>
      </c>
      <c r="AD33" s="1523">
        <v>5.04</v>
      </c>
      <c r="AE33" s="1523">
        <v>51.02</v>
      </c>
      <c r="AF33" s="1523">
        <v>4.66</v>
      </c>
      <c r="AG33" s="1523">
        <v>67.89</v>
      </c>
      <c r="AH33" s="1523">
        <v>19</v>
      </c>
      <c r="AI33" s="1522">
        <v>26.16</v>
      </c>
      <c r="AJ33" s="1522">
        <v>6.36</v>
      </c>
      <c r="AK33" s="1522">
        <v>7.63</v>
      </c>
      <c r="AL33" s="1522">
        <v>1.01</v>
      </c>
      <c r="AM33" s="1523">
        <v>40.72</v>
      </c>
      <c r="AN33" s="1523">
        <v>9.5</v>
      </c>
      <c r="AO33" s="1523">
        <v>14.36</v>
      </c>
      <c r="AP33" s="1523">
        <v>1.91</v>
      </c>
      <c r="AQ33" s="1523">
        <v>47.74</v>
      </c>
      <c r="AR33" s="1523">
        <v>15.33</v>
      </c>
      <c r="AS33" s="1523">
        <v>16.25</v>
      </c>
      <c r="AT33" s="1523">
        <v>2.91</v>
      </c>
      <c r="AU33" s="1523">
        <v>59.13</v>
      </c>
      <c r="AV33" s="1523">
        <v>19.100000000000001</v>
      </c>
      <c r="AW33" s="1523">
        <v>6.25</v>
      </c>
      <c r="AX33" s="1523">
        <v>1.3</v>
      </c>
      <c r="AY33" s="1522">
        <v>8.31</v>
      </c>
      <c r="AZ33" s="1522">
        <v>1.51</v>
      </c>
      <c r="BA33" s="1524">
        <v>10.15</v>
      </c>
      <c r="BB33" s="1524">
        <v>2.4700000000000002</v>
      </c>
      <c r="BC33" s="1523">
        <v>8.93</v>
      </c>
      <c r="BD33" s="1523">
        <v>1.25</v>
      </c>
      <c r="BE33" s="1523">
        <v>7.52</v>
      </c>
      <c r="BF33" s="1523">
        <v>0.54</v>
      </c>
      <c r="BG33" s="1523">
        <v>6.86</v>
      </c>
      <c r="BH33" s="1523">
        <v>0.77</v>
      </c>
      <c r="BI33" s="1523">
        <v>15.92</v>
      </c>
      <c r="BJ33" s="1523">
        <v>1.94</v>
      </c>
      <c r="BK33" s="1523">
        <v>21.99</v>
      </c>
      <c r="BL33" s="1523">
        <v>2.68</v>
      </c>
      <c r="BM33" s="1523">
        <v>32.700000000000003</v>
      </c>
      <c r="BN33" s="1523">
        <v>3.99</v>
      </c>
      <c r="BO33" s="1523">
        <v>47.89</v>
      </c>
      <c r="BP33" s="1523">
        <v>5.84</v>
      </c>
      <c r="BQ33" s="1523">
        <v>1.68</v>
      </c>
      <c r="BR33" s="1524">
        <v>0.49</v>
      </c>
      <c r="BS33" s="1523">
        <v>2.3199999999999998</v>
      </c>
      <c r="BT33" s="1523">
        <v>0.68</v>
      </c>
      <c r="BU33" s="1523">
        <v>3.46</v>
      </c>
      <c r="BV33" s="1523">
        <v>1</v>
      </c>
      <c r="BW33" s="1523">
        <v>5.0599999999999996</v>
      </c>
      <c r="BX33" s="1523">
        <v>1.47</v>
      </c>
      <c r="BY33" s="1523">
        <v>493.57</v>
      </c>
      <c r="BZ33" s="1523">
        <v>16.77</v>
      </c>
      <c r="CA33" s="1523">
        <v>12.74</v>
      </c>
      <c r="CB33" s="1523">
        <v>2.56</v>
      </c>
      <c r="CC33" s="1523">
        <v>9.6</v>
      </c>
      <c r="CD33" s="1523">
        <v>2.1</v>
      </c>
      <c r="CE33" s="1523">
        <v>196.38</v>
      </c>
      <c r="CF33" s="1523">
        <v>34.07</v>
      </c>
      <c r="CG33" s="1522">
        <v>15.37</v>
      </c>
      <c r="CH33" s="1522">
        <v>1.52</v>
      </c>
      <c r="CI33" s="1522">
        <v>7.81</v>
      </c>
      <c r="CJ33" s="1522">
        <v>3.69</v>
      </c>
      <c r="CK33" s="1522">
        <v>8.19</v>
      </c>
      <c r="CL33" s="1522">
        <v>1.92</v>
      </c>
      <c r="CM33" s="1522">
        <v>22.25</v>
      </c>
      <c r="CN33" s="1522">
        <v>2.4500000000000002</v>
      </c>
      <c r="CO33" s="1522">
        <v>13.32</v>
      </c>
      <c r="CP33" s="1522">
        <v>2.34</v>
      </c>
      <c r="CQ33" s="1522">
        <v>8.32</v>
      </c>
      <c r="CR33" s="1522">
        <v>0.71</v>
      </c>
      <c r="CS33" s="1522">
        <v>37.56</v>
      </c>
      <c r="CT33" s="1522">
        <v>11.03</v>
      </c>
      <c r="CU33" s="1522">
        <v>41.61</v>
      </c>
      <c r="CV33" s="1522">
        <v>3.53</v>
      </c>
      <c r="CW33" s="1522">
        <v>41.31</v>
      </c>
      <c r="CX33" s="1522">
        <v>11.03</v>
      </c>
      <c r="CY33" s="1522">
        <f t="shared" ref="CY33:CY60" si="5">CU33</f>
        <v>41.61</v>
      </c>
      <c r="CZ33" s="1522">
        <v>3.53</v>
      </c>
      <c r="DA33" s="1522">
        <v>25.27</v>
      </c>
      <c r="DB33" s="1522">
        <v>10.73</v>
      </c>
      <c r="DC33" s="1522">
        <v>31.59</v>
      </c>
      <c r="DD33" s="1522">
        <v>13.41</v>
      </c>
      <c r="DE33" s="1522">
        <v>42.12</v>
      </c>
      <c r="DF33" s="1522">
        <v>17.88</v>
      </c>
      <c r="DG33" s="1522"/>
      <c r="DH33" s="1522"/>
      <c r="DI33" s="1522">
        <v>11.46</v>
      </c>
      <c r="DJ33" s="1522">
        <v>1.93</v>
      </c>
      <c r="DK33" s="1522">
        <v>2.7</v>
      </c>
      <c r="DL33" s="1522">
        <v>0.36</v>
      </c>
      <c r="DM33" s="1522">
        <v>39.979999999999997</v>
      </c>
      <c r="DN33" s="1522">
        <v>5.56</v>
      </c>
      <c r="DO33" s="1522">
        <v>52.57</v>
      </c>
      <c r="DP33" s="1522">
        <v>7.06</v>
      </c>
      <c r="DQ33" s="1522">
        <v>63.63</v>
      </c>
      <c r="DR33" s="1522">
        <v>7.75</v>
      </c>
      <c r="DS33" s="1522">
        <v>77.08</v>
      </c>
      <c r="DT33" s="1522">
        <v>8.59</v>
      </c>
      <c r="DU33" s="1522">
        <v>12.26</v>
      </c>
      <c r="DV33" s="1522">
        <v>1.72</v>
      </c>
      <c r="DW33" s="1522">
        <v>14.3</v>
      </c>
      <c r="DX33" s="1522">
        <v>2</v>
      </c>
    </row>
    <row r="34" spans="1:128" ht="18.75" customHeight="1">
      <c r="A34" s="1497"/>
      <c r="B34" s="1498" t="s">
        <v>1855</v>
      </c>
      <c r="C34" s="1499" t="s">
        <v>1026</v>
      </c>
      <c r="D34" s="1500" t="str">
        <f>IF($D$2=40.5,BC31,IF($D$2=41.5,BC32,IF($D$2=42.5,BC33,IF($D$2=43.5,BC34,IF($D$2=44.5,BC35,IF($D$2=45.5,BC36,IF($D$2=46.5,BC37,)))))))&amp;
IF($D$2=47.5,BC38,IF($D$2=48.5,BC39,IF($D$2=49.5,BC40,IF($D$2=50.5,BC41,IF($D$2=51.5,BC42,IF($D$2=52.5,BC43,IF($D$2=53.5,BC44,)))))))&amp;
IF($D$2=54.5,BC45,IF($D$2=55.5,BC46,IF($D$2=56.5,BC47,IF($D$2=57.5,BC48,IF($D$2=15.5,BC6,IF($D$2=16.5,BC7,IF($D$2=17.5,BC8,)))))))&amp;
IF($D$2=18.5,BC9,IF($D$2=19.5,BC10,IF($D$2=20.5,BC11,IF($D$2=21.5,BC12,IF($D$2=22.5,BC13,IF($D$2=23.5,BC14,IF($D$2=24.5,BC15,)))))))&amp;IF($D$2=25.5,BC16,IF($D$2=26.5,BC17,IF($D$2=39.5,BC30,)))&amp;IF($D$2=31.5,BC22,IF($D$2=32.5,BC23,IF($D$2=33.5,BC24,IF($D$2=34.5,BC25,IF($D$2=35.5,BC26,IF($D$2=36.5,BC27,IF($D$2=37.5,BC28,IF($C$2=38.5,BC29,))))))))&amp;IF($D$2=27.5,BC18,IF($D$2=28.5,BC19,IF($D$2=29.5,BC20,IF($D$2=30.5,BC21,))))</f>
        <v>10.2</v>
      </c>
      <c r="E34" s="1500" t="str">
        <f>IF($D$2=40.5,BD31,IF($D$2=41.5,BD32,IF($D$2=42.5,BD33,IF($D$2=43.5,BD34,IF($D$2=44.5,BD35,IF($D$2=45.5,BD36,IF($D$2=46.5,BD37,)))))))&amp;
IF($D$2=47.5,BD38,IF($D$2=48.5,BD39,IF($D$2=49.5,BD40,IF($D$2=50.5,BD41,IF($D$2=51.5,BD42,IF($D$2=52.5,BD43,IF($D$2=53.5,BD44,)))))))&amp;
IF($D$2=54.5,BD45,IF($D$2=55.5,BD46,IF($D$2=56.5,BD47,IF($D$2=57.5,BD48,IF($D$2=15.5,BD6,IF($D$2=16.5,BD7,IF($D$2=17.5,BD8,)))))))&amp;
IF($D$2=18.5,BD9,IF($D$2=19.5,BD10,IF($D$2=20.5,BD11,IF($D$2=21.5,BD12,IF($D$2=22.5,BD13,IF($D$2=23.5,BD14,IF($D$2=24.5,BD15,)))))))&amp;IF($D$2=25.5,BD16,IF($D$2=26.5,BD17,IF($D$2=39.5,BD30,)))&amp;IF($D$2=31.5,BD22,IF($D$2=32.5,BD23,IF($D$2=33.5,BD24,IF($D$2=34.5,BD25,IF($D$2=35.5,BD26,IF($D$2=36.5,BD27,IF($D$2=37.5,BD28,IF($C$2=38.5,BD29,))))))))&amp;IF($D$2=27.5,BD18,IF($D$2=28.5,BD19,IF($D$2=29.5,BD20,IF($D$2=30.5,BD21,))))</f>
        <v>1.75</v>
      </c>
      <c r="F34" s="1501">
        <f>E34*1.25</f>
        <v>2.1875</v>
      </c>
      <c r="G34" s="1501">
        <f>D34+E34</f>
        <v>11.95</v>
      </c>
      <c r="H34" s="1501">
        <f>D34+F34</f>
        <v>12.387499999999999</v>
      </c>
      <c r="I34" s="1367"/>
      <c r="J34" s="1367"/>
      <c r="K34" s="1367"/>
      <c r="L34" s="1522">
        <v>43.5</v>
      </c>
      <c r="M34" s="1522">
        <v>1.3</v>
      </c>
      <c r="N34" s="1522">
        <v>0.16</v>
      </c>
      <c r="O34" s="1523">
        <v>3.06</v>
      </c>
      <c r="P34" s="1523">
        <v>0.46</v>
      </c>
      <c r="Q34" s="1523">
        <v>4.7</v>
      </c>
      <c r="R34" s="1523">
        <v>0.66</v>
      </c>
      <c r="S34" s="1523">
        <v>18.64</v>
      </c>
      <c r="T34" s="1523">
        <v>3.47</v>
      </c>
      <c r="U34" s="1523">
        <v>34.380000000000003</v>
      </c>
      <c r="V34" s="1523">
        <v>7.92</v>
      </c>
      <c r="W34" s="1523">
        <v>18.32</v>
      </c>
      <c r="X34" s="1523">
        <v>2.93</v>
      </c>
      <c r="Y34" s="1523">
        <v>6.91</v>
      </c>
      <c r="Z34" s="1523">
        <v>1.7</v>
      </c>
      <c r="AA34" s="1523">
        <v>32.89</v>
      </c>
      <c r="AB34" s="1523">
        <v>3.34</v>
      </c>
      <c r="AC34" s="1523">
        <v>38.9</v>
      </c>
      <c r="AD34" s="1523">
        <v>5.04</v>
      </c>
      <c r="AE34" s="1523">
        <v>51.45</v>
      </c>
      <c r="AF34" s="1523">
        <v>4.66</v>
      </c>
      <c r="AG34" s="1523">
        <v>68.84</v>
      </c>
      <c r="AH34" s="1523">
        <v>19</v>
      </c>
      <c r="AI34" s="1522">
        <v>26.47</v>
      </c>
      <c r="AJ34" s="1522">
        <v>6.36</v>
      </c>
      <c r="AK34" s="1522">
        <v>7.71</v>
      </c>
      <c r="AL34" s="1522">
        <v>1.01</v>
      </c>
      <c r="AM34" s="1523">
        <v>41.26</v>
      </c>
      <c r="AN34" s="1523">
        <v>9.5</v>
      </c>
      <c r="AO34" s="1523">
        <v>14.52</v>
      </c>
      <c r="AP34" s="1523">
        <v>1.91</v>
      </c>
      <c r="AQ34" s="1523">
        <v>48.36</v>
      </c>
      <c r="AR34" s="1523">
        <v>15.33</v>
      </c>
      <c r="AS34" s="1523">
        <v>16.39</v>
      </c>
      <c r="AT34" s="1523">
        <v>2.91</v>
      </c>
      <c r="AU34" s="1523">
        <v>59.91</v>
      </c>
      <c r="AV34" s="1523">
        <v>19.100000000000001</v>
      </c>
      <c r="AW34" s="1523">
        <v>6.32</v>
      </c>
      <c r="AX34" s="1523">
        <v>1.3</v>
      </c>
      <c r="AY34" s="1522">
        <v>8.41</v>
      </c>
      <c r="AZ34" s="1522">
        <v>1.51</v>
      </c>
      <c r="BA34" s="1524">
        <v>10.28</v>
      </c>
      <c r="BB34" s="1524">
        <v>2.4700000000000002</v>
      </c>
      <c r="BC34" s="1523">
        <v>9.0299999999999994</v>
      </c>
      <c r="BD34" s="1523">
        <v>1.25</v>
      </c>
      <c r="BE34" s="1523">
        <v>7.65</v>
      </c>
      <c r="BF34" s="1523">
        <v>0.54</v>
      </c>
      <c r="BG34" s="1523">
        <v>6.98</v>
      </c>
      <c r="BH34" s="1523">
        <v>0.77</v>
      </c>
      <c r="BI34" s="1523">
        <v>16.18</v>
      </c>
      <c r="BJ34" s="1523">
        <v>1.94</v>
      </c>
      <c r="BK34" s="1523">
        <v>22.35</v>
      </c>
      <c r="BL34" s="1523">
        <v>2.68</v>
      </c>
      <c r="BM34" s="1523">
        <v>33.24</v>
      </c>
      <c r="BN34" s="1523">
        <v>3.99</v>
      </c>
      <c r="BO34" s="1523">
        <v>48.68</v>
      </c>
      <c r="BP34" s="1523">
        <v>5.84</v>
      </c>
      <c r="BQ34" s="1523">
        <v>1.7</v>
      </c>
      <c r="BR34" s="1524">
        <v>0.49</v>
      </c>
      <c r="BS34" s="1523">
        <v>2.35</v>
      </c>
      <c r="BT34" s="1523">
        <v>0.68</v>
      </c>
      <c r="BU34" s="1523">
        <v>3.49</v>
      </c>
      <c r="BV34" s="1523">
        <v>1</v>
      </c>
      <c r="BW34" s="1523">
        <v>5.12</v>
      </c>
      <c r="BX34" s="1523">
        <v>1.47</v>
      </c>
      <c r="BY34" s="1523">
        <v>504.36</v>
      </c>
      <c r="BZ34" s="1523">
        <v>16.77</v>
      </c>
      <c r="CA34" s="1523">
        <v>12.91</v>
      </c>
      <c r="CB34" s="1523">
        <v>2.56</v>
      </c>
      <c r="CC34" s="1523">
        <v>9.7200000000000006</v>
      </c>
      <c r="CD34" s="1523">
        <v>2.1</v>
      </c>
      <c r="CE34" s="1523">
        <v>199.84</v>
      </c>
      <c r="CF34" s="1523">
        <v>34.07</v>
      </c>
      <c r="CG34" s="1522">
        <v>15.64</v>
      </c>
      <c r="CH34" s="1522">
        <v>1.52</v>
      </c>
      <c r="CI34" s="1522">
        <v>7.81</v>
      </c>
      <c r="CJ34" s="1522">
        <v>3.69</v>
      </c>
      <c r="CK34" s="1522">
        <v>8.24</v>
      </c>
      <c r="CL34" s="1522">
        <v>1.92</v>
      </c>
      <c r="CM34" s="1522">
        <v>22.49</v>
      </c>
      <c r="CN34" s="1522">
        <v>2.4500000000000002</v>
      </c>
      <c r="CO34" s="1522">
        <v>13.54</v>
      </c>
      <c r="CP34" s="1522">
        <v>2.34</v>
      </c>
      <c r="CQ34" s="1522">
        <v>8.4600000000000009</v>
      </c>
      <c r="CR34" s="1522">
        <v>0.71</v>
      </c>
      <c r="CS34" s="1522">
        <v>37.96</v>
      </c>
      <c r="CT34" s="1522">
        <v>11.03</v>
      </c>
      <c r="CU34" s="1522">
        <v>42.29</v>
      </c>
      <c r="CV34" s="1522">
        <v>3.53</v>
      </c>
      <c r="CW34" s="1522">
        <v>41.76</v>
      </c>
      <c r="CX34" s="1522">
        <v>11.03</v>
      </c>
      <c r="CY34" s="1522">
        <f t="shared" si="5"/>
        <v>42.29</v>
      </c>
      <c r="CZ34" s="1522">
        <v>3.53</v>
      </c>
      <c r="DA34" s="1522">
        <v>25.42</v>
      </c>
      <c r="DB34" s="1522">
        <v>10.73</v>
      </c>
      <c r="DC34" s="1522">
        <v>31.77</v>
      </c>
      <c r="DD34" s="1522">
        <v>13.41</v>
      </c>
      <c r="DE34" s="1522">
        <v>42.36</v>
      </c>
      <c r="DF34" s="1522">
        <v>17.88</v>
      </c>
      <c r="DG34" s="1522"/>
      <c r="DH34" s="1522"/>
      <c r="DI34" s="1522">
        <v>11.63</v>
      </c>
      <c r="DJ34" s="1522">
        <v>1.93</v>
      </c>
      <c r="DK34" s="1522">
        <v>2.75</v>
      </c>
      <c r="DL34" s="1522">
        <v>0.36</v>
      </c>
      <c r="DM34" s="1522">
        <v>40.31</v>
      </c>
      <c r="DN34" s="1522">
        <v>5.56</v>
      </c>
      <c r="DO34" s="1522">
        <v>52.95</v>
      </c>
      <c r="DP34" s="1522">
        <v>7.06</v>
      </c>
      <c r="DQ34" s="1522">
        <v>64.09</v>
      </c>
      <c r="DR34" s="1522">
        <v>7.75</v>
      </c>
      <c r="DS34" s="1522">
        <v>77.650000000000006</v>
      </c>
      <c r="DT34" s="1522">
        <v>8.59</v>
      </c>
      <c r="DU34" s="1522">
        <v>12.45</v>
      </c>
      <c r="DV34" s="1522">
        <v>1.72</v>
      </c>
      <c r="DW34" s="1522">
        <v>14.52</v>
      </c>
      <c r="DX34" s="1522">
        <v>2</v>
      </c>
    </row>
    <row r="35" spans="1:128" ht="18.75" customHeight="1">
      <c r="A35" s="1497">
        <v>9</v>
      </c>
      <c r="B35" s="1498" t="s">
        <v>1856</v>
      </c>
      <c r="C35" s="1499" t="s">
        <v>1026</v>
      </c>
      <c r="D35" s="1500" t="str">
        <f>IF($D$2=40.5,BE31,IF($D$2=41.5,BE32,IF($D$2=42.5,BE33,IF($D$2=43.5,BE34,IF($D$2=44.5,BE35,IF($D$2=45.5,BE36,IF($D$2=46.5,BE37,)))))))&amp;
IF($D$2=47.5,BE38,IF($D$2=48.5,BE39,IF($D$2=49.5,BE40,IF($D$2=50.5,BE41,IF($D$2=51.5,BE42,IF($D$2=52.5,BE43,IF($D$2=53.5,BE44,)))))))&amp;
IF($D$2=54.5,BE45,IF($D$2=55.5,BE46,IF($D$2=56.5,BE47,IF($D$2=57.5,BE48,IF($D$2=15.5,BE6,IF($D$2=16.5,BE7,IF($D$2=17.5,BE8,)))))))&amp;
IF($D$2=18.5,BE9,IF($D$2=19.5,BE10,IF($D$2=20.5,BE11,IF($D$2=21.5,BE12,IF($D$2=22.5,BE13,IF($D$2=23.5,BE14,IF($D$2=24.5,BE15,)))))))&amp;IF($D$2=25.5,BE16,IF($D$2=26.5,BE17,IF($D$2=39.5,BE30,)))&amp;IF($D$2=31.5,BE22,IF($D$2=32.5,BE23,IF($D$2=33.5,BE24,IF($D$2=34.5,BE25,IF($D$2=35.5,BE26,IF($D$2=36.5,BE27,IF($D$2=37.5,BE28,IF($C$2=38.5,BE29,))))))))&amp;IF($D$2=27.5,BE18,IF($D$2=28.5,BE19,IF($D$2=29.5,BE20,IF($D$2=30.5,BE21,))))</f>
        <v>7.43</v>
      </c>
      <c r="E35" s="1500" t="str">
        <f>IF($D$2=40.5,BF31,IF($D$2=41.5,BF32,IF($D$2=42.5,BF33,IF($D$2=43.5,BF34,IF($D$2=44.5,BF35,IF($D$2=45.5,BF36,IF($D$2=46.5,BF37,)))))))&amp;
IF($D$2=47.5,BF38,IF($D$2=48.5,BF39,IF($D$2=49.5,BF40,IF($D$2=50.5,BF41,IF($D$2=51.5,BF42,IF($D$2=52.5,BF43,IF($D$2=53.5,BF44,)))))))&amp;
IF($D$2=54.5,BF45,IF($D$2=55.5,BF46,IF($D$2=56.5,BF47,IF($D$2=57.5,BF48,IF($D$2=15.5,BF6,IF($D$2=16.5,BF7,IF($D$2=17.5,BF8,)))))))&amp;
IF($D$2=18.5,BF9,IF($D$2=19.5,BF10,IF($D$2=20.5,BF11,IF($D$2=21.5,BF12,IF($D$2=22.5,BF13,IF($D$2=23.5,BF14,IF($D$2=24.5,BF15,)))))))&amp;IF($D$2=25.5,BF16,IF($D$2=26.5,BF17,IF($D$2=39.5,BF30,)))&amp;IF($D$2=31.5,BF22,IF($D$2=32.5,BF23,IF($D$2=33.5,BF24,IF($D$2=34.5,BF25,IF($D$2=35.5,BF26,IF($D$2=36.5,BF27,IF($D$2=37.5,BF28,IF($C$2=38.5,BF29,))))))))&amp;IF($D$2=27.5,BF18,IF($D$2=28.5,BF19,IF($D$2=29.5,BF20,IF($D$2=30.5,BF21,))))</f>
        <v>0.62</v>
      </c>
      <c r="F35" s="1501">
        <f>E35*1.25</f>
        <v>0.77500000000000002</v>
      </c>
      <c r="G35" s="1501">
        <f>D35+E35</f>
        <v>8.0499999999999989</v>
      </c>
      <c r="H35" s="1501">
        <f>D35+F35</f>
        <v>8.2050000000000001</v>
      </c>
      <c r="I35" s="1367"/>
      <c r="J35" s="1367"/>
      <c r="K35" s="1367"/>
      <c r="L35" s="1522">
        <v>44.5</v>
      </c>
      <c r="M35" s="1522">
        <v>1.31</v>
      </c>
      <c r="N35" s="1522">
        <v>0.16</v>
      </c>
      <c r="O35" s="1523">
        <v>3.09</v>
      </c>
      <c r="P35" s="1523">
        <v>0.46</v>
      </c>
      <c r="Q35" s="1523">
        <v>4.76</v>
      </c>
      <c r="R35" s="1523">
        <v>0.66</v>
      </c>
      <c r="S35" s="1523">
        <v>18.86</v>
      </c>
      <c r="T35" s="1523">
        <v>3.47</v>
      </c>
      <c r="U35" s="1523">
        <v>34.83</v>
      </c>
      <c r="V35" s="1523">
        <v>7.92</v>
      </c>
      <c r="W35" s="1523">
        <v>18.510000000000002</v>
      </c>
      <c r="X35" s="1523">
        <v>2.93</v>
      </c>
      <c r="Y35" s="1523">
        <v>6.99</v>
      </c>
      <c r="Z35" s="1523">
        <v>1.7</v>
      </c>
      <c r="AA35" s="1523">
        <v>33.28</v>
      </c>
      <c r="AB35" s="1523">
        <v>3.34</v>
      </c>
      <c r="AC35" s="1523">
        <v>39.35</v>
      </c>
      <c r="AD35" s="1523">
        <v>5.04</v>
      </c>
      <c r="AE35" s="1523">
        <v>51.89</v>
      </c>
      <c r="AF35" s="1523">
        <v>4.66</v>
      </c>
      <c r="AG35" s="1523">
        <v>69.790000000000006</v>
      </c>
      <c r="AH35" s="1523">
        <v>19</v>
      </c>
      <c r="AI35" s="1522">
        <v>26.77</v>
      </c>
      <c r="AJ35" s="1522">
        <v>6.36</v>
      </c>
      <c r="AK35" s="1522">
        <v>7.8</v>
      </c>
      <c r="AL35" s="1522">
        <v>1.01</v>
      </c>
      <c r="AM35" s="1523">
        <v>41.8</v>
      </c>
      <c r="AN35" s="1523">
        <v>9.5</v>
      </c>
      <c r="AO35" s="1523">
        <v>14.67</v>
      </c>
      <c r="AP35" s="1523">
        <v>1.91</v>
      </c>
      <c r="AQ35" s="1523">
        <v>48.98</v>
      </c>
      <c r="AR35" s="1523">
        <v>15.33</v>
      </c>
      <c r="AS35" s="1523">
        <v>16.53</v>
      </c>
      <c r="AT35" s="1523">
        <v>2.91</v>
      </c>
      <c r="AU35" s="1523">
        <v>60.68</v>
      </c>
      <c r="AV35" s="1523">
        <v>19.100000000000001</v>
      </c>
      <c r="AW35" s="1523">
        <v>6.4</v>
      </c>
      <c r="AX35" s="1523">
        <v>1.3</v>
      </c>
      <c r="AY35" s="1522">
        <v>8.51</v>
      </c>
      <c r="AZ35" s="1522">
        <v>1.51</v>
      </c>
      <c r="BA35" s="1524">
        <v>10.4</v>
      </c>
      <c r="BB35" s="1524">
        <v>2.4700000000000002</v>
      </c>
      <c r="BC35" s="1523">
        <v>9.1199999999999992</v>
      </c>
      <c r="BD35" s="1523">
        <v>1.25</v>
      </c>
      <c r="BE35" s="1523">
        <v>7.78</v>
      </c>
      <c r="BF35" s="1523">
        <v>0.54</v>
      </c>
      <c r="BG35" s="1523">
        <v>7.1</v>
      </c>
      <c r="BH35" s="1523">
        <v>0.77</v>
      </c>
      <c r="BI35" s="1523">
        <v>16.440000000000001</v>
      </c>
      <c r="BJ35" s="1523">
        <v>1.94</v>
      </c>
      <c r="BK35" s="1523">
        <v>22.71</v>
      </c>
      <c r="BL35" s="1523">
        <v>2.68</v>
      </c>
      <c r="BM35" s="1523">
        <v>33.770000000000003</v>
      </c>
      <c r="BN35" s="1523">
        <v>3.99</v>
      </c>
      <c r="BO35" s="1523">
        <v>49.46</v>
      </c>
      <c r="BP35" s="1523">
        <v>5.84</v>
      </c>
      <c r="BQ35" s="1523">
        <v>1.72</v>
      </c>
      <c r="BR35" s="1524">
        <v>0.49</v>
      </c>
      <c r="BS35" s="1523">
        <v>2.37</v>
      </c>
      <c r="BT35" s="1523">
        <v>0.68</v>
      </c>
      <c r="BU35" s="1523">
        <v>3.53</v>
      </c>
      <c r="BV35" s="1523">
        <v>1</v>
      </c>
      <c r="BW35" s="1523">
        <v>5.17</v>
      </c>
      <c r="BX35" s="1523">
        <v>1.47</v>
      </c>
      <c r="BY35" s="1523">
        <v>515.14</v>
      </c>
      <c r="BZ35" s="1523">
        <v>16.77</v>
      </c>
      <c r="CA35" s="1523">
        <v>13.08</v>
      </c>
      <c r="CB35" s="1523">
        <v>2.56</v>
      </c>
      <c r="CC35" s="1523">
        <v>9.83</v>
      </c>
      <c r="CD35" s="1523">
        <v>2.1</v>
      </c>
      <c r="CE35" s="1523">
        <v>203.31</v>
      </c>
      <c r="CF35" s="1523">
        <v>34.07</v>
      </c>
      <c r="CG35" s="1522">
        <v>15.92</v>
      </c>
      <c r="CH35" s="1522">
        <v>1.52</v>
      </c>
      <c r="CI35" s="1522">
        <v>7.81</v>
      </c>
      <c r="CJ35" s="1522">
        <v>3.69</v>
      </c>
      <c r="CK35" s="1522">
        <v>8.2899999999999991</v>
      </c>
      <c r="CL35" s="1522">
        <v>1.92</v>
      </c>
      <c r="CM35" s="1522">
        <v>22.73</v>
      </c>
      <c r="CN35" s="1522">
        <v>2.4500000000000002</v>
      </c>
      <c r="CO35" s="1522">
        <v>13.76</v>
      </c>
      <c r="CP35" s="1522">
        <v>2.34</v>
      </c>
      <c r="CQ35" s="1522">
        <v>8.59</v>
      </c>
      <c r="CR35" s="1522">
        <v>0.71</v>
      </c>
      <c r="CS35" s="1522">
        <v>38.36</v>
      </c>
      <c r="CT35" s="1522">
        <v>11.03</v>
      </c>
      <c r="CU35" s="1522">
        <v>42.96</v>
      </c>
      <c r="CV35" s="1522">
        <v>3.53</v>
      </c>
      <c r="CW35" s="1522">
        <v>42.2</v>
      </c>
      <c r="CX35" s="1522">
        <v>11.03</v>
      </c>
      <c r="CY35" s="1522">
        <f t="shared" si="5"/>
        <v>42.96</v>
      </c>
      <c r="CZ35" s="1522">
        <v>3.53</v>
      </c>
      <c r="DA35" s="1522">
        <v>25.56</v>
      </c>
      <c r="DB35" s="1522">
        <v>10.73</v>
      </c>
      <c r="DC35" s="1522">
        <v>31.95</v>
      </c>
      <c r="DD35" s="1522">
        <v>13.41</v>
      </c>
      <c r="DE35" s="1522">
        <v>42.6</v>
      </c>
      <c r="DF35" s="1522">
        <v>17.88</v>
      </c>
      <c r="DG35" s="1522"/>
      <c r="DH35" s="1522"/>
      <c r="DI35" s="1522">
        <v>11.8</v>
      </c>
      <c r="DJ35" s="1522">
        <v>1.93</v>
      </c>
      <c r="DK35" s="1522">
        <v>2.79</v>
      </c>
      <c r="DL35" s="1522">
        <v>0.36</v>
      </c>
      <c r="DM35" s="1522">
        <v>40.630000000000003</v>
      </c>
      <c r="DN35" s="1522">
        <v>5.56</v>
      </c>
      <c r="DO35" s="1522">
        <v>53.33</v>
      </c>
      <c r="DP35" s="1522">
        <v>7.06</v>
      </c>
      <c r="DQ35" s="1522">
        <v>64.56</v>
      </c>
      <c r="DR35" s="1522">
        <v>7.75</v>
      </c>
      <c r="DS35" s="1522">
        <v>78.22</v>
      </c>
      <c r="DT35" s="1522">
        <v>8.59</v>
      </c>
      <c r="DU35" s="1522">
        <v>12.64</v>
      </c>
      <c r="DV35" s="1522">
        <v>1.72</v>
      </c>
      <c r="DW35" s="1522">
        <v>14.75</v>
      </c>
      <c r="DX35" s="1522">
        <v>2</v>
      </c>
    </row>
    <row r="36" spans="1:128" ht="18.75" customHeight="1">
      <c r="A36" s="1497">
        <v>10</v>
      </c>
      <c r="B36" s="1498" t="s">
        <v>1857</v>
      </c>
      <c r="C36" s="1499" t="s">
        <v>1026</v>
      </c>
      <c r="D36" s="1500" t="str">
        <f>IF($D$2=40.5,BG31,IF($D$2=41.5,BG32,IF($D$2=42.5,BG33,IF($D$2=43.5,BG34,IF($D$2=44.5,BG35,IF($D$2=45.5,BG36,IF($D$2=46.5,BG37,)))))))&amp;
IF($D$2=47.5,BG38,IF($D$2=48.5,BG39,IF($D$2=49.5,BG40,IF($D$2=50.5,BG41,IF($D$2=51.5,BG42,IF($D$2=52.5,BG43,IF($D$2=53.5,BG44,)))))))&amp;
IF($D$2=54.5,BG45,IF($D$2=55.5,BG46,IF($D$2=56.5,BG47,IF($D$2=57.5,BG48,IF($D$2=15.5,BG6,IF($D$2=16.5,BG7,IF($D$2=17.5,BG8,)))))))&amp;
IF($D$2=18.5,BG9,IF($D$2=19.5,BG10,IF($D$2=20.5,BG11,IF($D$2=21.5,BG12,IF($D$2=22.5,BG13,IF($D$2=23.5,BG14,IF($D$2=24.5,BG15,)))))))&amp;IF($D$2=25.5,BG16,IF($D$2=26.5,BG17,IF($D$2=39.5,BG30,)))&amp;IF($D$2=31.5,BG22,IF($D$2=32.5,BG23,IF($D$2=33.5,BG24,IF($D$2=34.5,BG25,IF($D$2=35.5,BG26,IF($D$2=36.5,BG27,IF($D$2=37.5,BG28,IF($C$2=38.5,BG29,))))))))&amp;IF($D$2=27.5,BG18,IF($D$2=28.5,BG19,IF($D$2=29.5,BG20,IF($D$2=30.5,BG21,))))</f>
        <v>6.89</v>
      </c>
      <c r="E36" s="1500" t="str">
        <f>IF($D$2=40.5,BH31,IF($D$2=41.5,BH32,IF($D$2=42.5,BH33,IF($D$2=43.5,BH34,IF($D$2=44.5,BH35,IF($D$2=45.5,BH36,IF($D$2=46.5,BH37,)))))))&amp;
IF($D$2=47.5,BH38,IF($D$2=48.5,BH39,IF($D$2=49.5,BH40,IF($D$2=50.5,BH41,IF($D$2=51.5,BH42,IF($D$2=52.5,BH43,IF($D$2=53.5,BH44,)))))))&amp;
IF($D$2=54.5,BH45,IF($D$2=55.5,BH46,IF($D$2=56.5,BH47,IF($D$2=57.5,BH48,IF($D$2=15.5,BH6,IF($D$2=16.5,BH7,IF($D$2=17.5,BH8,)))))))&amp;
IF($D$2=18.5,BH9,IF($D$2=19.5,BH10,IF($D$2=20.5,BH11,IF($D$2=21.5,BH12,IF($D$2=22.5,BH13,IF($D$2=23.5,BH14,IF($D$2=24.5,BH15,)))))))&amp;IF($D$2=25.5,BH16,IF($D$2=26.5,BH17,IF($D$2=39.5,BH30,)))&amp;IF($D$2=31.5,BH22,IF($D$2=32.5,BH23,IF($D$2=33.5,BH24,IF($D$2=34.5,BH25,IF($D$2=35.5,BH26,IF($D$2=36.5,BH27,IF($D$2=37.5,BH28,IF($C$2=38.5,BH29,))))))))&amp;IF($D$2=27.5,BH18,IF($D$2=28.5,BH19,IF($D$2=29.5,BH20,IF($D$2=30.5,BH21,))))</f>
        <v>0.88</v>
      </c>
      <c r="F36" s="1501">
        <f>E36*1.25</f>
        <v>1.1000000000000001</v>
      </c>
      <c r="G36" s="1501">
        <f>D36+E36</f>
        <v>7.77</v>
      </c>
      <c r="H36" s="1501">
        <f>D36+F36</f>
        <v>7.99</v>
      </c>
      <c r="I36" s="1367"/>
      <c r="J36" s="1367"/>
      <c r="K36" s="1367"/>
      <c r="L36" s="1522">
        <v>45.5</v>
      </c>
      <c r="M36" s="1522">
        <v>1.33</v>
      </c>
      <c r="N36" s="1522">
        <v>0.16</v>
      </c>
      <c r="O36" s="1523">
        <v>3.12</v>
      </c>
      <c r="P36" s="1523">
        <v>0.46</v>
      </c>
      <c r="Q36" s="1523">
        <v>4.8099999999999996</v>
      </c>
      <c r="R36" s="1523">
        <v>0.66</v>
      </c>
      <c r="S36" s="1523">
        <v>19.07</v>
      </c>
      <c r="T36" s="1523">
        <v>3.47</v>
      </c>
      <c r="U36" s="1523">
        <v>35.28</v>
      </c>
      <c r="V36" s="1523">
        <v>7.92</v>
      </c>
      <c r="W36" s="1523">
        <v>18.7</v>
      </c>
      <c r="X36" s="1523">
        <v>2.93</v>
      </c>
      <c r="Y36" s="1523">
        <v>7.07</v>
      </c>
      <c r="Z36" s="1523">
        <v>1.7</v>
      </c>
      <c r="AA36" s="1523">
        <v>33.67</v>
      </c>
      <c r="AB36" s="1523">
        <v>3.34</v>
      </c>
      <c r="AC36" s="1523">
        <v>39.799999999999997</v>
      </c>
      <c r="AD36" s="1523">
        <v>5.04</v>
      </c>
      <c r="AE36" s="1523">
        <v>52.32</v>
      </c>
      <c r="AF36" s="1523">
        <v>4.66</v>
      </c>
      <c r="AG36" s="1523">
        <v>70.739999999999995</v>
      </c>
      <c r="AH36" s="1523">
        <v>19</v>
      </c>
      <c r="AI36" s="1522">
        <v>27.07</v>
      </c>
      <c r="AJ36" s="1522">
        <v>6.36</v>
      </c>
      <c r="AK36" s="1522">
        <v>7.88</v>
      </c>
      <c r="AL36" s="1522">
        <v>1.01</v>
      </c>
      <c r="AM36" s="1523">
        <v>42.34</v>
      </c>
      <c r="AN36" s="1523">
        <v>9.5</v>
      </c>
      <c r="AO36" s="1523">
        <v>14.83</v>
      </c>
      <c r="AP36" s="1523">
        <v>1.91</v>
      </c>
      <c r="AQ36" s="1523">
        <v>49.61</v>
      </c>
      <c r="AR36" s="1523">
        <v>15.33</v>
      </c>
      <c r="AS36" s="1523">
        <v>16.68</v>
      </c>
      <c r="AT36" s="1523">
        <v>2.91</v>
      </c>
      <c r="AU36" s="1523">
        <v>61.46</v>
      </c>
      <c r="AV36" s="1523">
        <v>19.100000000000001</v>
      </c>
      <c r="AW36" s="1523">
        <v>6.48</v>
      </c>
      <c r="AX36" s="1523">
        <v>1.3</v>
      </c>
      <c r="AY36" s="1522">
        <v>8.61</v>
      </c>
      <c r="AZ36" s="1522">
        <v>1.51</v>
      </c>
      <c r="BA36" s="1524">
        <v>10.52</v>
      </c>
      <c r="BB36" s="1524">
        <v>2.4700000000000002</v>
      </c>
      <c r="BC36" s="1523">
        <v>9.2200000000000006</v>
      </c>
      <c r="BD36" s="1523">
        <v>1.25</v>
      </c>
      <c r="BE36" s="1523">
        <v>7.9</v>
      </c>
      <c r="BF36" s="1523">
        <v>0.54</v>
      </c>
      <c r="BG36" s="1523">
        <v>7.22</v>
      </c>
      <c r="BH36" s="1523">
        <v>0.77</v>
      </c>
      <c r="BI36" s="1523">
        <v>16.7</v>
      </c>
      <c r="BJ36" s="1523">
        <v>1.94</v>
      </c>
      <c r="BK36" s="1523">
        <v>23.07</v>
      </c>
      <c r="BL36" s="1523">
        <v>2.68</v>
      </c>
      <c r="BM36" s="1523">
        <v>34.299999999999997</v>
      </c>
      <c r="BN36" s="1523">
        <v>3.99</v>
      </c>
      <c r="BO36" s="1523">
        <v>50.24</v>
      </c>
      <c r="BP36" s="1523">
        <v>5.84</v>
      </c>
      <c r="BQ36" s="1523">
        <v>1.74</v>
      </c>
      <c r="BR36" s="1524">
        <v>0.49</v>
      </c>
      <c r="BS36" s="1523">
        <v>2.4</v>
      </c>
      <c r="BT36" s="1523">
        <v>0.68</v>
      </c>
      <c r="BU36" s="1523">
        <v>3.57</v>
      </c>
      <c r="BV36" s="1523">
        <v>1</v>
      </c>
      <c r="BW36" s="1523">
        <v>5.23</v>
      </c>
      <c r="BX36" s="1523">
        <v>1.47</v>
      </c>
      <c r="BY36" s="1523">
        <v>525.91999999999996</v>
      </c>
      <c r="BZ36" s="1523">
        <v>16.77</v>
      </c>
      <c r="CA36" s="1523">
        <v>13.24</v>
      </c>
      <c r="CB36" s="1523">
        <v>2.56</v>
      </c>
      <c r="CC36" s="1523">
        <v>9.94</v>
      </c>
      <c r="CD36" s="1523">
        <v>2.1</v>
      </c>
      <c r="CE36" s="1523">
        <v>206.77</v>
      </c>
      <c r="CF36" s="1523">
        <v>34.07</v>
      </c>
      <c r="CG36" s="1522">
        <v>16.190000000000001</v>
      </c>
      <c r="CH36" s="1522">
        <v>1.52</v>
      </c>
      <c r="CI36" s="1522">
        <v>7.81</v>
      </c>
      <c r="CJ36" s="1522">
        <v>3.69</v>
      </c>
      <c r="CK36" s="1522">
        <v>8.33</v>
      </c>
      <c r="CL36" s="1522">
        <v>1.92</v>
      </c>
      <c r="CM36" s="1522">
        <v>22.98</v>
      </c>
      <c r="CN36" s="1522">
        <v>2.4500000000000002</v>
      </c>
      <c r="CO36" s="1522">
        <v>13.99</v>
      </c>
      <c r="CP36" s="1522">
        <v>2.34</v>
      </c>
      <c r="CQ36" s="1522">
        <v>8.73</v>
      </c>
      <c r="CR36" s="1522">
        <v>0.71</v>
      </c>
      <c r="CS36" s="1522">
        <v>38.76</v>
      </c>
      <c r="CT36" s="1522">
        <v>11.03</v>
      </c>
      <c r="CU36" s="1522">
        <v>43.64</v>
      </c>
      <c r="CV36" s="1522">
        <v>3.53</v>
      </c>
      <c r="CW36" s="1522">
        <v>42.64</v>
      </c>
      <c r="CX36" s="1522">
        <v>11.03</v>
      </c>
      <c r="CY36" s="1522">
        <f t="shared" si="5"/>
        <v>43.64</v>
      </c>
      <c r="CZ36" s="1522">
        <v>3.53</v>
      </c>
      <c r="DA36" s="1522">
        <v>25.7</v>
      </c>
      <c r="DB36" s="1522">
        <v>10.73</v>
      </c>
      <c r="DC36" s="1522">
        <v>32.119999999999997</v>
      </c>
      <c r="DD36" s="1522">
        <v>13.41</v>
      </c>
      <c r="DE36" s="1522">
        <v>42.83</v>
      </c>
      <c r="DF36" s="1522">
        <v>17.88</v>
      </c>
      <c r="DG36" s="1522"/>
      <c r="DH36" s="1522"/>
      <c r="DI36" s="1522">
        <v>11.98</v>
      </c>
      <c r="DJ36" s="1522">
        <v>1.93</v>
      </c>
      <c r="DK36" s="1522">
        <v>2.83</v>
      </c>
      <c r="DL36" s="1522">
        <v>0.36</v>
      </c>
      <c r="DM36" s="1522">
        <v>40.950000000000003</v>
      </c>
      <c r="DN36" s="1522">
        <v>5.56</v>
      </c>
      <c r="DO36" s="1522">
        <v>53.72</v>
      </c>
      <c r="DP36" s="1522">
        <v>7.06</v>
      </c>
      <c r="DQ36" s="1522">
        <v>65.02</v>
      </c>
      <c r="DR36" s="1522">
        <v>7.75</v>
      </c>
      <c r="DS36" s="1522">
        <v>78.790000000000006</v>
      </c>
      <c r="DT36" s="1522">
        <v>8.59</v>
      </c>
      <c r="DU36" s="1522">
        <v>12.84</v>
      </c>
      <c r="DV36" s="1522">
        <v>1.72</v>
      </c>
      <c r="DW36" s="1522">
        <v>14.98</v>
      </c>
      <c r="DX36" s="1522">
        <v>2</v>
      </c>
    </row>
    <row r="37" spans="1:128" ht="18.75" customHeight="1">
      <c r="A37" s="1497">
        <v>11</v>
      </c>
      <c r="B37" s="1498" t="s">
        <v>991</v>
      </c>
      <c r="C37" s="1508"/>
      <c r="D37" s="1509"/>
      <c r="E37" s="1509"/>
      <c r="F37" s="1501"/>
      <c r="G37" s="1501"/>
      <c r="H37" s="1501"/>
      <c r="I37" s="1367"/>
      <c r="J37" s="1367"/>
      <c r="K37" s="1367"/>
      <c r="L37" s="1522">
        <v>46.5</v>
      </c>
      <c r="M37" s="1522">
        <v>1.34</v>
      </c>
      <c r="N37" s="1522">
        <v>0.16</v>
      </c>
      <c r="O37" s="1523">
        <v>3.15</v>
      </c>
      <c r="P37" s="1523">
        <v>0.46</v>
      </c>
      <c r="Q37" s="1523">
        <v>4.8600000000000003</v>
      </c>
      <c r="R37" s="1523">
        <v>0.66</v>
      </c>
      <c r="S37" s="1523">
        <v>19.29</v>
      </c>
      <c r="T37" s="1523">
        <v>3.47</v>
      </c>
      <c r="U37" s="1523">
        <v>35.74</v>
      </c>
      <c r="V37" s="1523">
        <v>7.92</v>
      </c>
      <c r="W37" s="1523">
        <v>18.88</v>
      </c>
      <c r="X37" s="1523">
        <v>2.93</v>
      </c>
      <c r="Y37" s="1523">
        <v>7.16</v>
      </c>
      <c r="Z37" s="1523">
        <v>1.7</v>
      </c>
      <c r="AA37" s="1523">
        <v>34.049999999999997</v>
      </c>
      <c r="AB37" s="1523">
        <v>3.34</v>
      </c>
      <c r="AC37" s="1523">
        <v>40.24</v>
      </c>
      <c r="AD37" s="1523">
        <v>5.04</v>
      </c>
      <c r="AE37" s="1523">
        <v>52.75</v>
      </c>
      <c r="AF37" s="1523">
        <v>4.66</v>
      </c>
      <c r="AG37" s="1523">
        <v>71.69</v>
      </c>
      <c r="AH37" s="1523">
        <v>19</v>
      </c>
      <c r="AI37" s="1522">
        <v>27.38</v>
      </c>
      <c r="AJ37" s="1522">
        <v>6.36</v>
      </c>
      <c r="AK37" s="1522">
        <v>7.96</v>
      </c>
      <c r="AL37" s="1522">
        <v>1.01</v>
      </c>
      <c r="AM37" s="1523">
        <v>42.88</v>
      </c>
      <c r="AN37" s="1523">
        <v>9.5</v>
      </c>
      <c r="AO37" s="1523">
        <v>14.98</v>
      </c>
      <c r="AP37" s="1523">
        <v>1.91</v>
      </c>
      <c r="AQ37" s="1523">
        <v>50.23</v>
      </c>
      <c r="AR37" s="1523">
        <v>15.33</v>
      </c>
      <c r="AS37" s="1523">
        <v>16.82</v>
      </c>
      <c r="AT37" s="1523">
        <v>2.91</v>
      </c>
      <c r="AU37" s="1523">
        <v>62.24</v>
      </c>
      <c r="AV37" s="1523">
        <v>19.100000000000001</v>
      </c>
      <c r="AW37" s="1523">
        <v>6.55</v>
      </c>
      <c r="AX37" s="1523">
        <v>1.3</v>
      </c>
      <c r="AY37" s="1522">
        <f>AY36+0.1</f>
        <v>8.7099999999999991</v>
      </c>
      <c r="AZ37" s="1522">
        <v>1.51</v>
      </c>
      <c r="BA37" s="1524">
        <v>10.65</v>
      </c>
      <c r="BB37" s="1524">
        <v>2.4700000000000002</v>
      </c>
      <c r="BC37" s="1523">
        <v>9.32</v>
      </c>
      <c r="BD37" s="1523">
        <v>1.25</v>
      </c>
      <c r="BE37" s="1523">
        <v>8.0299999999999994</v>
      </c>
      <c r="BF37" s="1523">
        <v>0.54</v>
      </c>
      <c r="BG37" s="1523">
        <v>7.34</v>
      </c>
      <c r="BH37" s="1523">
        <v>0.77</v>
      </c>
      <c r="BI37" s="1523">
        <v>16.96</v>
      </c>
      <c r="BJ37" s="1523">
        <v>1.94</v>
      </c>
      <c r="BK37" s="1523">
        <v>23.43</v>
      </c>
      <c r="BL37" s="1523">
        <v>2.68</v>
      </c>
      <c r="BM37" s="1523">
        <v>34.840000000000003</v>
      </c>
      <c r="BN37" s="1523">
        <v>3.99</v>
      </c>
      <c r="BO37" s="1523">
        <v>51.02</v>
      </c>
      <c r="BP37" s="1523">
        <v>5.84</v>
      </c>
      <c r="BQ37" s="1523">
        <v>1.75</v>
      </c>
      <c r="BR37" s="1524">
        <v>0.49</v>
      </c>
      <c r="BS37" s="1523">
        <v>2.42</v>
      </c>
      <c r="BT37" s="1523">
        <v>0.68</v>
      </c>
      <c r="BU37" s="1523">
        <v>3.6</v>
      </c>
      <c r="BV37" s="1523">
        <v>1</v>
      </c>
      <c r="BW37" s="1523">
        <v>5.28</v>
      </c>
      <c r="BX37" s="1523">
        <v>1.47</v>
      </c>
      <c r="BY37" s="1523">
        <v>536.71</v>
      </c>
      <c r="BZ37" s="1523">
        <v>16.77</v>
      </c>
      <c r="CA37" s="1523">
        <v>13.41</v>
      </c>
      <c r="CB37" s="1523">
        <v>2.56</v>
      </c>
      <c r="CC37" s="1523">
        <v>10.050000000000001</v>
      </c>
      <c r="CD37" s="1523">
        <v>2.1</v>
      </c>
      <c r="CE37" s="1523">
        <v>210.24</v>
      </c>
      <c r="CF37" s="1523">
        <v>34.07</v>
      </c>
      <c r="CG37" s="1522">
        <v>16.47</v>
      </c>
      <c r="CH37" s="1522">
        <v>1.52</v>
      </c>
      <c r="CI37" s="1522">
        <v>7.81</v>
      </c>
      <c r="CJ37" s="1522">
        <v>3.69</v>
      </c>
      <c r="CK37" s="1522">
        <v>8.3800000000000008</v>
      </c>
      <c r="CL37" s="1522">
        <v>1.92</v>
      </c>
      <c r="CM37" s="1522">
        <v>23.22</v>
      </c>
      <c r="CN37" s="1522">
        <v>2.4500000000000002</v>
      </c>
      <c r="CO37" s="1522">
        <v>14.21</v>
      </c>
      <c r="CP37" s="1522">
        <v>2.34</v>
      </c>
      <c r="CQ37" s="1522">
        <v>8.86</v>
      </c>
      <c r="CR37" s="1522">
        <v>0.71</v>
      </c>
      <c r="CS37" s="1522">
        <v>39.17</v>
      </c>
      <c r="CT37" s="1522">
        <v>11.03</v>
      </c>
      <c r="CU37" s="1522">
        <v>44.32</v>
      </c>
      <c r="CV37" s="1522">
        <v>3.53</v>
      </c>
      <c r="CW37" s="1522">
        <v>43.08</v>
      </c>
      <c r="CX37" s="1522">
        <v>11.03</v>
      </c>
      <c r="CY37" s="1522">
        <f t="shared" si="5"/>
        <v>44.32</v>
      </c>
      <c r="CZ37" s="1522">
        <v>3.53</v>
      </c>
      <c r="DA37" s="1522">
        <v>25.84</v>
      </c>
      <c r="DB37" s="1522">
        <v>10.73</v>
      </c>
      <c r="DC37" s="1522">
        <v>32.299999999999997</v>
      </c>
      <c r="DD37" s="1522">
        <v>13.41</v>
      </c>
      <c r="DE37" s="1522">
        <v>43.07</v>
      </c>
      <c r="DF37" s="1522">
        <v>17.88</v>
      </c>
      <c r="DG37" s="1522"/>
      <c r="DH37" s="1522"/>
      <c r="DI37" s="1522">
        <v>12.15</v>
      </c>
      <c r="DJ37" s="1522">
        <v>1.93</v>
      </c>
      <c r="DK37" s="1522">
        <v>2.88</v>
      </c>
      <c r="DL37" s="1522">
        <v>0.36</v>
      </c>
      <c r="DM37" s="1522">
        <v>41.28</v>
      </c>
      <c r="DN37" s="1522">
        <v>5.56</v>
      </c>
      <c r="DO37" s="1522">
        <v>54.1</v>
      </c>
      <c r="DP37" s="1522">
        <v>7.06</v>
      </c>
      <c r="DQ37" s="1522">
        <v>65.489999999999995</v>
      </c>
      <c r="DR37" s="1522">
        <v>7.75</v>
      </c>
      <c r="DS37" s="1522">
        <v>79.36</v>
      </c>
      <c r="DT37" s="1522">
        <v>8.59</v>
      </c>
      <c r="DU37" s="1522">
        <v>13.03</v>
      </c>
      <c r="DV37" s="1522">
        <v>1.72</v>
      </c>
      <c r="DW37" s="1522">
        <v>15.2</v>
      </c>
      <c r="DX37" s="1522">
        <v>2</v>
      </c>
    </row>
    <row r="38" spans="1:128" ht="18.75" customHeight="1">
      <c r="A38" s="1497"/>
      <c r="B38" s="1498" t="s">
        <v>992</v>
      </c>
      <c r="C38" s="1499" t="s">
        <v>1026</v>
      </c>
      <c r="D38" s="1500" t="str">
        <f>IF($D$2=40.5,BI31,IF($D$2=41.5,BI32,IF($D$2=42.5,BI33,IF($D$2=43.5,BI34,IF($D$2=44.5,BI35,IF($D$2=45.5,BI36,IF($D$2=46.5,BI37,)))))))&amp;
IF($D$2=47.5,BI38,IF($D$2=48.5,BI39,IF($D$2=49.5,BI40,IF($D$2=50.5,BI41,IF($D$2=51.5,BI42,IF($D$2=52.5,BI43,IF($D$2=53.5,BI44,)))))))&amp;
IF($D$2=54.5,BI45,IF($D$2=55.5,BI46,IF($D$2=56.5,BI47,IF($D$2=57.5,BI48,IF($D$2=15.5,BI6,IF($D$2=16.5,BI7,IF($D$2=17.5,BI8,)))))))&amp;
IF($D$2=18.5,BI9,IF($D$2=19.5,BI10,IF($D$2=20.5,BI11,IF($D$2=21.5,BI12,IF($D$2=22.5,BI13,IF($D$2=23.5,BI14,IF($D$2=24.5,BI15,)))))))&amp;IF($D$2=25.5,BI16,IF($D$2=26.5,BI17,IF($D$2=39.5,BI30,)))&amp;IF($D$2=31.5,BI22,IF($D$2=32.5,BI23,IF($D$2=33.5,BI24,IF($D$2=34.5,BI25,IF($D$2=35.5,BI26,IF($D$2=36.5,BI27,IF($D$2=37.5,BI28,IF($C$2=38.5,BI29,))))))))&amp;IF($D$2=27.5,BI18,IF($D$2=28.5,BI19,IF($D$2=29.5,BI20,IF($D$2=30.5,BI21,))))</f>
        <v>15.98</v>
      </c>
      <c r="E38" s="1500" t="str">
        <f>IF($D$2=40.5,BJ31,IF($D$2=41.5,BJ32,IF($D$2=42.5,BJ33,IF($D$2=43.5,BJ34,IF($D$2=44.5,BJ35,IF($D$2=45.5,BJ36,IF($D$2=46.5,BJ37,)))))))&amp;
IF($D$2=47.5,BJ38,IF($D$2=48.5,BJ39,IF($D$2=49.5,BJ40,IF($D$2=50.5,BJ41,IF($D$2=51.5,BJ42,IF($D$2=52.5,BJ43,IF($D$2=53.5,BJ44,)))))))&amp;
IF($D$2=54.5,BJ45,IF($D$2=55.5,BJ46,IF($D$2=56.5,BJ47,IF($D$2=57.5,BJ48,IF($D$2=15.5,BJ6,IF($D$2=16.5,BJ7,IF($D$2=17.5,BJ8,)))))))&amp;
IF($D$2=18.5,BJ9,IF($D$2=19.5,BJ10,IF($D$2=20.5,BJ11,IF($D$2=21.5,BJ12,IF($D$2=22.5,BJ13,IF($D$2=23.5,BJ14,IF($D$2=24.5,BJ15,)))))))&amp;IF($D$2=25.5,BJ16,IF($D$2=26.5,BJ17,IF($D$2=39.5,BJ30,)))&amp;IF($D$2=31.5,BJ22,IF($D$2=32.5,BJ23,IF($D$2=33.5,BJ24,IF($D$2=34.5,BJ25,IF($D$2=35.5,BJ26,IF($D$2=36.5,BJ27,IF($D$2=37.5,BJ28,IF($C$2=38.5,BJ29,))))))))&amp;IF($D$2=27.5,BJ18,IF($D$2=28.5,BJ19,IF($D$2=29.5,BJ20,IF($D$2=30.5,BJ21,))))</f>
        <v>2.21</v>
      </c>
      <c r="F38" s="1501">
        <f t="shared" ref="F38:F81" si="6">E38*1.25</f>
        <v>2.7625000000000002</v>
      </c>
      <c r="G38" s="1501">
        <f>D38+E38</f>
        <v>18.190000000000001</v>
      </c>
      <c r="H38" s="1501">
        <f>D38+F38</f>
        <v>18.7425</v>
      </c>
      <c r="I38" s="1367"/>
      <c r="J38" s="1367"/>
      <c r="K38" s="1367"/>
      <c r="L38" s="1522">
        <v>47.5</v>
      </c>
      <c r="M38" s="1522">
        <v>1.35</v>
      </c>
      <c r="N38" s="1522">
        <v>0.16</v>
      </c>
      <c r="O38" s="1523">
        <v>3.18</v>
      </c>
      <c r="P38" s="1523">
        <v>0.46</v>
      </c>
      <c r="Q38" s="1523">
        <v>4.91</v>
      </c>
      <c r="R38" s="1523">
        <v>0.66</v>
      </c>
      <c r="S38" s="1523">
        <v>19.5</v>
      </c>
      <c r="T38" s="1523">
        <v>3.47</v>
      </c>
      <c r="U38" s="1523">
        <v>36.19</v>
      </c>
      <c r="V38" s="1523">
        <v>7.92</v>
      </c>
      <c r="W38" s="1523">
        <v>19.07</v>
      </c>
      <c r="X38" s="1523">
        <v>2.93</v>
      </c>
      <c r="Y38" s="1523">
        <v>7.24</v>
      </c>
      <c r="Z38" s="1523">
        <v>1.7</v>
      </c>
      <c r="AA38" s="1523">
        <v>34.44</v>
      </c>
      <c r="AB38" s="1523">
        <v>3.34</v>
      </c>
      <c r="AC38" s="1523">
        <v>40.69</v>
      </c>
      <c r="AD38" s="1523">
        <v>5.04</v>
      </c>
      <c r="AE38" s="1523">
        <v>53.19</v>
      </c>
      <c r="AF38" s="1523">
        <v>4.66</v>
      </c>
      <c r="AG38" s="1523">
        <v>72.63</v>
      </c>
      <c r="AH38" s="1523">
        <v>19</v>
      </c>
      <c r="AI38" s="1522">
        <v>27.68</v>
      </c>
      <c r="AJ38" s="1522">
        <v>6.36</v>
      </c>
      <c r="AK38" s="1522">
        <v>8.0500000000000007</v>
      </c>
      <c r="AL38" s="1522">
        <v>1.01</v>
      </c>
      <c r="AM38" s="1523">
        <v>43.42</v>
      </c>
      <c r="AN38" s="1523">
        <v>9.5</v>
      </c>
      <c r="AO38" s="1523">
        <v>15.14</v>
      </c>
      <c r="AP38" s="1523">
        <v>1.91</v>
      </c>
      <c r="AQ38" s="1523">
        <v>50.85</v>
      </c>
      <c r="AR38" s="1523">
        <v>15.33</v>
      </c>
      <c r="AS38" s="1523">
        <v>16.96</v>
      </c>
      <c r="AT38" s="1523">
        <v>2.91</v>
      </c>
      <c r="AU38" s="1523">
        <v>63.01</v>
      </c>
      <c r="AV38" s="1523">
        <v>19.100000000000001</v>
      </c>
      <c r="AW38" s="1523">
        <v>6.63</v>
      </c>
      <c r="AX38" s="1523">
        <v>1.3</v>
      </c>
      <c r="AY38" s="1522">
        <f t="shared" ref="AY38:AY59" si="7">AY37+0.1</f>
        <v>8.8099999999999987</v>
      </c>
      <c r="AZ38" s="1522">
        <v>1.51</v>
      </c>
      <c r="BA38" s="1524">
        <v>10.77</v>
      </c>
      <c r="BB38" s="1524">
        <v>2.4700000000000002</v>
      </c>
      <c r="BC38" s="1523">
        <v>9.42</v>
      </c>
      <c r="BD38" s="1523">
        <v>1.25</v>
      </c>
      <c r="BE38" s="1523">
        <v>8.16</v>
      </c>
      <c r="BF38" s="1523">
        <v>0.54</v>
      </c>
      <c r="BG38" s="1523">
        <v>7.46</v>
      </c>
      <c r="BH38" s="1523">
        <v>0.77</v>
      </c>
      <c r="BI38" s="1523">
        <v>17.22</v>
      </c>
      <c r="BJ38" s="1523">
        <v>1.94</v>
      </c>
      <c r="BK38" s="1523">
        <v>23.79</v>
      </c>
      <c r="BL38" s="1523">
        <v>2.68</v>
      </c>
      <c r="BM38" s="1523">
        <v>35.369999999999997</v>
      </c>
      <c r="BN38" s="1523">
        <v>3.99</v>
      </c>
      <c r="BO38" s="1523">
        <v>51.81</v>
      </c>
      <c r="BP38" s="1523">
        <v>5.84</v>
      </c>
      <c r="BQ38" s="1523">
        <v>1.77</v>
      </c>
      <c r="BR38" s="1524">
        <v>0.49</v>
      </c>
      <c r="BS38" s="1523">
        <v>2.4500000000000002</v>
      </c>
      <c r="BT38" s="1523">
        <v>0.68</v>
      </c>
      <c r="BU38" s="1523">
        <v>3.64</v>
      </c>
      <c r="BV38" s="1523">
        <v>1</v>
      </c>
      <c r="BW38" s="1523">
        <v>5.33</v>
      </c>
      <c r="BX38" s="1523">
        <v>1.47</v>
      </c>
      <c r="BY38" s="1523">
        <v>547.49</v>
      </c>
      <c r="BZ38" s="1523">
        <v>16.77</v>
      </c>
      <c r="CA38" s="1523">
        <v>13.57</v>
      </c>
      <c r="CB38" s="1523">
        <v>2.56</v>
      </c>
      <c r="CC38" s="1523">
        <v>10.16</v>
      </c>
      <c r="CD38" s="1523">
        <v>2.1</v>
      </c>
      <c r="CE38" s="1523">
        <v>213.7</v>
      </c>
      <c r="CF38" s="1523">
        <v>34.07</v>
      </c>
      <c r="CG38" s="1522">
        <v>16.75</v>
      </c>
      <c r="CH38" s="1522">
        <v>1.52</v>
      </c>
      <c r="CI38" s="1522">
        <v>7.81</v>
      </c>
      <c r="CJ38" s="1522">
        <v>3.69</v>
      </c>
      <c r="CK38" s="1522">
        <v>8.43</v>
      </c>
      <c r="CL38" s="1522">
        <v>1.92</v>
      </c>
      <c r="CM38" s="1522">
        <v>23.47</v>
      </c>
      <c r="CN38" s="1522">
        <v>2.4500000000000002</v>
      </c>
      <c r="CO38" s="1522">
        <v>14.44</v>
      </c>
      <c r="CP38" s="1522">
        <v>2.34</v>
      </c>
      <c r="CQ38" s="1522">
        <v>9</v>
      </c>
      <c r="CR38" s="1522">
        <v>0.71</v>
      </c>
      <c r="CS38" s="1522">
        <v>39.57</v>
      </c>
      <c r="CT38" s="1522">
        <v>11.03</v>
      </c>
      <c r="CU38" s="1522">
        <v>44.99</v>
      </c>
      <c r="CV38" s="1522">
        <v>3.53</v>
      </c>
      <c r="CW38" s="1522">
        <v>43.53</v>
      </c>
      <c r="CX38" s="1522">
        <v>11.03</v>
      </c>
      <c r="CY38" s="1522">
        <f t="shared" si="5"/>
        <v>44.99</v>
      </c>
      <c r="CZ38" s="1522">
        <v>3.53</v>
      </c>
      <c r="DA38" s="1522">
        <v>25.98</v>
      </c>
      <c r="DB38" s="1522">
        <v>10.73</v>
      </c>
      <c r="DC38" s="1522">
        <v>32.479999999999997</v>
      </c>
      <c r="DD38" s="1522">
        <v>13.41</v>
      </c>
      <c r="DE38" s="1522">
        <v>43.31</v>
      </c>
      <c r="DF38" s="1522">
        <v>17.88</v>
      </c>
      <c r="DG38" s="1522"/>
      <c r="DH38" s="1522"/>
      <c r="DI38" s="1522">
        <v>12.32</v>
      </c>
      <c r="DJ38" s="1522">
        <v>1.93</v>
      </c>
      <c r="DK38" s="1522">
        <v>2.92</v>
      </c>
      <c r="DL38" s="1522">
        <v>0.36</v>
      </c>
      <c r="DM38" s="1522">
        <v>41.6</v>
      </c>
      <c r="DN38" s="1522">
        <v>5.56</v>
      </c>
      <c r="DO38" s="1522">
        <v>54.48</v>
      </c>
      <c r="DP38" s="1522">
        <v>7.06</v>
      </c>
      <c r="DQ38" s="1522">
        <v>65.959999999999994</v>
      </c>
      <c r="DR38" s="1522">
        <v>7.75</v>
      </c>
      <c r="DS38" s="1522">
        <v>79.930000000000007</v>
      </c>
      <c r="DT38" s="1522">
        <v>8.59</v>
      </c>
      <c r="DU38" s="1522">
        <v>13.22</v>
      </c>
      <c r="DV38" s="1522">
        <v>1.72</v>
      </c>
      <c r="DW38" s="1522">
        <v>15.43</v>
      </c>
      <c r="DX38" s="1522">
        <v>2</v>
      </c>
    </row>
    <row r="39" spans="1:128" ht="18.75" customHeight="1">
      <c r="A39" s="1497"/>
      <c r="B39" s="1498" t="s">
        <v>1006</v>
      </c>
      <c r="C39" s="1499" t="s">
        <v>1026</v>
      </c>
      <c r="D39" s="1500" t="str">
        <f>IF($D$2=40.5,BK31,IF($D$2=41.5,BK32,IF($D$2=42.5,BK33,IF($D$2=43.5,BK34,IF($D$2=44.5,BK35,IF($D$2=45.5,BK36,IF($D$2=46.5,BK37,)))))))&amp;
IF($D$2=47.5,BK38,IF($D$2=48.5,BK39,IF($D$2=49.5,BK40,IF($D$2=50.5,BK41,IF($D$2=51.5,BK42,IF($D$2=52.5,BK43,IF($D$2=53.5,BK44,)))))))&amp;
IF($D$2=54.5,BK45,IF($D$2=55.5,BK46,IF($D$2=56.5,BK47,IF($D$2=57.5,BK48,IF($D$2=15.5,BK6,IF($D$2=16.5,BK7,IF($D$2=17.5,BK8,)))))))&amp;
IF($D$2=18.5,BK9,IF($D$2=19.5,BK10,IF($D$2=20.5,BK11,IF($D$2=21.5,BK12,IF($D$2=22.5,BK13,IF($D$2=23.5,BK14,IF($D$2=24.5,BK15,)))))))&amp;IF($D$2=25.5,BK16,IF($D$2=26.5,BK17,IF($D$2=39.5,BK30,)))&amp;IF($D$2=31.5,BK22,IF($D$2=32.5,BK23,IF($D$2=33.5,BK24,IF($D$2=34.5,BK25,IF($D$2=35.5,BK26,IF($D$2=36.5,BK27,IF($D$2=37.5,BK28,IF($C$2=38.5,BK29,))))))))&amp;IF($D$2=27.5,BK18,IF($D$2=28.5,BK19,IF($D$2=29.5,BK20,IF($D$2=30.5,BK21,))))</f>
        <v>22.08</v>
      </c>
      <c r="E39" s="1500" t="str">
        <f>IF($D$2=40.5,BL31,IF($D$2=41.5,BL32,IF($D$2=42.5,BL33,IF($D$2=43.5,BL34,IF($D$2=44.5,BL35,IF($D$2=45.5,BL36,IF($D$2=46.5,BL37,)))))))&amp;
IF($D$2=47.5,BL38,IF($D$2=48.5,BL39,IF($D$2=49.5,BL40,IF($D$2=50.5,BL41,IF($D$2=51.5,BL42,IF($D$2=52.5,BL43,IF($D$2=53.5,BL44,)))))))&amp;
IF($D$2=54.5,BL45,IF($D$2=55.5,BL46,IF($D$2=56.5,BL47,IF($D$2=57.5,BL48,IF($D$2=15.5,BL6,IF($D$2=16.5,BL7,IF($D$2=17.5,BL8,)))))))&amp;
IF($D$2=18.5,BL9,IF($D$2=19.5,BL10,IF($D$2=20.5,BL11,IF($D$2=21.5,BL12,IF($D$2=22.5,BL13,IF($D$2=23.5,BL14,IF($D$2=24.5,BL15,)))))))&amp;IF($D$2=25.5,BL16,IF($D$2=26.5,BL17,IF($D$2=39.5,BL30,)))&amp;IF($D$2=31.5,BL22,IF($D$2=32.5,BL23,IF($D$2=33.5,BL24,IF($D$2=34.5,BL25,IF($D$2=35.5,BL26,IF($D$2=36.5,BL27,IF($D$2=37.5,BL28,IF($C$2=38.5,BL29,))))))))&amp;IF($D$2=27.5,BL18,IF($D$2=28.5,BL19,IF($D$2=29.5,BL20,IF($D$2=30.5,BL21,))))</f>
        <v>3.05</v>
      </c>
      <c r="F39" s="1501">
        <f t="shared" si="6"/>
        <v>3.8125</v>
      </c>
      <c r="G39" s="1501">
        <f>D39+E39</f>
        <v>25.13</v>
      </c>
      <c r="H39" s="1501">
        <f>D39+F39</f>
        <v>25.892499999999998</v>
      </c>
      <c r="I39" s="1367"/>
      <c r="J39" s="1367"/>
      <c r="K39" s="1367"/>
      <c r="L39" s="1522">
        <v>48.5</v>
      </c>
      <c r="M39" s="1522">
        <v>1.37</v>
      </c>
      <c r="N39" s="1522">
        <v>0.16</v>
      </c>
      <c r="O39" s="1523">
        <v>3.22</v>
      </c>
      <c r="P39" s="1523">
        <v>0.46</v>
      </c>
      <c r="Q39" s="1523">
        <v>4.97</v>
      </c>
      <c r="R39" s="1523">
        <v>0.66</v>
      </c>
      <c r="S39" s="1523">
        <v>19.72</v>
      </c>
      <c r="T39" s="1523">
        <v>3.47</v>
      </c>
      <c r="U39" s="1523">
        <v>36.64</v>
      </c>
      <c r="V39" s="1523">
        <v>7.92</v>
      </c>
      <c r="W39" s="1523">
        <v>19.260000000000002</v>
      </c>
      <c r="X39" s="1523">
        <v>2.93</v>
      </c>
      <c r="Y39" s="1523">
        <v>7.32</v>
      </c>
      <c r="Z39" s="1523">
        <v>1.7</v>
      </c>
      <c r="AA39" s="1523">
        <v>34.82</v>
      </c>
      <c r="AB39" s="1523">
        <v>3.34</v>
      </c>
      <c r="AC39" s="1523">
        <v>41.14</v>
      </c>
      <c r="AD39" s="1523">
        <v>5.04</v>
      </c>
      <c r="AE39" s="1523">
        <v>53.62</v>
      </c>
      <c r="AF39" s="1523">
        <v>4.66</v>
      </c>
      <c r="AG39" s="1523">
        <v>73.58</v>
      </c>
      <c r="AH39" s="1523">
        <v>19</v>
      </c>
      <c r="AI39" s="1522">
        <v>27.98</v>
      </c>
      <c r="AJ39" s="1522">
        <v>6.36</v>
      </c>
      <c r="AK39" s="1522">
        <v>8.1300000000000008</v>
      </c>
      <c r="AL39" s="1522">
        <v>1.01</v>
      </c>
      <c r="AM39" s="1523">
        <v>43.96</v>
      </c>
      <c r="AN39" s="1523">
        <v>9.5</v>
      </c>
      <c r="AO39" s="1523">
        <v>15.3</v>
      </c>
      <c r="AP39" s="1523">
        <v>1.91</v>
      </c>
      <c r="AQ39" s="1523">
        <v>51.48</v>
      </c>
      <c r="AR39" s="1523">
        <v>15.33</v>
      </c>
      <c r="AS39" s="1523">
        <v>17.100000000000001</v>
      </c>
      <c r="AT39" s="1523">
        <v>2.91</v>
      </c>
      <c r="AU39" s="1523">
        <v>63.79</v>
      </c>
      <c r="AV39" s="1523">
        <v>19.100000000000001</v>
      </c>
      <c r="AW39" s="1523">
        <v>6.71</v>
      </c>
      <c r="AX39" s="1523">
        <v>1.3</v>
      </c>
      <c r="AY39" s="1522">
        <f t="shared" si="7"/>
        <v>8.9099999999999984</v>
      </c>
      <c r="AZ39" s="1522">
        <v>1.51</v>
      </c>
      <c r="BA39" s="1524">
        <v>10.89</v>
      </c>
      <c r="BB39" s="1524">
        <v>2.4700000000000002</v>
      </c>
      <c r="BC39" s="1523">
        <v>9.51</v>
      </c>
      <c r="BD39" s="1523">
        <v>1.25</v>
      </c>
      <c r="BE39" s="1523">
        <v>8.2899999999999991</v>
      </c>
      <c r="BF39" s="1523">
        <v>0.54</v>
      </c>
      <c r="BG39" s="1523">
        <v>7.57</v>
      </c>
      <c r="BH39" s="1523">
        <v>0.77</v>
      </c>
      <c r="BI39" s="1523">
        <v>17.48</v>
      </c>
      <c r="BJ39" s="1523">
        <v>1.94</v>
      </c>
      <c r="BK39" s="1523">
        <v>24.15</v>
      </c>
      <c r="BL39" s="1523">
        <v>2.68</v>
      </c>
      <c r="BM39" s="1523">
        <v>35.909999999999997</v>
      </c>
      <c r="BN39" s="1523">
        <v>3.99</v>
      </c>
      <c r="BO39" s="1523">
        <v>52.59</v>
      </c>
      <c r="BP39" s="1523">
        <v>5.84</v>
      </c>
      <c r="BQ39" s="1523">
        <v>1.79</v>
      </c>
      <c r="BR39" s="1524">
        <v>0.49</v>
      </c>
      <c r="BS39" s="1523">
        <v>2.4700000000000002</v>
      </c>
      <c r="BT39" s="1523">
        <v>0.68</v>
      </c>
      <c r="BU39" s="1523">
        <v>3.68</v>
      </c>
      <c r="BV39" s="1523">
        <v>1</v>
      </c>
      <c r="BW39" s="1523">
        <v>5.39</v>
      </c>
      <c r="BX39" s="1523">
        <v>1.47</v>
      </c>
      <c r="BY39" s="1523">
        <v>558.28</v>
      </c>
      <c r="BZ39" s="1523">
        <v>16.77</v>
      </c>
      <c r="CA39" s="1523">
        <v>13.74</v>
      </c>
      <c r="CB39" s="1523">
        <v>2.56</v>
      </c>
      <c r="CC39" s="1523">
        <v>10.27</v>
      </c>
      <c r="CD39" s="1523">
        <v>2.1</v>
      </c>
      <c r="CE39" s="1523">
        <v>217.17</v>
      </c>
      <c r="CF39" s="1523">
        <v>34.07</v>
      </c>
      <c r="CG39" s="1522">
        <v>17.02</v>
      </c>
      <c r="CH39" s="1522">
        <v>1.52</v>
      </c>
      <c r="CI39" s="1522">
        <v>7.81</v>
      </c>
      <c r="CJ39" s="1522">
        <v>3.69</v>
      </c>
      <c r="CK39" s="1522">
        <v>8.48</v>
      </c>
      <c r="CL39" s="1522">
        <v>1.92</v>
      </c>
      <c r="CM39" s="1522">
        <v>23.71</v>
      </c>
      <c r="CN39" s="1522">
        <v>2.4500000000000002</v>
      </c>
      <c r="CO39" s="1522">
        <v>14.66</v>
      </c>
      <c r="CP39" s="1522">
        <v>2.34</v>
      </c>
      <c r="CQ39" s="1522">
        <v>9.1300000000000008</v>
      </c>
      <c r="CR39" s="1522">
        <v>0.71</v>
      </c>
      <c r="CS39" s="1522">
        <v>39.97</v>
      </c>
      <c r="CT39" s="1522">
        <v>11.03</v>
      </c>
      <c r="CU39" s="1522">
        <v>45.67</v>
      </c>
      <c r="CV39" s="1522">
        <v>3.53</v>
      </c>
      <c r="CW39" s="1522">
        <v>43.97</v>
      </c>
      <c r="CX39" s="1522">
        <v>11.03</v>
      </c>
      <c r="CY39" s="1522">
        <f t="shared" si="5"/>
        <v>45.67</v>
      </c>
      <c r="CZ39" s="1522">
        <v>3.53</v>
      </c>
      <c r="DA39" s="1522">
        <v>26.13</v>
      </c>
      <c r="DB39" s="1522">
        <v>10.73</v>
      </c>
      <c r="DC39" s="1522">
        <v>32.659999999999997</v>
      </c>
      <c r="DD39" s="1522">
        <v>13.41</v>
      </c>
      <c r="DE39" s="1522">
        <v>43.54</v>
      </c>
      <c r="DF39" s="1522">
        <v>17.88</v>
      </c>
      <c r="DG39" s="1522"/>
      <c r="DH39" s="1522"/>
      <c r="DI39" s="1522">
        <v>12.49</v>
      </c>
      <c r="DJ39" s="1522">
        <v>1.93</v>
      </c>
      <c r="DK39" s="1522">
        <v>2.97</v>
      </c>
      <c r="DL39" s="1522">
        <v>0.36</v>
      </c>
      <c r="DM39" s="1522">
        <v>41.92</v>
      </c>
      <c r="DN39" s="1522">
        <v>5.56</v>
      </c>
      <c r="DO39" s="1522">
        <v>54.89</v>
      </c>
      <c r="DP39" s="1522">
        <v>7.06</v>
      </c>
      <c r="DQ39" s="1522">
        <v>66.42</v>
      </c>
      <c r="DR39" s="1522">
        <v>7.75</v>
      </c>
      <c r="DS39" s="1522">
        <v>80.489999999999995</v>
      </c>
      <c r="DT39" s="1522">
        <v>8.59</v>
      </c>
      <c r="DU39" s="1522">
        <v>13.42</v>
      </c>
      <c r="DV39" s="1522">
        <v>1.72</v>
      </c>
      <c r="DW39" s="1522">
        <v>15.66</v>
      </c>
      <c r="DX39" s="1522">
        <v>2</v>
      </c>
    </row>
    <row r="40" spans="1:128" ht="18.75" customHeight="1">
      <c r="A40" s="1497"/>
      <c r="B40" s="1498" t="s">
        <v>1007</v>
      </c>
      <c r="C40" s="1499" t="s">
        <v>1026</v>
      </c>
      <c r="D40" s="1500" t="str">
        <f>IF($D$2=40.5,BM31,IF($D$2=41.5,BM32,IF($D$2=42.5,BM33,IF($D$2=43.5,BM34,IF($D$2=44.5,BM35,IF($D$2=45.5,BM36,IF($D$2=46.5,BM37,)))))))&amp;
IF($D$2=47.5,BM38,IF($D$2=48.5,BM39,IF($D$2=49.5,BM40,IF($D$2=50.5,BM41,IF($D$2=51.5,BM42,IF($D$2=52.5,BM43,IF($D$2=53.5,BM44,)))))))&amp;
IF($D$2=54.5,BM45,IF($D$2=55.5,BM46,IF($D$2=56.5,BM47,IF($D$2=57.5,BM48,IF($D$2=15.5,BM6,IF($D$2=16.5,BM7,IF($D$2=17.5,BM8,)))))))&amp;
IF($D$2=18.5,BM9,IF($D$2=19.5,BM10,IF($D$2=20.5,BM11,IF($D$2=21.5,BM12,IF($D$2=22.5,BM13,IF($D$2=23.5,BM14,IF($D$2=24.5,BM15,)))))))&amp;IF($D$2=25.5,BM16,IF($D$2=26.5,BM17,IF($D$2=39.5,BM30,)))&amp;IF($D$2=31.5,BM22,IF($D$2=32.5,BM23,IF($D$2=33.5,BM24,IF($D$2=34.5,BM25,IF($D$2=35.5,BM26,IF($D$2=36.5,BM27,IF($D$2=37.5,BM28,IF($C$2=38.5,BM29,))))))))&amp;IF($D$2=27.5,BM18,IF($D$2=28.5,BM19,IF($D$2=29.5,BM20,IF($D$2=30.5,BM21,))))</f>
        <v>32.83</v>
      </c>
      <c r="E40" s="1500" t="str">
        <f>IF($D$2=40.5,BN31,IF($D$2=41.5,BN32,IF($D$2=42.5,BN33,IF($D$2=43.5,BN34,IF($D$2=44.5,BN35,IF($D$2=45.5,BN36,IF($D$2=46.5,BN37,)))))))&amp;
IF($D$2=47.5,BN38,IF($D$2=48.5,BN39,IF($D$2=49.5,BN40,IF($D$2=50.5,BN41,IF($D$2=51.5,BN42,IF($D$2=52.5,BN43,IF($D$2=53.5,BN44,)))))))&amp;
IF($D$2=54.5,BN45,IF($D$2=55.5,BN46,IF($D$2=56.5,BN47,IF($D$2=57.5,BN48,IF($D$2=15.5,BN6,IF($D$2=16.5,BN7,IF($D$2=17.5,BN8,)))))))&amp;
IF($D$2=18.5,BN9,IF($D$2=19.5,BN10,IF($D$2=20.5,BN11,IF($D$2=21.5,BN12,IF($D$2=22.5,BN13,IF($D$2=23.5,BN14,IF($D$2=24.5,BN15,)))))))&amp;IF($D$2=25.5,BN16,IF($D$2=26.5,BN17,IF($D$2=39.5,BN30,)))&amp;IF($D$2=31.5,BN22,IF($D$2=32.5,BN23,IF($D$2=33.5,BN24,IF($D$2=34.5,BN25,IF($D$2=35.5,BN26,IF($D$2=36.5,BN27,IF($D$2=37.5,BN28,IF($C$2=38.5,BN29,))))))))&amp;IF($D$2=27.5,BN18,IF($D$2=28.5,BN19,IF($D$2=29.5,BN20,IF($D$2=30.5,BN21,))))</f>
        <v>4.54</v>
      </c>
      <c r="F40" s="1501">
        <f t="shared" si="6"/>
        <v>5.6749999999999998</v>
      </c>
      <c r="G40" s="1501">
        <f>D40+E40</f>
        <v>37.369999999999997</v>
      </c>
      <c r="H40" s="1501">
        <f>D40+F40</f>
        <v>38.504999999999995</v>
      </c>
      <c r="I40" s="1367"/>
      <c r="J40" s="1367"/>
      <c r="K40" s="1367"/>
      <c r="L40" s="1522">
        <v>49.5</v>
      </c>
      <c r="M40" s="1522">
        <v>1.38</v>
      </c>
      <c r="N40" s="1522">
        <v>0.16</v>
      </c>
      <c r="O40" s="1523">
        <v>3.25</v>
      </c>
      <c r="P40" s="1523">
        <v>0.46</v>
      </c>
      <c r="Q40" s="1523">
        <v>5.0233333333333299</v>
      </c>
      <c r="R40" s="1523">
        <v>0.66</v>
      </c>
      <c r="S40" s="1523">
        <v>19.93</v>
      </c>
      <c r="T40" s="1523">
        <v>3.47</v>
      </c>
      <c r="U40" s="1523">
        <v>37.090000000000003</v>
      </c>
      <c r="V40" s="1523">
        <v>7.92</v>
      </c>
      <c r="W40" s="1523">
        <v>19.45</v>
      </c>
      <c r="X40" s="1523">
        <v>2.93</v>
      </c>
      <c r="Y40" s="1523">
        <v>7.4</v>
      </c>
      <c r="Z40" s="1523">
        <v>1.7</v>
      </c>
      <c r="AA40" s="1523">
        <v>35.21</v>
      </c>
      <c r="AB40" s="1523">
        <v>3.34</v>
      </c>
      <c r="AC40" s="1523">
        <v>41.59</v>
      </c>
      <c r="AD40" s="1523">
        <v>5.04</v>
      </c>
      <c r="AE40" s="1523">
        <v>54.05</v>
      </c>
      <c r="AF40" s="1523">
        <v>4.66</v>
      </c>
      <c r="AG40" s="1523">
        <v>74.53</v>
      </c>
      <c r="AH40" s="1523">
        <v>19</v>
      </c>
      <c r="AI40" s="1522">
        <v>28.29</v>
      </c>
      <c r="AJ40" s="1522">
        <v>6.36</v>
      </c>
      <c r="AK40" s="1522">
        <v>8.2100000000000009</v>
      </c>
      <c r="AL40" s="1522">
        <v>1.01</v>
      </c>
      <c r="AM40" s="1523">
        <v>44.51</v>
      </c>
      <c r="AN40" s="1523">
        <v>9.5</v>
      </c>
      <c r="AO40" s="1523">
        <v>15.45</v>
      </c>
      <c r="AP40" s="1523">
        <v>1.91</v>
      </c>
      <c r="AQ40" s="1523">
        <v>52.1</v>
      </c>
      <c r="AR40" s="1523">
        <v>15.33</v>
      </c>
      <c r="AS40" s="1523">
        <v>17.25</v>
      </c>
      <c r="AT40" s="1523">
        <v>2.91</v>
      </c>
      <c r="AU40" s="1523">
        <v>64.569999999999993</v>
      </c>
      <c r="AV40" s="1523">
        <v>19.100000000000001</v>
      </c>
      <c r="AW40" s="1523">
        <v>6.78</v>
      </c>
      <c r="AX40" s="1523">
        <v>1.3</v>
      </c>
      <c r="AY40" s="1522">
        <f t="shared" si="7"/>
        <v>9.009999999999998</v>
      </c>
      <c r="AZ40" s="1522">
        <v>1.51</v>
      </c>
      <c r="BA40" s="1524">
        <v>11.02</v>
      </c>
      <c r="BB40" s="1524">
        <v>2.4700000000000002</v>
      </c>
      <c r="BC40" s="1523">
        <v>9.61</v>
      </c>
      <c r="BD40" s="1523">
        <v>1.25</v>
      </c>
      <c r="BE40" s="1523">
        <v>8.42</v>
      </c>
      <c r="BF40" s="1523">
        <v>0.54</v>
      </c>
      <c r="BG40" s="1523">
        <v>7.69</v>
      </c>
      <c r="BH40" s="1523">
        <v>0.77</v>
      </c>
      <c r="BI40" s="1523">
        <v>17.739999999999998</v>
      </c>
      <c r="BJ40" s="1523">
        <v>1.94</v>
      </c>
      <c r="BK40" s="1523">
        <v>24.51</v>
      </c>
      <c r="BL40" s="1523">
        <v>2.68</v>
      </c>
      <c r="BM40" s="1523">
        <v>36.44</v>
      </c>
      <c r="BN40" s="1523">
        <v>3.99</v>
      </c>
      <c r="BO40" s="1523">
        <v>53.37</v>
      </c>
      <c r="BP40" s="1523">
        <v>5.84</v>
      </c>
      <c r="BQ40" s="1523">
        <v>1.81</v>
      </c>
      <c r="BR40" s="1524">
        <v>0.49</v>
      </c>
      <c r="BS40" s="1523">
        <v>2.5</v>
      </c>
      <c r="BT40" s="1523">
        <v>0.68</v>
      </c>
      <c r="BU40" s="1523">
        <v>3.72</v>
      </c>
      <c r="BV40" s="1523">
        <v>1</v>
      </c>
      <c r="BW40" s="1523">
        <v>5.44</v>
      </c>
      <c r="BX40" s="1523">
        <v>1.47</v>
      </c>
      <c r="BY40" s="1523">
        <v>569.05999999999995</v>
      </c>
      <c r="BZ40" s="1523">
        <v>16.77</v>
      </c>
      <c r="CA40" s="1523">
        <v>13.9</v>
      </c>
      <c r="CB40" s="1523">
        <v>2.56</v>
      </c>
      <c r="CC40" s="1523">
        <v>10.38</v>
      </c>
      <c r="CD40" s="1523">
        <v>2.1</v>
      </c>
      <c r="CE40" s="1523">
        <v>220.63</v>
      </c>
      <c r="CF40" s="1523">
        <v>34.07</v>
      </c>
      <c r="CG40" s="1522">
        <v>17.3</v>
      </c>
      <c r="CH40" s="1522">
        <v>1.52</v>
      </c>
      <c r="CI40" s="1522">
        <v>7.81</v>
      </c>
      <c r="CJ40" s="1522">
        <v>3.69</v>
      </c>
      <c r="CK40" s="1522">
        <v>8.5299999999999994</v>
      </c>
      <c r="CL40" s="1522">
        <v>1.92</v>
      </c>
      <c r="CM40" s="1522">
        <v>23.95</v>
      </c>
      <c r="CN40" s="1522">
        <v>2.4500000000000002</v>
      </c>
      <c r="CO40" s="1522">
        <v>14.88</v>
      </c>
      <c r="CP40" s="1522">
        <v>2.34</v>
      </c>
      <c r="CQ40" s="1522">
        <v>9.27</v>
      </c>
      <c r="CR40" s="1522">
        <v>0.71</v>
      </c>
      <c r="CS40" s="1522">
        <v>40.369999999999997</v>
      </c>
      <c r="CT40" s="1522">
        <v>11.03</v>
      </c>
      <c r="CU40" s="1522">
        <v>46.35</v>
      </c>
      <c r="CV40" s="1522">
        <v>3.53</v>
      </c>
      <c r="CW40" s="1522">
        <v>44.41</v>
      </c>
      <c r="CX40" s="1522">
        <v>11.03</v>
      </c>
      <c r="CY40" s="1522">
        <f t="shared" si="5"/>
        <v>46.35</v>
      </c>
      <c r="CZ40" s="1522">
        <v>3.53</v>
      </c>
      <c r="DA40" s="1522">
        <v>26.27</v>
      </c>
      <c r="DB40" s="1522">
        <v>10.73</v>
      </c>
      <c r="DC40" s="1522">
        <v>32.83</v>
      </c>
      <c r="DD40" s="1522">
        <v>13.41</v>
      </c>
      <c r="DE40" s="1522">
        <v>43.78</v>
      </c>
      <c r="DF40" s="1522">
        <v>17.88</v>
      </c>
      <c r="DG40" s="1522"/>
      <c r="DH40" s="1522"/>
      <c r="DI40" s="1522">
        <v>12.67</v>
      </c>
      <c r="DJ40" s="1522">
        <v>1.93</v>
      </c>
      <c r="DK40" s="1522">
        <v>3.01</v>
      </c>
      <c r="DL40" s="1522">
        <v>0.36</v>
      </c>
      <c r="DM40" s="1522">
        <v>42.25</v>
      </c>
      <c r="DN40" s="1522">
        <v>5.56</v>
      </c>
      <c r="DO40" s="1522">
        <v>55.24</v>
      </c>
      <c r="DP40" s="1522">
        <v>7.06</v>
      </c>
      <c r="DQ40" s="1522">
        <v>66.89</v>
      </c>
      <c r="DR40" s="1522">
        <v>7.75</v>
      </c>
      <c r="DS40" s="1522">
        <v>81.06</v>
      </c>
      <c r="DT40" s="1522">
        <v>8.59</v>
      </c>
      <c r="DU40" s="1522">
        <v>13.61</v>
      </c>
      <c r="DV40" s="1522">
        <v>1.72</v>
      </c>
      <c r="DW40" s="1522">
        <v>15.88</v>
      </c>
      <c r="DX40" s="1522">
        <v>2</v>
      </c>
    </row>
    <row r="41" spans="1:128" ht="18.75" customHeight="1">
      <c r="A41" s="1497"/>
      <c r="B41" s="1498" t="s">
        <v>1008</v>
      </c>
      <c r="C41" s="1499" t="s">
        <v>1026</v>
      </c>
      <c r="D41" s="1500" t="str">
        <f>IF($D$2=40.5,BO31,IF($D$2=41.5,BO32,IF($D$2=42.5,BO33,IF($D$2=43.5,BO34,IF($D$2=44.5,BO35,IF($D$2=45.5,BO36,IF($D$2=46.5,BO37,)))))))&amp;
IF($D$2=47.5,BO38,IF($D$2=48.5,BO39,IF($D$2=49.5,BO40,IF($D$2=50.5,BO41,IF($D$2=51.5,BO42,IF($D$2=52.5,BO43,IF($D$2=53.5,BO44,)))))))&amp;
IF($D$2=54.5,BO45,IF($D$2=55.5,BO46,IF($D$2=56.5,BO47,IF($D$2=57.5,BO48,IF($D$2=15.5,BO6,IF($D$2=16.5,BO7,IF($D$2=17.5,BO8,)))))))&amp;
IF($D$2=18.5,BO9,IF($D$2=19.5,BO10,IF($D$2=20.5,BO11,IF($D$2=21.5,BO12,IF($D$2=22.5,BO13,IF($D$2=23.5,BO14,IF($D$2=24.5,BO15,)))))))&amp;IF($D$2=25.5,BO16,IF($D$2=26.5,BO17,IF($D$2=39.5,BO30,)))&amp;IF($D$2=31.5,BO22,IF($D$2=32.5,BO23,IF($D$2=33.5,BO24,IF($D$2=34.5,BO25,IF($D$2=35.5,BO26,IF($D$2=36.5,BO27,IF($D$2=37.5,BO28,IF($C$2=38.5,BO29,))))))))&amp;IF($D$2=27.5,BO18,IF($D$2=28.5,BO19,IF($D$2=29.5,BO20,IF($D$2=30.5,BO21,))))</f>
        <v>48.08</v>
      </c>
      <c r="E41" s="1500" t="str">
        <f>IF($D$2=40.5,BP31,IF($D$2=41.5,BP32,IF($D$2=42.5,BP33,IF($D$2=43.5,BP34,IF($D$2=44.5,BP35,IF($D$2=45.5,BP36,IF($D$2=46.5,BP37,)))))))&amp;
IF($D$2=47.5,BP38,IF($D$2=48.5,BP39,IF($D$2=49.5,BP40,IF($D$2=50.5,BP41,IF($D$2=51.5,BP42,IF($D$2=52.5,BP43,IF($D$2=53.5,BP44,)))))))&amp;
IF($D$2=54.5,BP45,IF($D$2=55.5,BP46,IF($D$2=56.5,BP47,IF($D$2=57.5,BP48,IF($D$2=15.5,BP6,IF($D$2=16.5,BP7,IF($D$2=17.5,BP8,)))))))&amp;
IF($D$2=18.5,BP9,IF($D$2=19.5,BP10,IF($D$2=20.5,BP11,IF($D$2=21.5,BP12,IF($D$2=22.5,BP13,IF($D$2=23.5,BP14,IF($D$2=24.5,BP15,)))))))&amp;IF($D$2=25.5,BP16,IF($D$2=26.5,BP17,IF($D$2=39.5,BP30,)))&amp;IF($D$2=31.5,BP22,IF($D$2=32.5,BP23,IF($D$2=33.5,BP24,IF($D$2=34.5,BP25,IF($D$2=35.5,BP26,IF($D$2=36.5,BP27,IF($D$2=37.5,BP28,IF($C$2=38.5,BP29,))))))))&amp;IF($D$2=27.5,BP18,IF($D$2=28.5,BP19,IF($D$2=29.5,BP20,IF($D$2=30.5,BP21,))))</f>
        <v>6.64</v>
      </c>
      <c r="F41" s="1501">
        <f t="shared" si="6"/>
        <v>8.2999999999999989</v>
      </c>
      <c r="G41" s="1501">
        <f>D41+E41</f>
        <v>54.72</v>
      </c>
      <c r="H41" s="1501">
        <f>D41+F41</f>
        <v>56.379999999999995</v>
      </c>
      <c r="I41" s="1367"/>
      <c r="J41" s="1367"/>
      <c r="K41" s="1367"/>
      <c r="L41" s="1522">
        <v>50.5</v>
      </c>
      <c r="M41" s="1522">
        <v>1.39</v>
      </c>
      <c r="N41" s="1522">
        <v>0.16</v>
      </c>
      <c r="O41" s="1523">
        <v>3.28</v>
      </c>
      <c r="P41" s="1523">
        <v>0.46</v>
      </c>
      <c r="Q41" s="1523">
        <v>5.07</v>
      </c>
      <c r="R41" s="1523">
        <v>0.66</v>
      </c>
      <c r="S41" s="1523">
        <v>20.149999999999999</v>
      </c>
      <c r="T41" s="1523">
        <v>3.47</v>
      </c>
      <c r="U41" s="1523">
        <v>37.54</v>
      </c>
      <c r="V41" s="1523">
        <v>7.92</v>
      </c>
      <c r="W41" s="1523">
        <v>19.64</v>
      </c>
      <c r="X41" s="1523">
        <v>2.93</v>
      </c>
      <c r="Y41" s="1523">
        <v>7.48</v>
      </c>
      <c r="Z41" s="1523">
        <v>1.7</v>
      </c>
      <c r="AA41" s="1523">
        <v>35.6</v>
      </c>
      <c r="AB41" s="1523">
        <v>3.34</v>
      </c>
      <c r="AC41" s="1523">
        <v>42.04</v>
      </c>
      <c r="AD41" s="1523">
        <v>5.04</v>
      </c>
      <c r="AE41" s="1523">
        <v>54.48</v>
      </c>
      <c r="AF41" s="1523">
        <v>4.66</v>
      </c>
      <c r="AG41" s="1523">
        <v>75.48</v>
      </c>
      <c r="AH41" s="1523">
        <v>19</v>
      </c>
      <c r="AI41" s="1522">
        <v>28.59</v>
      </c>
      <c r="AJ41" s="1522">
        <v>6.36</v>
      </c>
      <c r="AK41" s="1522">
        <v>8.2899999999999991</v>
      </c>
      <c r="AL41" s="1522">
        <v>1.01</v>
      </c>
      <c r="AM41" s="1523">
        <v>45.05</v>
      </c>
      <c r="AN41" s="1523">
        <v>9.5</v>
      </c>
      <c r="AO41" s="1523">
        <v>15.61</v>
      </c>
      <c r="AP41" s="1523">
        <v>1.91</v>
      </c>
      <c r="AQ41" s="1523">
        <v>52.72</v>
      </c>
      <c r="AR41" s="1523">
        <v>15.33</v>
      </c>
      <c r="AS41" s="1523">
        <v>17.39</v>
      </c>
      <c r="AT41" s="1523">
        <v>2.91</v>
      </c>
      <c r="AU41" s="1523">
        <v>65.349999999999994</v>
      </c>
      <c r="AV41" s="1523">
        <v>19.100000000000001</v>
      </c>
      <c r="AW41" s="1523">
        <v>6.86</v>
      </c>
      <c r="AX41" s="1523">
        <v>1.3</v>
      </c>
      <c r="AY41" s="1522">
        <f t="shared" si="7"/>
        <v>9.1099999999999977</v>
      </c>
      <c r="AZ41" s="1522">
        <v>1.51</v>
      </c>
      <c r="BA41" s="1524">
        <v>11.14</v>
      </c>
      <c r="BB41" s="1524">
        <v>2.4700000000000002</v>
      </c>
      <c r="BC41" s="1523">
        <v>9.7100000000000009</v>
      </c>
      <c r="BD41" s="1523">
        <v>1.25</v>
      </c>
      <c r="BE41" s="1523">
        <v>8.5500000000000007</v>
      </c>
      <c r="BF41" s="1523">
        <v>0.54</v>
      </c>
      <c r="BG41" s="1523">
        <v>7.81</v>
      </c>
      <c r="BH41" s="1523">
        <v>0.77</v>
      </c>
      <c r="BI41" s="1523">
        <v>18</v>
      </c>
      <c r="BJ41" s="1523">
        <v>1.94</v>
      </c>
      <c r="BK41" s="1523">
        <v>24.87</v>
      </c>
      <c r="BL41" s="1523">
        <v>2.68</v>
      </c>
      <c r="BM41" s="1523">
        <v>36.97</v>
      </c>
      <c r="BN41" s="1523">
        <v>3.99</v>
      </c>
      <c r="BO41" s="1523">
        <v>54.15</v>
      </c>
      <c r="BP41" s="1523">
        <v>5.84</v>
      </c>
      <c r="BQ41" s="1523">
        <v>1.83</v>
      </c>
      <c r="BR41" s="1524">
        <v>0.49</v>
      </c>
      <c r="BS41" s="1523">
        <v>2.52</v>
      </c>
      <c r="BT41" s="1523">
        <v>0.68</v>
      </c>
      <c r="BU41" s="1523">
        <v>3.75</v>
      </c>
      <c r="BV41" s="1523">
        <v>1</v>
      </c>
      <c r="BW41" s="1523">
        <v>5.5</v>
      </c>
      <c r="BX41" s="1523">
        <v>1.47</v>
      </c>
      <c r="BY41" s="1523">
        <v>579.84</v>
      </c>
      <c r="BZ41" s="1523">
        <v>16.77</v>
      </c>
      <c r="CA41" s="1523">
        <v>14.07</v>
      </c>
      <c r="CB41" s="1523">
        <v>2.56</v>
      </c>
      <c r="CC41" s="1523">
        <v>10.49</v>
      </c>
      <c r="CD41" s="1523">
        <v>2.1</v>
      </c>
      <c r="CE41" s="1523">
        <v>224.1</v>
      </c>
      <c r="CF41" s="1523">
        <v>34.07</v>
      </c>
      <c r="CG41" s="1522">
        <v>17.57</v>
      </c>
      <c r="CH41" s="1522">
        <v>1.52</v>
      </c>
      <c r="CI41" s="1522">
        <v>7.81</v>
      </c>
      <c r="CJ41" s="1522">
        <v>3.69</v>
      </c>
      <c r="CK41" s="1522">
        <v>8.57</v>
      </c>
      <c r="CL41" s="1522">
        <v>1.92</v>
      </c>
      <c r="CM41" s="1522">
        <v>24.2</v>
      </c>
      <c r="CN41" s="1522">
        <v>2.4500000000000002</v>
      </c>
      <c r="CO41" s="1522">
        <v>15.11</v>
      </c>
      <c r="CP41" s="1522">
        <v>2.34</v>
      </c>
      <c r="CQ41" s="1522">
        <v>9.4</v>
      </c>
      <c r="CR41" s="1522">
        <v>0.71</v>
      </c>
      <c r="CS41" s="1522">
        <v>40.78</v>
      </c>
      <c r="CT41" s="1522">
        <v>11.03</v>
      </c>
      <c r="CU41" s="1522">
        <v>47.02</v>
      </c>
      <c r="CV41" s="1522">
        <v>3.53</v>
      </c>
      <c r="CW41" s="1522">
        <v>44.85</v>
      </c>
      <c r="CX41" s="1522">
        <v>11.03</v>
      </c>
      <c r="CY41" s="1522">
        <f t="shared" si="5"/>
        <v>47.02</v>
      </c>
      <c r="CZ41" s="1522">
        <v>3.53</v>
      </c>
      <c r="DA41" s="1522">
        <v>26.41</v>
      </c>
      <c r="DB41" s="1522">
        <v>10.73</v>
      </c>
      <c r="DC41" s="1522">
        <v>33.01</v>
      </c>
      <c r="DD41" s="1522">
        <v>13.41</v>
      </c>
      <c r="DE41" s="1522">
        <v>44.02</v>
      </c>
      <c r="DF41" s="1522">
        <v>17.88</v>
      </c>
      <c r="DG41" s="1522"/>
      <c r="DH41" s="1522"/>
      <c r="DI41" s="1522">
        <v>12.84</v>
      </c>
      <c r="DJ41" s="1522">
        <v>1.93</v>
      </c>
      <c r="DK41" s="1522">
        <v>3.05</v>
      </c>
      <c r="DL41" s="1522">
        <v>0.36</v>
      </c>
      <c r="DM41" s="1522">
        <v>42.57</v>
      </c>
      <c r="DN41" s="1522">
        <v>5.56</v>
      </c>
      <c r="DO41" s="1522">
        <v>55.63</v>
      </c>
      <c r="DP41" s="1522">
        <v>7.06</v>
      </c>
      <c r="DQ41" s="1522">
        <v>67.349999999999994</v>
      </c>
      <c r="DR41" s="1522">
        <v>7.75</v>
      </c>
      <c r="DS41" s="1522">
        <v>81.63</v>
      </c>
      <c r="DT41" s="1522">
        <v>8.59</v>
      </c>
      <c r="DU41" s="1522">
        <v>13.81</v>
      </c>
      <c r="DV41" s="1522">
        <v>1.72</v>
      </c>
      <c r="DW41" s="1522">
        <v>16.11</v>
      </c>
      <c r="DX41" s="1522">
        <v>2</v>
      </c>
    </row>
    <row r="42" spans="1:128" ht="18.75" customHeight="1">
      <c r="A42" s="1497">
        <v>12</v>
      </c>
      <c r="B42" s="1498" t="s">
        <v>217</v>
      </c>
      <c r="C42" s="1508"/>
      <c r="D42" s="1509"/>
      <c r="E42" s="1509"/>
      <c r="F42" s="1501"/>
      <c r="G42" s="1501"/>
      <c r="H42" s="1501"/>
      <c r="I42" s="1367"/>
      <c r="J42" s="1367"/>
      <c r="K42" s="1367"/>
      <c r="L42" s="1522">
        <v>51.5</v>
      </c>
      <c r="M42" s="1522">
        <v>1.4</v>
      </c>
      <c r="N42" s="1522">
        <v>0.16</v>
      </c>
      <c r="O42" s="1523">
        <v>3.31</v>
      </c>
      <c r="P42" s="1523">
        <v>0.46</v>
      </c>
      <c r="Q42" s="1523">
        <v>5.12</v>
      </c>
      <c r="R42" s="1523">
        <v>0.66</v>
      </c>
      <c r="S42" s="1523">
        <v>20.36</v>
      </c>
      <c r="T42" s="1523">
        <v>3.47</v>
      </c>
      <c r="U42" s="1523">
        <v>37.99</v>
      </c>
      <c r="V42" s="1523">
        <v>7.92</v>
      </c>
      <c r="W42" s="1523">
        <v>19.82</v>
      </c>
      <c r="X42" s="1523">
        <v>2.93</v>
      </c>
      <c r="Y42" s="1523">
        <v>7.56</v>
      </c>
      <c r="Z42" s="1523">
        <v>1.7</v>
      </c>
      <c r="AA42" s="1523">
        <v>35.979999999999997</v>
      </c>
      <c r="AB42" s="1523">
        <v>3.34</v>
      </c>
      <c r="AC42" s="1523">
        <v>42.49</v>
      </c>
      <c r="AD42" s="1523">
        <v>5.04</v>
      </c>
      <c r="AE42" s="1523">
        <v>54.92</v>
      </c>
      <c r="AF42" s="1523">
        <v>4.66</v>
      </c>
      <c r="AG42" s="1523">
        <v>76.42</v>
      </c>
      <c r="AH42" s="1523">
        <v>19</v>
      </c>
      <c r="AI42" s="1522">
        <v>28.89</v>
      </c>
      <c r="AJ42" s="1522">
        <v>6.36</v>
      </c>
      <c r="AK42" s="1522">
        <v>8.3800000000000008</v>
      </c>
      <c r="AL42" s="1522">
        <v>1.01</v>
      </c>
      <c r="AM42" s="1523">
        <v>45.59</v>
      </c>
      <c r="AN42" s="1523">
        <v>9.5</v>
      </c>
      <c r="AO42" s="1523">
        <v>15.76</v>
      </c>
      <c r="AP42" s="1523">
        <v>1.91</v>
      </c>
      <c r="AQ42" s="1523">
        <v>53.35</v>
      </c>
      <c r="AR42" s="1523">
        <v>15.33</v>
      </c>
      <c r="AS42" s="1523">
        <v>17.53</v>
      </c>
      <c r="AT42" s="1523">
        <v>2.91</v>
      </c>
      <c r="AU42" s="1523">
        <v>66.12</v>
      </c>
      <c r="AV42" s="1523">
        <v>19.100000000000001</v>
      </c>
      <c r="AW42" s="1523">
        <v>6.94</v>
      </c>
      <c r="AX42" s="1523">
        <v>1.3</v>
      </c>
      <c r="AY42" s="1522">
        <f t="shared" si="7"/>
        <v>9.2099999999999973</v>
      </c>
      <c r="AZ42" s="1522">
        <v>1.51</v>
      </c>
      <c r="BA42" s="1524">
        <v>11.27</v>
      </c>
      <c r="BB42" s="1524">
        <v>2.4700000000000002</v>
      </c>
      <c r="BC42" s="1523">
        <v>9.81</v>
      </c>
      <c r="BD42" s="1523">
        <v>1.25</v>
      </c>
      <c r="BE42" s="1523">
        <v>8.68</v>
      </c>
      <c r="BF42" s="1523">
        <v>0.54</v>
      </c>
      <c r="BG42" s="1523">
        <v>7.93</v>
      </c>
      <c r="BH42" s="1523">
        <v>0.77</v>
      </c>
      <c r="BI42" s="1523">
        <v>18.260000000000002</v>
      </c>
      <c r="BJ42" s="1523">
        <v>1.94</v>
      </c>
      <c r="BK42" s="1523">
        <v>25.23</v>
      </c>
      <c r="BL42" s="1523">
        <v>2.68</v>
      </c>
      <c r="BM42" s="1523">
        <v>37.51</v>
      </c>
      <c r="BN42" s="1523">
        <v>3.99</v>
      </c>
      <c r="BO42" s="1523">
        <v>54.94</v>
      </c>
      <c r="BP42" s="1523">
        <v>5.84</v>
      </c>
      <c r="BQ42" s="1523">
        <v>1.84</v>
      </c>
      <c r="BR42" s="1524">
        <v>0.49</v>
      </c>
      <c r="BS42" s="1523">
        <v>2.5499999999999998</v>
      </c>
      <c r="BT42" s="1523">
        <v>0.68</v>
      </c>
      <c r="BU42" s="1523">
        <v>3.79</v>
      </c>
      <c r="BV42" s="1523">
        <v>1</v>
      </c>
      <c r="BW42" s="1523">
        <v>5.55</v>
      </c>
      <c r="BX42" s="1523">
        <v>1.47</v>
      </c>
      <c r="BY42" s="1523">
        <v>590.63</v>
      </c>
      <c r="BZ42" s="1523">
        <v>16.77</v>
      </c>
      <c r="CA42" s="1523">
        <v>14.23</v>
      </c>
      <c r="CB42" s="1523">
        <v>2.56</v>
      </c>
      <c r="CC42" s="1523">
        <v>10.6</v>
      </c>
      <c r="CD42" s="1523">
        <v>2.1</v>
      </c>
      <c r="CE42" s="1523">
        <v>227.56</v>
      </c>
      <c r="CF42" s="1523">
        <v>34.07</v>
      </c>
      <c r="CG42" s="1522">
        <v>17.579999999999998</v>
      </c>
      <c r="CH42" s="1522">
        <v>1.52</v>
      </c>
      <c r="CI42" s="1522">
        <v>7.81</v>
      </c>
      <c r="CJ42" s="1522">
        <v>3.69</v>
      </c>
      <c r="CK42" s="1522">
        <v>8.6199999999999992</v>
      </c>
      <c r="CL42" s="1522">
        <v>1.92</v>
      </c>
      <c r="CM42" s="1522">
        <v>24.44</v>
      </c>
      <c r="CN42" s="1522">
        <v>2.4500000000000002</v>
      </c>
      <c r="CO42" s="1522">
        <v>15.33</v>
      </c>
      <c r="CP42" s="1522">
        <v>2.34</v>
      </c>
      <c r="CQ42" s="1522">
        <v>9.5399999999999991</v>
      </c>
      <c r="CR42" s="1522">
        <v>0.71</v>
      </c>
      <c r="CS42" s="1522">
        <v>41.18</v>
      </c>
      <c r="CT42" s="1522">
        <v>11.03</v>
      </c>
      <c r="CU42" s="1522">
        <v>47.7</v>
      </c>
      <c r="CV42" s="1522">
        <v>3.53</v>
      </c>
      <c r="CW42" s="1522">
        <v>45.3</v>
      </c>
      <c r="CX42" s="1522">
        <v>11.03</v>
      </c>
      <c r="CY42" s="1522">
        <f t="shared" si="5"/>
        <v>47.7</v>
      </c>
      <c r="CZ42" s="1522">
        <v>3.53</v>
      </c>
      <c r="DA42" s="1522">
        <v>26.55</v>
      </c>
      <c r="DB42" s="1522">
        <v>10.73</v>
      </c>
      <c r="DC42" s="1522">
        <v>33.19</v>
      </c>
      <c r="DD42" s="1522">
        <v>13.41</v>
      </c>
      <c r="DE42" s="1522">
        <v>44.25</v>
      </c>
      <c r="DF42" s="1522">
        <v>17.88</v>
      </c>
      <c r="DG42" s="1522"/>
      <c r="DH42" s="1522"/>
      <c r="DI42" s="1522">
        <v>13.01</v>
      </c>
      <c r="DJ42" s="1522">
        <v>1.93</v>
      </c>
      <c r="DK42" s="1522">
        <v>3.1</v>
      </c>
      <c r="DL42" s="1522">
        <v>0.36</v>
      </c>
      <c r="DM42" s="1522">
        <v>42.89</v>
      </c>
      <c r="DN42" s="1522">
        <v>5.56</v>
      </c>
      <c r="DO42" s="1522">
        <v>56.01</v>
      </c>
      <c r="DP42" s="1522">
        <v>7.06</v>
      </c>
      <c r="DQ42" s="1522">
        <v>67.819999999999993</v>
      </c>
      <c r="DR42" s="1522">
        <v>7.75</v>
      </c>
      <c r="DS42" s="1522">
        <v>82.2</v>
      </c>
      <c r="DT42" s="1522">
        <v>8.59</v>
      </c>
      <c r="DU42" s="1522">
        <v>14</v>
      </c>
      <c r="DV42" s="1522">
        <v>1.72</v>
      </c>
      <c r="DW42" s="1522">
        <v>16.329999999999998</v>
      </c>
      <c r="DX42" s="1522">
        <v>2</v>
      </c>
    </row>
    <row r="43" spans="1:128" ht="18.75" customHeight="1">
      <c r="A43" s="1497"/>
      <c r="B43" s="1498" t="s">
        <v>992</v>
      </c>
      <c r="C43" s="1508" t="s">
        <v>583</v>
      </c>
      <c r="D43" s="1500" t="str">
        <f>IF($D$2=40.5,BQ31,IF($D$2=41.5,BQ32,IF($D$2=42.5,BQ33,IF($D$2=43.5,BQ34,IF($D$2=44.5,BQ35,IF($D$2=45.5,BQ36,IF($D$2=46.5,BQ37,)))))))&amp;
IF($D$2=47.5,BQ38,IF($D$2=48.5,BQ39,IF($D$2=49.5,BQ40,IF($D$2=50.5,BQ41,IF($D$2=51.5,BQ42,IF($D$2=52.5,BQ43,IF($D$2=53.5,BQ44,)))))))&amp;
IF($D$2=54.5,BQ45,IF($D$2=55.5,BQ46,IF($D$2=56.5,BQ47,IF($D$2=57.5,BQ48,IF($D$2=15.5,BQ6,IF($D$2=16.5,BQ7,IF($D$2=17.5,BQ8,)))))))&amp;
IF($D$2=18.5,BQ9,IF($D$2=19.5,BQ10,IF($D$2=20.5,BQ11,IF($D$2=21.5,BQ12,IF($D$2=22.5,BQ13,IF($D$2=23.5,BQ14,IF($D$2=24.5,BQ15,)))))))&amp;IF($D$2=25.5,BQ16,IF($D$2=26.5,BQ17,IF($D$2=39.5,BQ30,)))&amp;IF($D$2=31.5,BQ22,IF($D$2=32.5,BQ23,IF($D$2=33.5,BQ24,IF($D$2=34.5,BQ25,IF($D$2=35.5,BQ26,IF($D$2=36.5,BQ27,IF($D$2=37.5,BQ28,IF($C$2=38.5,BQ29,))))))))&amp;IF($D$2=27.5,BQ18,IF($D$2=28.5,BQ19,IF($D$2=29.5,BQ20,IF($D$2=30.5,BQ21,))))</f>
        <v>1.92</v>
      </c>
      <c r="E43" s="1500" t="str">
        <f>IF($D$2=40.5,BR31,IF($D$2=41.5,BR32,IF($D$2=42.5,BR33,IF($D$2=43.5,BR34,IF($D$2=44.5,BR35,IF($D$2=45.5,BR36,IF($D$2=46.5,BR37,)))))))&amp;
IF($D$2=47.5,BR38,IF($D$2=48.5,BR39,IF($D$2=49.5,BR40,IF($D$2=50.5,BR41,IF($D$2=51.5,BR42,IF($D$2=52.5,BR43,IF($D$2=53.5,BR44,)))))))&amp;
IF($D$2=54.5,BR45,IF($D$2=55.5,BR46,IF($D$2=56.5,BR47,IF($D$2=57.5,BR48,IF($D$2=15.5,BR6,IF($D$2=16.5,BR7,IF($D$2=17.5,BR8,)))))))&amp;
IF($D$2=18.5,BR9,IF($D$2=19.5,BR10,IF($D$2=20.5,BR11,IF($D$2=21.5,BR12,IF($D$2=22.5,BR13,IF($D$2=23.5,BR14,IF($D$2=24.5,BR15,)))))))&amp;IF($D$2=25.5,BR16,IF($D$2=26.5,BR17,IF($D$2=39.5,BR30,)))&amp;IF($D$2=31.5,BR22,IF($D$2=32.5,BR23,IF($D$2=33.5,BR24,IF($D$2=34.5,BR25,IF($D$2=35.5,BR26,IF($D$2=36.5,BR27,IF($D$2=37.5,BR28,IF($C$2=38.5,BR29,))))))))&amp;IF($D$2=27.5,BR18,IF($D$2=28.5,BR19,IF($D$2=29.5,BR20,IF($D$2=30.5,BR21,))))</f>
        <v>0.49</v>
      </c>
      <c r="F43" s="1501">
        <f t="shared" si="6"/>
        <v>0.61250000000000004</v>
      </c>
      <c r="G43" s="1501">
        <f t="shared" ref="G43:G48" si="8">D43+E43</f>
        <v>2.41</v>
      </c>
      <c r="H43" s="1501">
        <f t="shared" ref="H43:H48" si="9">D43+F43</f>
        <v>2.5324999999999998</v>
      </c>
      <c r="I43" s="1367"/>
      <c r="J43" s="1367"/>
      <c r="K43" s="1367"/>
      <c r="L43" s="1522">
        <v>52.5</v>
      </c>
      <c r="M43" s="1522">
        <v>1.42</v>
      </c>
      <c r="N43" s="1522">
        <v>0.16</v>
      </c>
      <c r="O43" s="1523">
        <v>3.35</v>
      </c>
      <c r="P43" s="1523">
        <v>0.46</v>
      </c>
      <c r="Q43" s="1523">
        <v>5.17</v>
      </c>
      <c r="R43" s="1523">
        <v>0.66</v>
      </c>
      <c r="S43" s="1523">
        <v>20.58</v>
      </c>
      <c r="T43" s="1523">
        <v>3.47</v>
      </c>
      <c r="U43" s="1523">
        <v>38.44</v>
      </c>
      <c r="V43" s="1523">
        <v>7.92</v>
      </c>
      <c r="W43" s="1523">
        <v>20.010000000000002</v>
      </c>
      <c r="X43" s="1523">
        <v>2.93</v>
      </c>
      <c r="Y43" s="1523">
        <v>7.64</v>
      </c>
      <c r="Z43" s="1523">
        <v>1.7</v>
      </c>
      <c r="AA43" s="1523">
        <v>36.369999999999997</v>
      </c>
      <c r="AB43" s="1523">
        <v>3.34</v>
      </c>
      <c r="AC43" s="1523">
        <v>42.94</v>
      </c>
      <c r="AD43" s="1523">
        <v>5.04</v>
      </c>
      <c r="AE43" s="1523">
        <v>55.35</v>
      </c>
      <c r="AF43" s="1523">
        <v>4.66</v>
      </c>
      <c r="AG43" s="1523">
        <v>77.37</v>
      </c>
      <c r="AH43" s="1523">
        <v>19</v>
      </c>
      <c r="AI43" s="1522">
        <v>29.2</v>
      </c>
      <c r="AJ43" s="1522">
        <v>6.36</v>
      </c>
      <c r="AK43" s="1522">
        <v>8.4600000000000009</v>
      </c>
      <c r="AL43" s="1522">
        <v>1.01</v>
      </c>
      <c r="AM43" s="1523">
        <v>46.13</v>
      </c>
      <c r="AN43" s="1523">
        <v>9.5</v>
      </c>
      <c r="AO43" s="1523">
        <v>15.92</v>
      </c>
      <c r="AP43" s="1523">
        <v>1.91</v>
      </c>
      <c r="AQ43" s="1523">
        <v>53.97</v>
      </c>
      <c r="AR43" s="1523">
        <v>15.33</v>
      </c>
      <c r="AS43" s="1523">
        <v>17.68</v>
      </c>
      <c r="AT43" s="1523">
        <v>2.91</v>
      </c>
      <c r="AU43" s="1523">
        <v>66.900000000000006</v>
      </c>
      <c r="AV43" s="1523">
        <v>19.100000000000001</v>
      </c>
      <c r="AW43" s="1523">
        <v>7.01</v>
      </c>
      <c r="AX43" s="1523">
        <v>1.3</v>
      </c>
      <c r="AY43" s="1522">
        <f t="shared" si="7"/>
        <v>9.3099999999999969</v>
      </c>
      <c r="AZ43" s="1522">
        <v>1.51</v>
      </c>
      <c r="BA43" s="1524">
        <v>11.39</v>
      </c>
      <c r="BB43" s="1524">
        <v>2.4700000000000002</v>
      </c>
      <c r="BC43" s="1523">
        <v>9.91</v>
      </c>
      <c r="BD43" s="1523">
        <v>1.25</v>
      </c>
      <c r="BE43" s="1523">
        <v>8.81</v>
      </c>
      <c r="BF43" s="1523">
        <v>0.54</v>
      </c>
      <c r="BG43" s="1523">
        <v>8.0500000000000007</v>
      </c>
      <c r="BH43" s="1523">
        <v>0.77</v>
      </c>
      <c r="BI43" s="1523">
        <v>18.52</v>
      </c>
      <c r="BJ43" s="1523">
        <v>1.94</v>
      </c>
      <c r="BK43" s="1523">
        <v>25.59</v>
      </c>
      <c r="BL43" s="1523">
        <v>2.68</v>
      </c>
      <c r="BM43" s="1523">
        <v>38.04</v>
      </c>
      <c r="BN43" s="1523">
        <v>3.99</v>
      </c>
      <c r="BO43" s="1523">
        <v>55.72</v>
      </c>
      <c r="BP43" s="1523">
        <v>5.84</v>
      </c>
      <c r="BQ43" s="1523">
        <v>1.86</v>
      </c>
      <c r="BR43" s="1524">
        <v>0.49</v>
      </c>
      <c r="BS43" s="1523">
        <v>2.57</v>
      </c>
      <c r="BT43" s="1523">
        <v>0.68</v>
      </c>
      <c r="BU43" s="1523">
        <v>3.83</v>
      </c>
      <c r="BV43" s="1523">
        <v>1</v>
      </c>
      <c r="BW43" s="1523">
        <v>5.61</v>
      </c>
      <c r="BX43" s="1523">
        <v>1.47</v>
      </c>
      <c r="BY43" s="1523">
        <v>601.41</v>
      </c>
      <c r="BZ43" s="1523">
        <v>16.77</v>
      </c>
      <c r="CA43" s="1523">
        <v>14.4</v>
      </c>
      <c r="CB43" s="1523">
        <v>2.56</v>
      </c>
      <c r="CC43" s="1523">
        <v>10.71</v>
      </c>
      <c r="CD43" s="1523">
        <v>2.1</v>
      </c>
      <c r="CE43" s="1523">
        <v>231.03</v>
      </c>
      <c r="CF43" s="1523">
        <v>34.07</v>
      </c>
      <c r="CG43" s="1522">
        <v>18.13</v>
      </c>
      <c r="CH43" s="1522">
        <v>1.52</v>
      </c>
      <c r="CI43" s="1522">
        <v>7.81</v>
      </c>
      <c r="CJ43" s="1522">
        <v>3.69</v>
      </c>
      <c r="CK43" s="1522">
        <v>8.67</v>
      </c>
      <c r="CL43" s="1522">
        <v>1.92</v>
      </c>
      <c r="CM43" s="1522">
        <v>24.69</v>
      </c>
      <c r="CN43" s="1522">
        <v>2.4500000000000002</v>
      </c>
      <c r="CO43" s="1522">
        <v>15.56</v>
      </c>
      <c r="CP43" s="1522">
        <v>2.34</v>
      </c>
      <c r="CQ43" s="1522">
        <v>9.67</v>
      </c>
      <c r="CR43" s="1522">
        <v>0.71</v>
      </c>
      <c r="CS43" s="1522">
        <v>41.58</v>
      </c>
      <c r="CT43" s="1522">
        <v>11.03</v>
      </c>
      <c r="CU43" s="1522">
        <v>48.37</v>
      </c>
      <c r="CV43" s="1522">
        <v>3.53</v>
      </c>
      <c r="CW43" s="1522">
        <v>45.74</v>
      </c>
      <c r="CX43" s="1522">
        <v>11.03</v>
      </c>
      <c r="CY43" s="1522">
        <f t="shared" si="5"/>
        <v>48.37</v>
      </c>
      <c r="CZ43" s="1522">
        <v>3.53</v>
      </c>
      <c r="DA43" s="1522">
        <v>26.69</v>
      </c>
      <c r="DB43" s="1522">
        <v>10.73</v>
      </c>
      <c r="DC43" s="1522">
        <v>33.369999999999997</v>
      </c>
      <c r="DD43" s="1522">
        <v>13.41</v>
      </c>
      <c r="DE43" s="1522">
        <v>44.49</v>
      </c>
      <c r="DF43" s="1522">
        <v>17.88</v>
      </c>
      <c r="DG43" s="1522"/>
      <c r="DH43" s="1522"/>
      <c r="DI43" s="1522">
        <v>13.18</v>
      </c>
      <c r="DJ43" s="1522">
        <v>1.93</v>
      </c>
      <c r="DK43" s="1522">
        <v>3.14</v>
      </c>
      <c r="DL43" s="1522">
        <v>0.36</v>
      </c>
      <c r="DM43" s="1522">
        <v>43.22</v>
      </c>
      <c r="DN43" s="1522">
        <v>5.56</v>
      </c>
      <c r="DO43" s="1522">
        <v>56.39</v>
      </c>
      <c r="DP43" s="1522">
        <v>7.06</v>
      </c>
      <c r="DQ43" s="1522">
        <v>68.290000000000006</v>
      </c>
      <c r="DR43" s="1522">
        <v>7.75</v>
      </c>
      <c r="DS43" s="1522">
        <v>82.77</v>
      </c>
      <c r="DT43" s="1522">
        <v>8.59</v>
      </c>
      <c r="DU43" s="1522">
        <v>14.19</v>
      </c>
      <c r="DV43" s="1522">
        <v>1.72</v>
      </c>
      <c r="DW43" s="1522">
        <v>16.559999999999999</v>
      </c>
      <c r="DX43" s="1522">
        <v>2</v>
      </c>
    </row>
    <row r="44" spans="1:128" ht="18.75" customHeight="1">
      <c r="A44" s="1497"/>
      <c r="B44" s="1498" t="s">
        <v>1006</v>
      </c>
      <c r="C44" s="1508" t="s">
        <v>583</v>
      </c>
      <c r="D44" s="1500" t="str">
        <f>IF($D$2=40.5,BS31,IF($D$2=41.5,BS32,IF($D$2=42.5,BS33,IF($D$2=43.5,BS34,IF($D$2=44.5,BS35,IF($D$2=45.5,BS36,IF($D$2=46.5,BS37,)))))))&amp;
IF($D$2=47.5,BS38,IF($D$2=48.5,BS39,IF($D$2=49.5,BS40,IF($D$2=50.5,BS41,IF($D$2=51.5,BS42,IF($D$2=52.5,BS43,IF($D$2=53.5,BS44,)))))))&amp;
IF($D$2=54.5,BS45,IF($D$2=55.5,BS46,IF($D$2=56.5,BS47,IF($D$2=57.5,BS48,IF($D$2=15.5,BS6,IF($D$2=16.5,BS7,IF($D$2=17.5,BS8,)))))))&amp;
IF($D$2=18.5,BS9,IF($D$2=19.5,BS10,IF($D$2=20.5,BS11,IF($D$2=21.5,BS12,IF($D$2=22.5,BS13,IF($D$2=23.5,BS14,IF($D$2=24.5,BS15,)))))))&amp;IF($D$2=25.5,BS16,IF($D$2=26.5,BS17,IF($D$2=39.5,BS30,)))&amp;IF($D$2=31.5,BS22,IF($D$2=32.5,BS23,IF($D$2=33.5,BS24,IF($D$2=34.5,BS25,IF($D$2=35.5,BS26,IF($D$2=36.5,BS27,IF($D$2=37.5,BS28,IF($C$2=38.5,BS29,))))))))&amp;IF($D$2=27.5,BS18,IF($D$2=28.5,BS19,IF($D$2=29.5,BS20,IF($D$2=30.5,BS21,))))</f>
        <v>2.65</v>
      </c>
      <c r="E44" s="1500" t="str">
        <f>IF($D$2=40.5,BT31,IF($D$2=41.5,BT32,IF($D$2=42.5,BT33,IF($D$2=43.5,BT34,IF($D$2=44.5,BT35,IF($D$2=45.5,BT36,IF($D$2=46.5,BT37,)))))))&amp;
IF($D$2=47.5,BT38,IF($D$2=48.5,BT39,IF($D$2=49.5,BT40,IF($D$2=50.5,BT41,IF($D$2=51.5,BT42,IF($D$2=52.5,BT43,IF($D$2=53.5,BT44,)))))))&amp;
IF($D$2=54.5,BT45,IF($D$2=55.5,BT46,IF($D$2=56.5,BT47,IF($D$2=57.5,BT48,IF($D$2=15.5,BT6,IF($D$2=16.5,BT7,IF($D$2=17.5,BT8,)))))))&amp;
IF($D$2=18.5,BT9,IF($D$2=19.5,BT10,IF($D$2=20.5,BT11,IF($D$2=21.5,BT12,IF($D$2=22.5,BT13,IF($D$2=23.5,BT14,IF($D$2=24.5,BT15,)))))))&amp;IF($D$2=25.5,BT16,IF($D$2=26.5,BT17,IF($D$2=39.5,BT30,)))&amp;IF($D$2=31.5,BT22,IF($D$2=32.5,BT23,IF($D$2=33.5,BT24,IF($D$2=34.5,BT25,IF($D$2=35.5,BT26,IF($D$2=36.5,BT27,IF($D$2=37.5,BT28,IF($C$2=38.5,BT29,))))))))&amp;IF($D$2=27.5,BT18,IF($D$2=28.5,BT19,IF($D$2=29.5,BT20,IF($D$2=30.5,BT21,))))</f>
        <v>0.68</v>
      </c>
      <c r="F44" s="1501">
        <f t="shared" si="6"/>
        <v>0.85000000000000009</v>
      </c>
      <c r="G44" s="1501">
        <f t="shared" si="8"/>
        <v>3.33</v>
      </c>
      <c r="H44" s="1501">
        <f t="shared" si="9"/>
        <v>3.5</v>
      </c>
      <c r="I44" s="1367"/>
      <c r="J44" s="1367"/>
      <c r="K44" s="1367"/>
      <c r="L44" s="1522">
        <v>53.5</v>
      </c>
      <c r="M44" s="1522">
        <v>1.43</v>
      </c>
      <c r="N44" s="1522">
        <v>0.16</v>
      </c>
      <c r="O44" s="1523">
        <v>3.38</v>
      </c>
      <c r="P44" s="1523">
        <v>0.46</v>
      </c>
      <c r="Q44" s="1523">
        <v>5.23</v>
      </c>
      <c r="R44" s="1523">
        <v>0.66</v>
      </c>
      <c r="S44" s="1523">
        <v>20.79</v>
      </c>
      <c r="T44" s="1523">
        <v>3.47</v>
      </c>
      <c r="U44" s="1523">
        <v>38.89</v>
      </c>
      <c r="V44" s="1523">
        <v>7.92</v>
      </c>
      <c r="W44" s="1523">
        <v>20.2</v>
      </c>
      <c r="X44" s="1523">
        <v>2.93</v>
      </c>
      <c r="Y44" s="1523">
        <v>7.72</v>
      </c>
      <c r="Z44" s="1523">
        <v>1.7</v>
      </c>
      <c r="AA44" s="1523">
        <v>36.76</v>
      </c>
      <c r="AB44" s="1523">
        <v>3.34</v>
      </c>
      <c r="AC44" s="1523">
        <v>43.38</v>
      </c>
      <c r="AD44" s="1523">
        <v>5.04</v>
      </c>
      <c r="AE44" s="1523">
        <v>55.78</v>
      </c>
      <c r="AF44" s="1523">
        <v>4.66</v>
      </c>
      <c r="AG44" s="1523">
        <v>78.319999999999993</v>
      </c>
      <c r="AH44" s="1523">
        <v>19</v>
      </c>
      <c r="AI44" s="1522">
        <v>29.5</v>
      </c>
      <c r="AJ44" s="1522">
        <v>6.36</v>
      </c>
      <c r="AK44" s="1522">
        <v>8.5399999999999991</v>
      </c>
      <c r="AL44" s="1522">
        <v>1.01</v>
      </c>
      <c r="AM44" s="1523">
        <v>46.67</v>
      </c>
      <c r="AN44" s="1523">
        <v>9.5</v>
      </c>
      <c r="AO44" s="1523">
        <v>16.07</v>
      </c>
      <c r="AP44" s="1523">
        <v>1.91</v>
      </c>
      <c r="AQ44" s="1523">
        <v>54.59</v>
      </c>
      <c r="AR44" s="1523">
        <v>15.33</v>
      </c>
      <c r="AS44" s="1523">
        <v>17.82</v>
      </c>
      <c r="AT44" s="1523">
        <v>2.91</v>
      </c>
      <c r="AU44" s="1523">
        <v>67.680000000000007</v>
      </c>
      <c r="AV44" s="1523">
        <v>19.100000000000001</v>
      </c>
      <c r="AW44" s="1523">
        <v>7.09</v>
      </c>
      <c r="AX44" s="1523">
        <v>1.3</v>
      </c>
      <c r="AY44" s="1522">
        <f t="shared" si="7"/>
        <v>9.4099999999999966</v>
      </c>
      <c r="AZ44" s="1522">
        <v>1.51</v>
      </c>
      <c r="BA44" s="1524">
        <v>11.51</v>
      </c>
      <c r="BB44" s="1524">
        <v>2.4700000000000002</v>
      </c>
      <c r="BC44" s="1523">
        <v>10</v>
      </c>
      <c r="BD44" s="1523">
        <v>1.25</v>
      </c>
      <c r="BE44" s="1523">
        <v>8.93</v>
      </c>
      <c r="BF44" s="1523">
        <v>0.54</v>
      </c>
      <c r="BG44" s="1523">
        <v>8.17</v>
      </c>
      <c r="BH44" s="1523">
        <v>0.77</v>
      </c>
      <c r="BI44" s="1523">
        <v>18.78</v>
      </c>
      <c r="BJ44" s="1523">
        <v>1.94</v>
      </c>
      <c r="BK44" s="1523">
        <v>25.95</v>
      </c>
      <c r="BL44" s="1523">
        <v>2.68</v>
      </c>
      <c r="BM44" s="1523">
        <v>38.58</v>
      </c>
      <c r="BN44" s="1523">
        <v>3.99</v>
      </c>
      <c r="BO44" s="1523">
        <v>56.5</v>
      </c>
      <c r="BP44" s="1523">
        <v>5.84</v>
      </c>
      <c r="BQ44" s="1523">
        <v>1.88</v>
      </c>
      <c r="BR44" s="1524">
        <v>0.49</v>
      </c>
      <c r="BS44" s="1523">
        <v>2.6</v>
      </c>
      <c r="BT44" s="1523">
        <v>0.68</v>
      </c>
      <c r="BU44" s="1523">
        <v>3.86</v>
      </c>
      <c r="BV44" s="1523">
        <v>1</v>
      </c>
      <c r="BW44" s="1523">
        <v>5.66</v>
      </c>
      <c r="BX44" s="1523">
        <v>1.47</v>
      </c>
      <c r="BY44" s="1523">
        <v>612.19000000000005</v>
      </c>
      <c r="BZ44" s="1523">
        <v>16.77</v>
      </c>
      <c r="CA44" s="1523">
        <v>14.56</v>
      </c>
      <c r="CB44" s="1523">
        <v>2.56</v>
      </c>
      <c r="CC44" s="1523">
        <v>10.82</v>
      </c>
      <c r="CD44" s="1523">
        <v>2.1</v>
      </c>
      <c r="CE44" s="1523">
        <v>234.49</v>
      </c>
      <c r="CF44" s="1523">
        <v>34.07</v>
      </c>
      <c r="CG44" s="1522">
        <v>18.399999999999999</v>
      </c>
      <c r="CH44" s="1522">
        <v>1.52</v>
      </c>
      <c r="CI44" s="1522">
        <v>7.81</v>
      </c>
      <c r="CJ44" s="1522">
        <v>3.69</v>
      </c>
      <c r="CK44" s="1522">
        <v>8.7200000000000006</v>
      </c>
      <c r="CL44" s="1522">
        <v>1.92</v>
      </c>
      <c r="CM44" s="1522">
        <v>24.93</v>
      </c>
      <c r="CN44" s="1522">
        <v>2.4500000000000002</v>
      </c>
      <c r="CO44" s="1522">
        <v>15.78</v>
      </c>
      <c r="CP44" s="1522">
        <v>2.34</v>
      </c>
      <c r="CQ44" s="1522">
        <v>9.81</v>
      </c>
      <c r="CR44" s="1522">
        <v>0.71</v>
      </c>
      <c r="CS44" s="1522">
        <v>41.98</v>
      </c>
      <c r="CT44" s="1522">
        <v>11.03</v>
      </c>
      <c r="CU44" s="1522">
        <v>49.05</v>
      </c>
      <c r="CV44" s="1522">
        <v>3.53</v>
      </c>
      <c r="CW44" s="1522">
        <v>46.18</v>
      </c>
      <c r="CX44" s="1522">
        <v>11.03</v>
      </c>
      <c r="CY44" s="1522">
        <f t="shared" si="5"/>
        <v>49.05</v>
      </c>
      <c r="CZ44" s="1522">
        <v>3.53</v>
      </c>
      <c r="DA44" s="1522">
        <v>26.84</v>
      </c>
      <c r="DB44" s="1522">
        <v>10.73</v>
      </c>
      <c r="DC44" s="1522">
        <v>33.54</v>
      </c>
      <c r="DD44" s="1522">
        <v>13.41</v>
      </c>
      <c r="DE44" s="1522">
        <v>44.73</v>
      </c>
      <c r="DF44" s="1522">
        <v>17.88</v>
      </c>
      <c r="DG44" s="1522"/>
      <c r="DH44" s="1522"/>
      <c r="DI44" s="1522">
        <v>13.36</v>
      </c>
      <c r="DJ44" s="1522">
        <v>1.93</v>
      </c>
      <c r="DK44" s="1522">
        <v>3.19</v>
      </c>
      <c r="DL44" s="1522">
        <v>0.36</v>
      </c>
      <c r="DM44" s="1522">
        <v>43.54</v>
      </c>
      <c r="DN44" s="1522">
        <v>5.56</v>
      </c>
      <c r="DO44" s="1522">
        <v>56.77</v>
      </c>
      <c r="DP44" s="1522">
        <v>7.06</v>
      </c>
      <c r="DQ44" s="1522">
        <v>68.75</v>
      </c>
      <c r="DR44" s="1522">
        <v>7.75</v>
      </c>
      <c r="DS44" s="1522">
        <v>83.34</v>
      </c>
      <c r="DT44" s="1522">
        <v>8.59</v>
      </c>
      <c r="DU44" s="1522">
        <v>14.39</v>
      </c>
      <c r="DV44" s="1522">
        <v>1.72</v>
      </c>
      <c r="DW44" s="1522">
        <v>16.79</v>
      </c>
      <c r="DX44" s="1522">
        <v>2</v>
      </c>
    </row>
    <row r="45" spans="1:128" ht="18.75" customHeight="1">
      <c r="A45" s="1497"/>
      <c r="B45" s="1498" t="s">
        <v>1007</v>
      </c>
      <c r="C45" s="1508" t="s">
        <v>583</v>
      </c>
      <c r="D45" s="1500" t="str">
        <f>IF($D$2=40.5,BU31,IF($D$2=41.5,BU32,IF($D$2=42.5,BU33,IF($D$2=43.5,BU34,IF($D$2=44.5,BU35,IF($D$2=45.5,BU36,IF($D$2=46.5,BU37,)))))))&amp;
IF($D$2=47.5,BU38,IF($D$2=48.5,BU39,IF($D$2=49.5,BU40,IF($D$2=50.5,BU41,IF($D$2=51.5,BU42,IF($D$2=52.5,BU43,IF($D$2=53.5,BU44,)))))))&amp;
IF($D$2=54.5,BU45,IF($D$2=55.5,BU46,IF($D$2=56.5,BU47,IF($D$2=57.5,BU48,IF($D$2=15.5,BU6,IF($D$2=16.5,BU7,IF($D$2=17.5,BU8,)))))))&amp;
IF($D$2=18.5,BU9,IF($D$2=19.5,BU10,IF($D$2=20.5,BU11,IF($D$2=21.5,BU12,IF($D$2=22.5,BU13,IF($D$2=23.5,BU14,IF($D$2=24.5,BU15,)))))))&amp;IF($D$2=25.5,BU16,IF($D$2=26.5,BU17,IF($D$2=39.5,BU30,)))&amp;IF($D$2=31.5,BU22,IF($D$2=32.5,BU23,IF($D$2=33.5,BU24,IF($D$2=34.5,BU25,IF($D$2=35.5,BU26,IF($D$2=36.5,BU27,IF($D$2=37.5,BU28,IF($C$2=38.5,BU29,))))))))&amp;IF($D$2=27.5,BU18,IF($D$2=28.5,BU19,IF($D$2=29.5,BU20,IF($D$2=30.5,BU21,))))</f>
        <v>3.94</v>
      </c>
      <c r="E45" s="1500" t="str">
        <f>IF($D$2=40.5,BV31,IF($D$2=41.5,BV32,IF($D$2=42.5,BV33,IF($D$2=43.5,BV34,IF($D$2=44.5,BV35,IF($D$2=45.5,BV36,IF($D$2=46.5,BV37,)))))))&amp;
IF($D$2=47.5,BV38,IF($D$2=48.5,BV39,IF($D$2=49.5,BV40,IF($D$2=50.5,BV41,IF($D$2=51.5,BV42,IF($D$2=52.5,BV43,IF($D$2=53.5,BV44,)))))))&amp;
IF($D$2=54.5,BV45,IF($D$2=55.5,BV46,IF($D$2=56.5,BV47,IF($D$2=57.5,BV48,IF($D$2=15.5,BV6,IF($D$2=16.5,BV7,IF($D$2=17.5,BV8,)))))))&amp;
IF($D$2=18.5,BV9,IF($D$2=19.5,BV10,IF($D$2=20.5,BV11,IF($D$2=21.5,BV12,IF($D$2=22.5,BV13,IF($D$2=23.5,BV14,IF($D$2=24.5,BV15,)))))))&amp;IF($D$2=25.5,BV16,IF($D$2=26.5,BV17,IF($D$2=39.5,BV30,)))&amp;IF($D$2=31.5,BV22,IF($D$2=32.5,BV23,IF($D$2=33.5,BV24,IF($D$2=34.5,BV25,IF($D$2=35.5,BV26,IF($D$2=36.5,BV27,IF($D$2=37.5,BV28,IF($C$2=38.5,BV29,))))))))&amp;IF($D$2=27.5,BV18,IF($D$2=28.5,BV19,IF($D$2=29.5,BV20,IF($D$2=30.5,BV21,))))</f>
        <v>1</v>
      </c>
      <c r="F45" s="1501">
        <f t="shared" si="6"/>
        <v>1.25</v>
      </c>
      <c r="G45" s="1501">
        <f t="shared" si="8"/>
        <v>4.9399999999999995</v>
      </c>
      <c r="H45" s="1501">
        <f t="shared" si="9"/>
        <v>5.1899999999999995</v>
      </c>
      <c r="I45" s="1367"/>
      <c r="J45" s="1367"/>
      <c r="K45" s="1367"/>
      <c r="L45" s="1522">
        <v>54.5</v>
      </c>
      <c r="M45" s="1522">
        <v>1.44</v>
      </c>
      <c r="N45" s="1522">
        <v>0.16</v>
      </c>
      <c r="O45" s="1523">
        <v>3.41</v>
      </c>
      <c r="P45" s="1523">
        <v>0.46</v>
      </c>
      <c r="Q45" s="1523">
        <v>5.28</v>
      </c>
      <c r="R45" s="1523">
        <v>0.66</v>
      </c>
      <c r="S45" s="1523">
        <v>21.01</v>
      </c>
      <c r="T45" s="1523">
        <v>3.47</v>
      </c>
      <c r="U45" s="1523">
        <v>39.340000000000003</v>
      </c>
      <c r="V45" s="1523">
        <v>7.92</v>
      </c>
      <c r="W45" s="1523">
        <v>20.39</v>
      </c>
      <c r="X45" s="1523">
        <v>2.93</v>
      </c>
      <c r="Y45" s="1523">
        <v>7.81</v>
      </c>
      <c r="Z45" s="1523">
        <v>1.7</v>
      </c>
      <c r="AA45" s="1523">
        <v>37.14</v>
      </c>
      <c r="AB45" s="1523">
        <v>3.34</v>
      </c>
      <c r="AC45" s="1523">
        <v>43.83</v>
      </c>
      <c r="AD45" s="1523">
        <v>5.04</v>
      </c>
      <c r="AE45" s="1523">
        <v>56.21</v>
      </c>
      <c r="AF45" s="1523">
        <v>4.66</v>
      </c>
      <c r="AG45" s="1523">
        <v>79.27</v>
      </c>
      <c r="AH45" s="1523">
        <v>19</v>
      </c>
      <c r="AI45" s="1522">
        <v>29.81</v>
      </c>
      <c r="AJ45" s="1522">
        <v>6.36</v>
      </c>
      <c r="AK45" s="1522">
        <v>8.6300000000000008</v>
      </c>
      <c r="AL45" s="1522">
        <v>1.01</v>
      </c>
      <c r="AM45" s="1523">
        <v>47.21</v>
      </c>
      <c r="AN45" s="1523">
        <v>9.5</v>
      </c>
      <c r="AO45" s="1523">
        <v>16.23</v>
      </c>
      <c r="AP45" s="1523">
        <v>1.91</v>
      </c>
      <c r="AQ45" s="1523">
        <v>55.22</v>
      </c>
      <c r="AR45" s="1523">
        <v>15.33</v>
      </c>
      <c r="AS45" s="1523">
        <v>17.96</v>
      </c>
      <c r="AT45" s="1523">
        <v>2.91</v>
      </c>
      <c r="AU45" s="1523">
        <v>68.45</v>
      </c>
      <c r="AV45" s="1523">
        <v>19.100000000000001</v>
      </c>
      <c r="AW45" s="1523">
        <v>7.17</v>
      </c>
      <c r="AX45" s="1523">
        <v>1.3</v>
      </c>
      <c r="AY45" s="1522">
        <f t="shared" si="7"/>
        <v>9.5099999999999962</v>
      </c>
      <c r="AZ45" s="1522">
        <v>1.51</v>
      </c>
      <c r="BA45" s="1524">
        <v>11.64</v>
      </c>
      <c r="BB45" s="1524">
        <v>2.4700000000000002</v>
      </c>
      <c r="BC45" s="1523">
        <v>10.1</v>
      </c>
      <c r="BD45" s="1523">
        <v>1.25</v>
      </c>
      <c r="BE45" s="1523">
        <v>9.06</v>
      </c>
      <c r="BF45" s="1523">
        <v>0.54</v>
      </c>
      <c r="BG45" s="1523">
        <v>8.2899999999999991</v>
      </c>
      <c r="BH45" s="1523">
        <v>0.77</v>
      </c>
      <c r="BI45" s="1523">
        <v>19.04</v>
      </c>
      <c r="BJ45" s="1523">
        <v>1.94</v>
      </c>
      <c r="BK45" s="1523">
        <v>26.31</v>
      </c>
      <c r="BL45" s="1523">
        <v>2.68</v>
      </c>
      <c r="BM45" s="1523">
        <v>39.11</v>
      </c>
      <c r="BN45" s="1523">
        <v>3.99</v>
      </c>
      <c r="BO45" s="1523">
        <v>57.28</v>
      </c>
      <c r="BP45" s="1523">
        <v>5.84</v>
      </c>
      <c r="BQ45" s="1523">
        <v>1.9</v>
      </c>
      <c r="BR45" s="1524">
        <v>0.49</v>
      </c>
      <c r="BS45" s="1523">
        <v>2.62</v>
      </c>
      <c r="BT45" s="1523">
        <v>0.68</v>
      </c>
      <c r="BU45" s="1523">
        <v>3.9</v>
      </c>
      <c r="BV45" s="1523">
        <v>1</v>
      </c>
      <c r="BW45" s="1523">
        <v>5.71</v>
      </c>
      <c r="BX45" s="1523">
        <v>1.47</v>
      </c>
      <c r="BY45" s="1523">
        <v>622.98</v>
      </c>
      <c r="BZ45" s="1523">
        <v>16.77</v>
      </c>
      <c r="CA45" s="1523">
        <v>14.73</v>
      </c>
      <c r="CB45" s="1523">
        <v>2.56</v>
      </c>
      <c r="CC45" s="1523">
        <v>10.93</v>
      </c>
      <c r="CD45" s="1523">
        <v>2.1</v>
      </c>
      <c r="CE45" s="1523">
        <v>237.95</v>
      </c>
      <c r="CF45" s="1523">
        <v>34.07</v>
      </c>
      <c r="CG45" s="1522">
        <v>18.68</v>
      </c>
      <c r="CH45" s="1522">
        <v>1.52</v>
      </c>
      <c r="CI45" s="1522">
        <v>7.81</v>
      </c>
      <c r="CJ45" s="1522">
        <v>3.69</v>
      </c>
      <c r="CK45" s="1522">
        <v>8.76</v>
      </c>
      <c r="CL45" s="1522">
        <v>1.92</v>
      </c>
      <c r="CM45" s="1522">
        <v>25.18</v>
      </c>
      <c r="CN45" s="1522">
        <v>2.4500000000000002</v>
      </c>
      <c r="CO45" s="1522">
        <v>16.010000000000002</v>
      </c>
      <c r="CP45" s="1522">
        <v>2.34</v>
      </c>
      <c r="CQ45" s="1522">
        <v>9.9499999999999993</v>
      </c>
      <c r="CR45" s="1522">
        <v>0.71</v>
      </c>
      <c r="CS45" s="1522">
        <v>42.39</v>
      </c>
      <c r="CT45" s="1522">
        <v>11.03</v>
      </c>
      <c r="CU45" s="1522">
        <v>49.73</v>
      </c>
      <c r="CV45" s="1522">
        <v>3.53</v>
      </c>
      <c r="CW45" s="1522">
        <v>46.63</v>
      </c>
      <c r="CX45" s="1522">
        <v>11.03</v>
      </c>
      <c r="CY45" s="1522">
        <f t="shared" si="5"/>
        <v>49.73</v>
      </c>
      <c r="CZ45" s="1522">
        <v>3.53</v>
      </c>
      <c r="DA45" s="1522">
        <v>26.98</v>
      </c>
      <c r="DB45" s="1522">
        <v>10.73</v>
      </c>
      <c r="DC45" s="1522">
        <v>33.72</v>
      </c>
      <c r="DD45" s="1522">
        <v>13.41</v>
      </c>
      <c r="DE45" s="1522">
        <v>44.96</v>
      </c>
      <c r="DF45" s="1522">
        <v>17.88</v>
      </c>
      <c r="DG45" s="1522"/>
      <c r="DH45" s="1522"/>
      <c r="DI45" s="1522">
        <v>13.53</v>
      </c>
      <c r="DJ45" s="1522">
        <v>1.93</v>
      </c>
      <c r="DK45" s="1522">
        <v>3.23</v>
      </c>
      <c r="DL45" s="1522">
        <v>0.36</v>
      </c>
      <c r="DM45" s="1522">
        <v>43.86</v>
      </c>
      <c r="DN45" s="1522">
        <v>5.56</v>
      </c>
      <c r="DO45" s="1522">
        <v>57.15</v>
      </c>
      <c r="DP45" s="1522">
        <v>7.06</v>
      </c>
      <c r="DQ45" s="1522">
        <v>69.22</v>
      </c>
      <c r="DR45" s="1522">
        <v>7.75</v>
      </c>
      <c r="DS45" s="1522">
        <v>83.9</v>
      </c>
      <c r="DT45" s="1522">
        <v>8.59</v>
      </c>
      <c r="DU45" s="1522">
        <v>14.58</v>
      </c>
      <c r="DV45" s="1522">
        <v>1.72</v>
      </c>
      <c r="DW45" s="1522">
        <v>17.010000000000002</v>
      </c>
      <c r="DX45" s="1522">
        <v>2</v>
      </c>
    </row>
    <row r="46" spans="1:128" ht="18.75" customHeight="1">
      <c r="A46" s="1497"/>
      <c r="B46" s="1498" t="s">
        <v>1008</v>
      </c>
      <c r="C46" s="1508" t="s">
        <v>583</v>
      </c>
      <c r="D46" s="1500" t="str">
        <f>IF($D$2=40.5,BW31,IF($D$2=41.5,BW32,IF($D$2=42.5,BW33,IF($D$2=43.5,BW34,IF($D$2=44.5,BW35,IF($D$2=45.5,BW36,IF($D$2=46.5,BW37,)))))))&amp;
IF($D$2=47.5,BW38,IF($D$2=48.5,BW39,IF($D$2=49.5,BW40,IF($D$2=50.5,BW41,IF($D$2=51.5,BW42,IF($D$2=52.5,BW43,IF($D$2=53.5,BW44,)))))))&amp;
IF($D$2=54.5,BW45,IF($D$2=55.5,BW46,IF($D$2=56.5,BW47,IF($D$2=57.5,BW48,IF($D$2=15.5,BW6,IF($D$2=16.5,BW7,IF($D$2=17.5,BW8,)))))))&amp;
IF($D$2=18.5,BW9,IF($D$2=19.5,BW10,IF($D$2=20.5,BW11,IF($D$2=21.5,BW12,IF($D$2=22.5,BW13,IF($D$2=23.5,BW14,IF($D$2=24.5,BW15,)))))))&amp;IF($D$2=25.5,BW16,IF($D$2=26.5,BW17,IF($D$2=39.5,BW30,)))&amp;IF($D$2=31.5,BW22,IF($D$2=32.5,BW23,IF($D$2=33.5,BW24,IF($D$2=34.5,BW25,IF($D$2=35.5,BW26,IF($D$2=36.5,BW27,IF($D$2=37.5,BW28,IF($C$2=38.5,BW29,))))))))&amp;IF($D$2=27.5,BW18,IF($D$2=28.5,BW19,IF($D$2=29.5,BW20,IF($D$2=30.5,BW21,))))</f>
        <v>5.77</v>
      </c>
      <c r="E46" s="1500" t="str">
        <f>IF($D$2=40.5,BX31,IF($D$2=41.5,BX32,IF($D$2=42.5,BX33,IF($D$2=43.5,BX34,IF($D$2=44.5,BX35,IF($D$2=45.5,BX36,IF($D$2=46.5,BX37,)))))))&amp;
IF($D$2=47.5,BX38,IF($D$2=48.5,BX39,IF($D$2=49.5,BX40,IF($D$2=50.5,BX41,IF($D$2=51.5,BX42,IF($D$2=52.5,BX43,IF($D$2=53.5,BX44,)))))))&amp;
IF($D$2=54.5,BX45,IF($D$2=55.5,BX46,IF($D$2=56.5,BX47,IF($D$2=57.5,BX48,IF($D$2=15.5,BX6,IF($D$2=16.5,BX7,IF($D$2=17.5,BX8,)))))))&amp;
IF($D$2=18.5,BX9,IF($D$2=19.5,BX10,IF($D$2=20.5,BX11,IF($D$2=21.5,BX12,IF($D$2=22.5,BX13,IF($D$2=23.5,BX14,IF($D$2=24.5,BX15,)))))))&amp;IF($D$2=25.5,BX16,IF($D$2=26.5,BX17,IF($D$2=39.5,BX30,)))&amp;IF($D$2=31.5,BX22,IF($D$2=32.5,BX23,IF($D$2=33.5,BX24,IF($D$2=34.5,BX25,IF($D$2=35.5,BX26,IF($D$2=36.5,BX27,IF($D$2=37.5,BX28,IF($C$2=38.5,BX29,))))))))&amp;IF($D$2=27.5,BX18,IF($D$2=28.5,BX19,IF($D$2=29.5,BX20,IF($D$2=30.5,BX21,))))</f>
        <v>1.47</v>
      </c>
      <c r="F46" s="1501">
        <f t="shared" si="6"/>
        <v>1.8374999999999999</v>
      </c>
      <c r="G46" s="1501">
        <f t="shared" si="8"/>
        <v>7.2399999999999993</v>
      </c>
      <c r="H46" s="1501">
        <f t="shared" si="9"/>
        <v>7.6074999999999999</v>
      </c>
      <c r="I46" s="1367"/>
      <c r="J46" s="1367"/>
      <c r="K46" s="1367"/>
      <c r="L46" s="1522">
        <v>55.5</v>
      </c>
      <c r="M46" s="1522">
        <v>1.45</v>
      </c>
      <c r="N46" s="1522">
        <v>0.16</v>
      </c>
      <c r="O46" s="1523">
        <v>3.44</v>
      </c>
      <c r="P46" s="1523">
        <v>0.46</v>
      </c>
      <c r="Q46" s="1523">
        <v>5.33</v>
      </c>
      <c r="R46" s="1523">
        <v>0.66</v>
      </c>
      <c r="S46" s="1523">
        <v>21.23</v>
      </c>
      <c r="T46" s="1523">
        <v>3.47</v>
      </c>
      <c r="U46" s="1523">
        <v>39.79</v>
      </c>
      <c r="V46" s="1523">
        <v>7.92</v>
      </c>
      <c r="W46" s="1523">
        <v>20.57</v>
      </c>
      <c r="X46" s="1523">
        <v>2.93</v>
      </c>
      <c r="Y46" s="1523">
        <v>7.89</v>
      </c>
      <c r="Z46" s="1523">
        <v>1.7</v>
      </c>
      <c r="AA46" s="1523">
        <v>37.53</v>
      </c>
      <c r="AB46" s="1523">
        <v>3.34</v>
      </c>
      <c r="AC46" s="1523">
        <v>44.28</v>
      </c>
      <c r="AD46" s="1523">
        <v>5.04</v>
      </c>
      <c r="AE46" s="1523">
        <v>56.65</v>
      </c>
      <c r="AF46" s="1523">
        <v>4.66</v>
      </c>
      <c r="AG46" s="1523">
        <v>80.209999999999994</v>
      </c>
      <c r="AH46" s="1523">
        <v>19</v>
      </c>
      <c r="AI46" s="1522">
        <v>30.11</v>
      </c>
      <c r="AJ46" s="1522">
        <v>6.36</v>
      </c>
      <c r="AK46" s="1522">
        <v>8.7100000000000009</v>
      </c>
      <c r="AL46" s="1522">
        <v>1.01</v>
      </c>
      <c r="AM46" s="1523">
        <v>47.75</v>
      </c>
      <c r="AN46" s="1523">
        <v>9.5</v>
      </c>
      <c r="AO46" s="1523">
        <v>16.39</v>
      </c>
      <c r="AP46" s="1523">
        <v>1.91</v>
      </c>
      <c r="AQ46" s="1523">
        <v>55.84</v>
      </c>
      <c r="AR46" s="1523">
        <v>15.33</v>
      </c>
      <c r="AS46" s="1523">
        <v>18.100000000000001</v>
      </c>
      <c r="AT46" s="1523">
        <v>2.91</v>
      </c>
      <c r="AU46" s="1523">
        <v>69.23</v>
      </c>
      <c r="AV46" s="1523">
        <v>19.100000000000001</v>
      </c>
      <c r="AW46" s="1523">
        <v>7.24</v>
      </c>
      <c r="AX46" s="1523">
        <v>1.3</v>
      </c>
      <c r="AY46" s="1522">
        <f>AY45+0.1</f>
        <v>9.6099999999999959</v>
      </c>
      <c r="AZ46" s="1522">
        <v>1.51</v>
      </c>
      <c r="BA46" s="1524">
        <v>11.76</v>
      </c>
      <c r="BB46" s="1524">
        <v>2.4700000000000002</v>
      </c>
      <c r="BC46" s="1523">
        <v>10.199999999999999</v>
      </c>
      <c r="BD46" s="1523">
        <v>1.25</v>
      </c>
      <c r="BE46" s="1523">
        <v>9.19</v>
      </c>
      <c r="BF46" s="1523">
        <v>0.54</v>
      </c>
      <c r="BG46" s="1523">
        <v>8.41</v>
      </c>
      <c r="BH46" s="1523">
        <v>0.77</v>
      </c>
      <c r="BI46" s="1523">
        <v>19.3</v>
      </c>
      <c r="BJ46" s="1523">
        <v>1.94</v>
      </c>
      <c r="BK46" s="1523">
        <v>26.66</v>
      </c>
      <c r="BL46" s="1523">
        <v>2.68</v>
      </c>
      <c r="BM46" s="1523">
        <v>39.65</v>
      </c>
      <c r="BN46" s="1523">
        <v>3.99</v>
      </c>
      <c r="BO46" s="1523">
        <v>58.07</v>
      </c>
      <c r="BP46" s="1523">
        <v>5.84</v>
      </c>
      <c r="BQ46" s="1523">
        <v>1.92</v>
      </c>
      <c r="BR46" s="1524">
        <v>0.49</v>
      </c>
      <c r="BS46" s="1523">
        <v>2.65</v>
      </c>
      <c r="BT46" s="1523">
        <v>0.68</v>
      </c>
      <c r="BU46" s="1523">
        <v>3.94</v>
      </c>
      <c r="BV46" s="1523">
        <v>1</v>
      </c>
      <c r="BW46" s="1523">
        <v>5.77</v>
      </c>
      <c r="BX46" s="1523">
        <v>1.47</v>
      </c>
      <c r="BY46" s="1523">
        <v>633.76</v>
      </c>
      <c r="BZ46" s="1523">
        <v>16.77</v>
      </c>
      <c r="CA46" s="1523">
        <v>14.89</v>
      </c>
      <c r="CB46" s="1523">
        <v>2.56</v>
      </c>
      <c r="CC46" s="1523">
        <v>11.04</v>
      </c>
      <c r="CD46" s="1523">
        <v>2.1</v>
      </c>
      <c r="CE46" s="1523">
        <v>241.42</v>
      </c>
      <c r="CF46" s="1523">
        <v>34.07</v>
      </c>
      <c r="CG46" s="1522">
        <v>18.95</v>
      </c>
      <c r="CH46" s="1522">
        <v>1.52</v>
      </c>
      <c r="CI46" s="1522">
        <v>7.81</v>
      </c>
      <c r="CJ46" s="1522">
        <v>3.69</v>
      </c>
      <c r="CK46" s="1522">
        <v>8.81</v>
      </c>
      <c r="CL46" s="1522">
        <v>1.92</v>
      </c>
      <c r="CM46" s="1522">
        <v>25.42</v>
      </c>
      <c r="CN46" s="1522">
        <v>2.4500000000000002</v>
      </c>
      <c r="CO46" s="1522">
        <v>16.23</v>
      </c>
      <c r="CP46" s="1522">
        <v>2.34</v>
      </c>
      <c r="CQ46" s="1522">
        <v>10.08</v>
      </c>
      <c r="CR46" s="1522">
        <v>0.71</v>
      </c>
      <c r="CS46" s="1522">
        <v>42.79</v>
      </c>
      <c r="CT46" s="1522">
        <v>11.03</v>
      </c>
      <c r="CU46" s="1522">
        <v>50.4</v>
      </c>
      <c r="CV46" s="1522">
        <v>3.53</v>
      </c>
      <c r="CW46" s="1522">
        <v>47.07</v>
      </c>
      <c r="CX46" s="1522">
        <v>11.03</v>
      </c>
      <c r="CY46" s="1522">
        <f t="shared" si="5"/>
        <v>50.4</v>
      </c>
      <c r="CZ46" s="1522">
        <v>3.53</v>
      </c>
      <c r="DA46" s="1522">
        <v>27.12</v>
      </c>
      <c r="DB46" s="1522">
        <v>10.73</v>
      </c>
      <c r="DC46" s="1522">
        <v>33.9</v>
      </c>
      <c r="DD46" s="1522">
        <v>13.41</v>
      </c>
      <c r="DE46" s="1522">
        <v>45.2</v>
      </c>
      <c r="DF46" s="1522">
        <v>17.88</v>
      </c>
      <c r="DG46" s="1522"/>
      <c r="DH46" s="1522"/>
      <c r="DI46" s="1522">
        <v>13.7</v>
      </c>
      <c r="DJ46" s="1522">
        <v>1.93</v>
      </c>
      <c r="DK46" s="1522">
        <v>3.27</v>
      </c>
      <c r="DL46" s="1522">
        <v>0.36</v>
      </c>
      <c r="DM46" s="1522">
        <v>44.19</v>
      </c>
      <c r="DN46" s="1522">
        <v>5.56</v>
      </c>
      <c r="DO46" s="1522">
        <v>57.54</v>
      </c>
      <c r="DP46" s="1522">
        <v>7.06</v>
      </c>
      <c r="DQ46" s="1522">
        <v>69.680000000000007</v>
      </c>
      <c r="DR46" s="1522">
        <v>7.75</v>
      </c>
      <c r="DS46" s="1522">
        <v>84.47</v>
      </c>
      <c r="DT46" s="1522">
        <v>8.59</v>
      </c>
      <c r="DU46" s="1522">
        <v>14.78</v>
      </c>
      <c r="DV46" s="1522">
        <v>1.72</v>
      </c>
      <c r="DW46" s="1522">
        <v>17.239999999999998</v>
      </c>
      <c r="DX46" s="1522">
        <v>2</v>
      </c>
    </row>
    <row r="47" spans="1:128" ht="18.75" customHeight="1">
      <c r="A47" s="1497">
        <v>13</v>
      </c>
      <c r="B47" s="1498" t="s">
        <v>1858</v>
      </c>
      <c r="C47" s="1499"/>
      <c r="D47" s="1509"/>
      <c r="E47" s="1509"/>
      <c r="F47" s="1501"/>
      <c r="G47" s="1501"/>
      <c r="H47" s="1501"/>
      <c r="I47" s="1367"/>
      <c r="J47" s="1367"/>
      <c r="K47" s="1367"/>
      <c r="L47" s="1522">
        <v>56.5</v>
      </c>
      <c r="M47" s="1522">
        <v>1.47</v>
      </c>
      <c r="N47" s="1522">
        <v>0.16</v>
      </c>
      <c r="O47" s="1523">
        <v>3.48</v>
      </c>
      <c r="P47" s="1523">
        <v>0.46</v>
      </c>
      <c r="Q47" s="1523">
        <v>5.38</v>
      </c>
      <c r="R47" s="1523">
        <v>0.66</v>
      </c>
      <c r="S47" s="1523">
        <v>21.44</v>
      </c>
      <c r="T47" s="1523">
        <v>3.47</v>
      </c>
      <c r="U47" s="1523">
        <v>40.24</v>
      </c>
      <c r="V47" s="1523">
        <v>7.92</v>
      </c>
      <c r="W47" s="1523">
        <v>20.76</v>
      </c>
      <c r="X47" s="1523">
        <v>2.93</v>
      </c>
      <c r="Y47" s="1523">
        <v>7.97</v>
      </c>
      <c r="Z47" s="1523">
        <v>1.7</v>
      </c>
      <c r="AA47" s="1523">
        <v>37.92</v>
      </c>
      <c r="AB47" s="1523">
        <v>3.34</v>
      </c>
      <c r="AC47" s="1523">
        <v>44.73</v>
      </c>
      <c r="AD47" s="1523">
        <v>5.04</v>
      </c>
      <c r="AE47" s="1523">
        <v>57.08</v>
      </c>
      <c r="AF47" s="1523">
        <v>4.66</v>
      </c>
      <c r="AG47" s="1523">
        <v>81.16</v>
      </c>
      <c r="AH47" s="1523">
        <v>19</v>
      </c>
      <c r="AI47" s="1522">
        <v>30.41</v>
      </c>
      <c r="AJ47" s="1522">
        <v>6.36</v>
      </c>
      <c r="AK47" s="1522">
        <v>8.7899999999999991</v>
      </c>
      <c r="AL47" s="1522">
        <v>1.01</v>
      </c>
      <c r="AM47" s="1523">
        <v>48.29</v>
      </c>
      <c r="AN47" s="1523">
        <v>9.5</v>
      </c>
      <c r="AO47" s="1523">
        <v>16.54</v>
      </c>
      <c r="AP47" s="1523">
        <v>1.91</v>
      </c>
      <c r="AQ47" s="1523">
        <v>56.46</v>
      </c>
      <c r="AR47" s="1523">
        <v>15.33</v>
      </c>
      <c r="AS47" s="1523">
        <v>18.25</v>
      </c>
      <c r="AT47" s="1523">
        <v>2.91</v>
      </c>
      <c r="AU47" s="1523">
        <v>70.010000000000005</v>
      </c>
      <c r="AV47" s="1523">
        <v>19.100000000000001</v>
      </c>
      <c r="AW47" s="1523">
        <v>7.32</v>
      </c>
      <c r="AX47" s="1523">
        <v>1.3</v>
      </c>
      <c r="AY47" s="1522">
        <f t="shared" si="7"/>
        <v>9.7099999999999955</v>
      </c>
      <c r="AZ47" s="1522">
        <v>1.51</v>
      </c>
      <c r="BA47" s="1524">
        <v>11.88</v>
      </c>
      <c r="BB47" s="1524">
        <v>2.4700000000000002</v>
      </c>
      <c r="BC47" s="1523">
        <v>10.3</v>
      </c>
      <c r="BD47" s="1523">
        <v>1.25</v>
      </c>
      <c r="BE47" s="1523">
        <v>9.32</v>
      </c>
      <c r="BF47" s="1523">
        <v>0.54</v>
      </c>
      <c r="BG47" s="1523">
        <v>8.5299999999999994</v>
      </c>
      <c r="BH47" s="1523">
        <v>0.77</v>
      </c>
      <c r="BI47" s="1523">
        <v>19.559999999999999</v>
      </c>
      <c r="BJ47" s="1523">
        <v>1.94</v>
      </c>
      <c r="BK47" s="1523">
        <v>27.02</v>
      </c>
      <c r="BL47" s="1523">
        <v>2.68</v>
      </c>
      <c r="BM47" s="1523">
        <v>40.18</v>
      </c>
      <c r="BN47" s="1523">
        <v>3.99</v>
      </c>
      <c r="BO47" s="1523">
        <v>58.85</v>
      </c>
      <c r="BP47" s="1523">
        <v>5.84</v>
      </c>
      <c r="BQ47" s="1523">
        <v>1.93</v>
      </c>
      <c r="BR47" s="1524">
        <v>0.49</v>
      </c>
      <c r="BS47" s="1523">
        <v>2.67</v>
      </c>
      <c r="BT47" s="1523">
        <v>0.68</v>
      </c>
      <c r="BU47" s="1523">
        <v>3.98</v>
      </c>
      <c r="BV47" s="1523">
        <v>1</v>
      </c>
      <c r="BW47" s="1523">
        <v>5.82</v>
      </c>
      <c r="BX47" s="1523">
        <v>1.47</v>
      </c>
      <c r="BY47" s="1523">
        <v>644.54</v>
      </c>
      <c r="BZ47" s="1523">
        <v>16.77</v>
      </c>
      <c r="CA47" s="1523">
        <v>15.06</v>
      </c>
      <c r="CB47" s="1523">
        <v>2.56</v>
      </c>
      <c r="CC47" s="1523">
        <v>11.15</v>
      </c>
      <c r="CD47" s="1523">
        <v>2.1</v>
      </c>
      <c r="CE47" s="1523">
        <v>244.88</v>
      </c>
      <c r="CF47" s="1523">
        <v>34.07</v>
      </c>
      <c r="CG47" s="1522">
        <v>19.23</v>
      </c>
      <c r="CH47" s="1522">
        <v>1.52</v>
      </c>
      <c r="CI47" s="1522">
        <v>7.81</v>
      </c>
      <c r="CJ47" s="1522">
        <v>3.69</v>
      </c>
      <c r="CK47" s="1522">
        <v>8.86</v>
      </c>
      <c r="CL47" s="1522">
        <v>1.92</v>
      </c>
      <c r="CM47" s="1522">
        <v>25.66</v>
      </c>
      <c r="CN47" s="1522">
        <v>2.4500000000000002</v>
      </c>
      <c r="CO47" s="1522">
        <v>16.45</v>
      </c>
      <c r="CP47" s="1522">
        <v>2.34</v>
      </c>
      <c r="CQ47" s="1522">
        <v>10.220000000000001</v>
      </c>
      <c r="CR47" s="1522">
        <v>0.71</v>
      </c>
      <c r="CS47" s="1522">
        <v>43.19</v>
      </c>
      <c r="CT47" s="1522">
        <v>11.03</v>
      </c>
      <c r="CU47" s="1522">
        <v>51.08</v>
      </c>
      <c r="CV47" s="1522">
        <v>3.53</v>
      </c>
      <c r="CW47" s="1522">
        <v>47.51</v>
      </c>
      <c r="CX47" s="1522">
        <v>11.03</v>
      </c>
      <c r="CY47" s="1522">
        <f t="shared" si="5"/>
        <v>51.08</v>
      </c>
      <c r="CZ47" s="1522">
        <v>3.53</v>
      </c>
      <c r="DA47" s="1522">
        <v>27.26</v>
      </c>
      <c r="DB47" s="1522">
        <v>10.73</v>
      </c>
      <c r="DC47" s="1522">
        <v>34.08</v>
      </c>
      <c r="DD47" s="1522">
        <v>13.41</v>
      </c>
      <c r="DE47" s="1522">
        <v>45.44</v>
      </c>
      <c r="DF47" s="1522">
        <v>17.88</v>
      </c>
      <c r="DG47" s="1522"/>
      <c r="DH47" s="1522"/>
      <c r="DI47" s="1522">
        <v>13.87</v>
      </c>
      <c r="DJ47" s="1522">
        <v>1.93</v>
      </c>
      <c r="DK47" s="1522">
        <v>3.32</v>
      </c>
      <c r="DL47" s="1522">
        <v>0.36</v>
      </c>
      <c r="DM47" s="1522">
        <v>44.51</v>
      </c>
      <c r="DN47" s="1522">
        <v>5.56</v>
      </c>
      <c r="DO47" s="1522">
        <v>57.92</v>
      </c>
      <c r="DP47" s="1522">
        <v>7.06</v>
      </c>
      <c r="DQ47" s="1522">
        <v>70.150000000000006</v>
      </c>
      <c r="DR47" s="1522">
        <v>7.75</v>
      </c>
      <c r="DS47" s="1522">
        <v>85.04</v>
      </c>
      <c r="DT47" s="1522">
        <v>8.59</v>
      </c>
      <c r="DU47" s="1522">
        <v>14.97</v>
      </c>
      <c r="DV47" s="1522">
        <v>1.72</v>
      </c>
      <c r="DW47" s="1522">
        <v>17.47</v>
      </c>
      <c r="DX47" s="1522">
        <v>2</v>
      </c>
    </row>
    <row r="48" spans="1:128" ht="18.75" customHeight="1">
      <c r="A48" s="1497"/>
      <c r="B48" s="1498" t="s">
        <v>1859</v>
      </c>
      <c r="C48" s="1508" t="s">
        <v>440</v>
      </c>
      <c r="D48" s="1500" t="str">
        <f>IF($D$2=40.5,BY31,IF($D$2=41.5,BY32,IF($D$2=42.5,BY33,IF($D$2=43.5,BY34,IF($D$2=44.5,BY35,IF($D$2=45.5,BY36,IF($D$2=46.5,BY37,)))))))&amp;
IF($D$2=47.5,BY38,IF($D$2=48.5,BY39,IF($D$2=49.5,BY40,IF($D$2=50.5,BY41,IF($D$2=51.5,BY42,IF($D$2=52.5,BY43,IF($D$2=53.5,BY44,)))))))&amp;
IF($D$2=54.5,BY45,IF($D$2=55.5,BY46,IF($D$2=56.5,BY47,IF($D$2=57.5,BY48,IF($D$2=15.5,BY6,IF($D$2=16.5,BY7,IF($D$2=17.5,BY8,)))))))&amp;
IF($D$2=18.5,BY9,IF($D$2=19.5,BY10,IF($D$2=20.5,BY11,IF($D$2=21.5,BY12,IF($D$2=22.5,BY13,IF($D$2=23.5,BY14,IF($D$2=24.5,BY15,)))))))&amp;IF($D$2=25.5,BY16,IF($D$2=26.5,BY17,IF($D$2=39.5,BY30,)))&amp;IF($D$2=31.5,BY22,IF($D$2=32.5,BY23,IF($D$2=33.5,BY24,IF($D$2=34.5,BY25,IF($D$2=35.5,BY26,IF($D$2=36.5,BY27,IF($D$2=37.5,BY28,IF($C$2=38.5,BY29,))))))))&amp;IF($D$2=27.5,BY18,IF($D$2=28.5,BY19,IF($D$2=29.5,BY20,IF($D$2=30.5,BY21,))))</f>
        <v>431.14</v>
      </c>
      <c r="E48" s="1500" t="str">
        <f>IF($D$2=40.5,BZ31,IF($D$2=41.5,BZ32,IF($D$2=42.5,BZ33,IF($D$2=43.5,BZ34,IF($D$2=44.5,BZ35,IF($D$2=45.5,BZ36,IF($D$2=46.5,BZ37,)))))))&amp;
IF($D$2=47.5,BZ38,IF($D$2=48.5,BZ39,IF($D$2=49.5,BZ40,IF($D$2=50.5,BZ41,IF($D$2=51.5,BZ42,IF($D$2=52.5,BZ43,IF($D$2=53.5,BZ44,)))))))&amp;
IF($D$2=54.5,BZ45,IF($D$2=55.5,BZ46,IF($D$2=56.5,BZ47,IF($D$2=57.5,BZ48,IF($D$2=15.5,BZ6,IF($D$2=16.5,BZ7,IF($D$2=17.5,BZ8,)))))))&amp;
IF($D$2=18.5,BZ9,IF($D$2=19.5,BZ10,IF($D$2=20.5,BZ11,IF($D$2=21.5,BZ12,IF($D$2=22.5,BZ13,IF($D$2=23.5,BZ14,IF($D$2=24.5,BZ15,)))))))&amp;IF($D$2=25.5,BZ16,IF($D$2=26.5,BZ17,IF($D$2=39.5,BZ30,)))&amp;IF($D$2=31.5,BZ22,IF($D$2=32.5,BZ23,IF($D$2=33.5,BZ24,IF($D$2=34.5,BZ25,IF($D$2=35.5,BZ26,IF($D$2=36.5,BZ27,IF($D$2=37.5,BZ28,IF($C$2=38.5,BZ29,))))))))&amp;IF($D$2=27.5,BZ18,IF($D$2=28.5,BZ19,IF($D$2=29.5,BZ20,IF($D$2=30.5,BZ21,))))</f>
        <v>16.77</v>
      </c>
      <c r="F48" s="1501">
        <f t="shared" si="6"/>
        <v>20.962499999999999</v>
      </c>
      <c r="G48" s="1501">
        <f t="shared" si="8"/>
        <v>447.90999999999997</v>
      </c>
      <c r="H48" s="1501">
        <f t="shared" si="9"/>
        <v>452.10249999999996</v>
      </c>
      <c r="I48" s="1367"/>
      <c r="J48" s="1367"/>
      <c r="K48" s="1367"/>
      <c r="L48" s="1522">
        <v>57.5</v>
      </c>
      <c r="M48" s="1522">
        <v>1.48</v>
      </c>
      <c r="N48" s="1522">
        <v>0.16</v>
      </c>
      <c r="O48" s="1523">
        <v>3.51</v>
      </c>
      <c r="P48" s="1523">
        <v>0.46</v>
      </c>
      <c r="Q48" s="1523">
        <v>5.44</v>
      </c>
      <c r="R48" s="1523">
        <v>0.66</v>
      </c>
      <c r="S48" s="1523">
        <v>21.66</v>
      </c>
      <c r="T48" s="1523">
        <v>3.47</v>
      </c>
      <c r="U48" s="1523">
        <v>40.69</v>
      </c>
      <c r="V48" s="1523">
        <v>7.92</v>
      </c>
      <c r="W48" s="1523">
        <v>20.95</v>
      </c>
      <c r="X48" s="1523">
        <v>2.93</v>
      </c>
      <c r="Y48" s="1523">
        <v>8.0500000000000007</v>
      </c>
      <c r="Z48" s="1523">
        <v>1.7</v>
      </c>
      <c r="AA48" s="1523">
        <v>38.299999999999997</v>
      </c>
      <c r="AB48" s="1523">
        <v>3.34</v>
      </c>
      <c r="AC48" s="1523">
        <v>45.18</v>
      </c>
      <c r="AD48" s="1523">
        <v>5.04</v>
      </c>
      <c r="AE48" s="1523">
        <v>57.51</v>
      </c>
      <c r="AF48" s="1523">
        <v>4.66</v>
      </c>
      <c r="AG48" s="1523">
        <v>82.11</v>
      </c>
      <c r="AH48" s="1523">
        <v>19</v>
      </c>
      <c r="AI48" s="1522">
        <v>30.72</v>
      </c>
      <c r="AJ48" s="1522">
        <v>6.36</v>
      </c>
      <c r="AK48" s="1522">
        <v>8.8699999999999992</v>
      </c>
      <c r="AL48" s="1522">
        <v>1.01</v>
      </c>
      <c r="AM48" s="1523">
        <v>48.83</v>
      </c>
      <c r="AN48" s="1523">
        <v>9.5</v>
      </c>
      <c r="AO48" s="1523">
        <v>16.7</v>
      </c>
      <c r="AP48" s="1523">
        <v>1.91</v>
      </c>
      <c r="AQ48" s="1523">
        <v>57.09</v>
      </c>
      <c r="AR48" s="1523">
        <v>15.33</v>
      </c>
      <c r="AS48" s="1523">
        <v>18.39</v>
      </c>
      <c r="AT48" s="1523">
        <v>2.91</v>
      </c>
      <c r="AU48" s="1523">
        <v>70.790000000000006</v>
      </c>
      <c r="AV48" s="1523">
        <v>19.100000000000001</v>
      </c>
      <c r="AW48" s="1523">
        <v>7.4</v>
      </c>
      <c r="AX48" s="1523">
        <v>1.3</v>
      </c>
      <c r="AY48" s="1522">
        <f t="shared" si="7"/>
        <v>9.8099999999999952</v>
      </c>
      <c r="AZ48" s="1522">
        <v>1.51</v>
      </c>
      <c r="BA48" s="1524">
        <v>12.01</v>
      </c>
      <c r="BB48" s="1524">
        <v>2.4700000000000002</v>
      </c>
      <c r="BC48" s="1523">
        <v>10.39</v>
      </c>
      <c r="BD48" s="1523">
        <v>1.25</v>
      </c>
      <c r="BE48" s="1523">
        <v>9.4499999999999993</v>
      </c>
      <c r="BF48" s="1523">
        <v>0.54</v>
      </c>
      <c r="BG48" s="1523">
        <v>8.65</v>
      </c>
      <c r="BH48" s="1523">
        <v>0.77</v>
      </c>
      <c r="BI48" s="1523">
        <v>19.82</v>
      </c>
      <c r="BJ48" s="1523">
        <v>1.94</v>
      </c>
      <c r="BK48" s="1523">
        <v>27.38</v>
      </c>
      <c r="BL48" s="1523">
        <v>2.68</v>
      </c>
      <c r="BM48" s="1523">
        <v>40.71</v>
      </c>
      <c r="BN48" s="1523">
        <v>3.99</v>
      </c>
      <c r="BO48" s="1523">
        <v>59.63</v>
      </c>
      <c r="BP48" s="1523">
        <v>5.84</v>
      </c>
      <c r="BQ48" s="1523">
        <v>1.95</v>
      </c>
      <c r="BR48" s="1524">
        <v>0.49</v>
      </c>
      <c r="BS48" s="1523">
        <v>2.7</v>
      </c>
      <c r="BT48" s="1523">
        <v>0.68</v>
      </c>
      <c r="BU48" s="1523">
        <v>4.01</v>
      </c>
      <c r="BV48" s="1523">
        <v>1</v>
      </c>
      <c r="BW48" s="1523">
        <v>5.88</v>
      </c>
      <c r="BX48" s="1523">
        <v>1.47</v>
      </c>
      <c r="BY48" s="1523">
        <v>655.33000000000004</v>
      </c>
      <c r="BZ48" s="1523">
        <v>16.77</v>
      </c>
      <c r="CA48" s="1523">
        <v>15.23</v>
      </c>
      <c r="CB48" s="1523">
        <v>2.56</v>
      </c>
      <c r="CC48" s="1523">
        <v>11.26</v>
      </c>
      <c r="CD48" s="1523">
        <v>2.1</v>
      </c>
      <c r="CE48" s="1523">
        <v>248.35</v>
      </c>
      <c r="CF48" s="1523">
        <v>34.07</v>
      </c>
      <c r="CG48" s="1522">
        <v>19.510000000000002</v>
      </c>
      <c r="CH48" s="1522">
        <v>1.52</v>
      </c>
      <c r="CI48" s="1522">
        <v>7.81</v>
      </c>
      <c r="CJ48" s="1522">
        <v>3.69</v>
      </c>
      <c r="CK48" s="1522">
        <v>8.91</v>
      </c>
      <c r="CL48" s="1522">
        <v>1.92</v>
      </c>
      <c r="CM48" s="1522">
        <v>25.91</v>
      </c>
      <c r="CN48" s="1522">
        <v>2.4500000000000002</v>
      </c>
      <c r="CO48" s="1522">
        <v>16.68</v>
      </c>
      <c r="CP48" s="1522">
        <v>2.34</v>
      </c>
      <c r="CQ48" s="1522">
        <v>10.35</v>
      </c>
      <c r="CR48" s="1522">
        <v>0.71</v>
      </c>
      <c r="CS48" s="1522">
        <v>43.59</v>
      </c>
      <c r="CT48" s="1522">
        <v>11.03</v>
      </c>
      <c r="CU48" s="1522">
        <v>51.76</v>
      </c>
      <c r="CV48" s="1522">
        <v>3.53</v>
      </c>
      <c r="CW48" s="1522">
        <v>47.95</v>
      </c>
      <c r="CX48" s="1522">
        <v>11.03</v>
      </c>
      <c r="CY48" s="1522">
        <f t="shared" si="5"/>
        <v>51.76</v>
      </c>
      <c r="CZ48" s="1522">
        <v>3.53</v>
      </c>
      <c r="DA48" s="1522">
        <v>27.4</v>
      </c>
      <c r="DB48" s="1522">
        <v>10.73</v>
      </c>
      <c r="DC48" s="1522">
        <v>34.25</v>
      </c>
      <c r="DD48" s="1522">
        <v>13.41</v>
      </c>
      <c r="DE48" s="1522">
        <v>45.67</v>
      </c>
      <c r="DF48" s="1522">
        <v>17.88</v>
      </c>
      <c r="DG48" s="1522"/>
      <c r="DH48" s="1522"/>
      <c r="DI48" s="1522">
        <v>14.05</v>
      </c>
      <c r="DJ48" s="1522">
        <v>1.93</v>
      </c>
      <c r="DK48" s="1522">
        <v>3.36</v>
      </c>
      <c r="DL48" s="1522">
        <v>0.36</v>
      </c>
      <c r="DM48" s="1522">
        <v>44.83</v>
      </c>
      <c r="DN48" s="1522">
        <v>5.56</v>
      </c>
      <c r="DO48" s="1522">
        <v>58.3</v>
      </c>
      <c r="DP48" s="1522">
        <v>7.06</v>
      </c>
      <c r="DQ48" s="1522">
        <v>70.62</v>
      </c>
      <c r="DR48" s="1522">
        <v>7.75</v>
      </c>
      <c r="DS48" s="1522">
        <v>85.61</v>
      </c>
      <c r="DT48" s="1522">
        <v>8.59</v>
      </c>
      <c r="DU48" s="1522">
        <v>15.16</v>
      </c>
      <c r="DV48" s="1522">
        <v>1.72</v>
      </c>
      <c r="DW48" s="1522">
        <v>17.690000000000001</v>
      </c>
      <c r="DX48" s="1522">
        <v>2</v>
      </c>
    </row>
    <row r="49" spans="1:128" ht="18.75" customHeight="1">
      <c r="A49" s="1497"/>
      <c r="B49" s="1498" t="s">
        <v>1009</v>
      </c>
      <c r="C49" s="1508"/>
      <c r="D49" s="1509"/>
      <c r="E49" s="1509"/>
      <c r="F49" s="1501"/>
      <c r="G49" s="1501"/>
      <c r="H49" s="1501"/>
      <c r="I49" s="1367"/>
      <c r="J49" s="1367"/>
      <c r="K49" s="1367"/>
      <c r="L49" s="1522">
        <v>58.5</v>
      </c>
      <c r="M49" s="1522">
        <v>1.49</v>
      </c>
      <c r="N49" s="1522">
        <v>0.16</v>
      </c>
      <c r="O49" s="1523">
        <v>3.54</v>
      </c>
      <c r="P49" s="1523">
        <v>0.46</v>
      </c>
      <c r="Q49" s="1523">
        <v>5.49</v>
      </c>
      <c r="R49" s="1523">
        <v>0.66</v>
      </c>
      <c r="S49" s="1523">
        <v>21.87</v>
      </c>
      <c r="T49" s="1523">
        <v>3.47</v>
      </c>
      <c r="U49" s="1523">
        <v>41.15</v>
      </c>
      <c r="V49" s="1523">
        <v>7.92</v>
      </c>
      <c r="W49" s="1523">
        <v>21.14</v>
      </c>
      <c r="X49" s="1523">
        <v>2.93</v>
      </c>
      <c r="Y49" s="1523">
        <v>8.1300000000000008</v>
      </c>
      <c r="Z49" s="1523">
        <v>1.7</v>
      </c>
      <c r="AA49" s="1523">
        <v>38.69</v>
      </c>
      <c r="AB49" s="1523">
        <v>3.34</v>
      </c>
      <c r="AC49" s="1523">
        <v>45.63</v>
      </c>
      <c r="AD49" s="1523">
        <v>5.04</v>
      </c>
      <c r="AE49" s="1523">
        <v>57.94</v>
      </c>
      <c r="AF49" s="1523">
        <v>4.66</v>
      </c>
      <c r="AG49" s="1523">
        <v>83.06</v>
      </c>
      <c r="AH49" s="1523">
        <v>19</v>
      </c>
      <c r="AI49" s="1522">
        <v>31.02</v>
      </c>
      <c r="AJ49" s="1522">
        <v>6.36</v>
      </c>
      <c r="AK49" s="1522">
        <v>8.9600000000000009</v>
      </c>
      <c r="AL49" s="1522">
        <v>1.01</v>
      </c>
      <c r="AM49" s="1523">
        <v>49.37</v>
      </c>
      <c r="AN49" s="1523">
        <v>9.5</v>
      </c>
      <c r="AO49" s="1523">
        <v>16.850000000000001</v>
      </c>
      <c r="AP49" s="1523">
        <v>1.91</v>
      </c>
      <c r="AQ49" s="1523">
        <v>57.71</v>
      </c>
      <c r="AR49" s="1523">
        <v>15.33</v>
      </c>
      <c r="AS49" s="1523">
        <v>18.53</v>
      </c>
      <c r="AT49" s="1523">
        <v>2.91</v>
      </c>
      <c r="AU49" s="1523">
        <v>71.56</v>
      </c>
      <c r="AV49" s="1523">
        <v>19.100000000000001</v>
      </c>
      <c r="AW49" s="1523">
        <v>7.47</v>
      </c>
      <c r="AX49" s="1523">
        <v>1.3</v>
      </c>
      <c r="AY49" s="1522">
        <f t="shared" si="7"/>
        <v>9.9099999999999948</v>
      </c>
      <c r="AZ49" s="1522">
        <v>1.51</v>
      </c>
      <c r="BA49" s="1524">
        <v>12.13</v>
      </c>
      <c r="BB49" s="1524">
        <v>2.4700000000000002</v>
      </c>
      <c r="BC49" s="1523">
        <v>10.49</v>
      </c>
      <c r="BD49" s="1523">
        <v>1.25</v>
      </c>
      <c r="BE49" s="1523">
        <v>9.58</v>
      </c>
      <c r="BF49" s="1523">
        <v>0.54</v>
      </c>
      <c r="BG49" s="1523">
        <v>8.77</v>
      </c>
      <c r="BH49" s="1523">
        <v>0.77</v>
      </c>
      <c r="BI49" s="1523">
        <v>20.079999999999998</v>
      </c>
      <c r="BJ49" s="1523">
        <v>1.94</v>
      </c>
      <c r="BK49" s="1523">
        <v>27.74</v>
      </c>
      <c r="BL49" s="1523">
        <v>2.68</v>
      </c>
      <c r="BM49" s="1523">
        <v>41.25</v>
      </c>
      <c r="BN49" s="1523">
        <v>3.99</v>
      </c>
      <c r="BO49" s="1523">
        <v>60.41</v>
      </c>
      <c r="BP49" s="1523">
        <v>5.84</v>
      </c>
      <c r="BQ49" s="1523">
        <v>1.97</v>
      </c>
      <c r="BR49" s="1524">
        <v>0.49</v>
      </c>
      <c r="BS49" s="1523">
        <v>2.72</v>
      </c>
      <c r="BT49" s="1523">
        <v>0.68</v>
      </c>
      <c r="BU49" s="1523">
        <v>4.05</v>
      </c>
      <c r="BV49" s="1523">
        <v>1</v>
      </c>
      <c r="BW49" s="1523">
        <v>5.93</v>
      </c>
      <c r="BX49" s="1523">
        <v>1.47</v>
      </c>
      <c r="BY49" s="1523">
        <v>666.11</v>
      </c>
      <c r="BZ49" s="1523">
        <v>16.77</v>
      </c>
      <c r="CA49" s="1523">
        <v>15.39</v>
      </c>
      <c r="CB49" s="1523">
        <v>2.56</v>
      </c>
      <c r="CC49" s="1523">
        <v>11.37</v>
      </c>
      <c r="CD49" s="1523">
        <v>2.1</v>
      </c>
      <c r="CE49" s="1523">
        <v>251.81</v>
      </c>
      <c r="CF49" s="1523">
        <v>34.07</v>
      </c>
      <c r="CG49" s="1522">
        <v>19.78</v>
      </c>
      <c r="CH49" s="1522">
        <v>1.52</v>
      </c>
      <c r="CI49" s="1522">
        <v>7.81</v>
      </c>
      <c r="CJ49" s="1522">
        <v>3.69</v>
      </c>
      <c r="CK49" s="1522">
        <v>8.9600000000000009</v>
      </c>
      <c r="CL49" s="1522">
        <v>1.92</v>
      </c>
      <c r="CM49" s="1522">
        <v>26.15</v>
      </c>
      <c r="CN49" s="1522">
        <v>2.4500000000000002</v>
      </c>
      <c r="CO49" s="1522">
        <v>16.899999999999999</v>
      </c>
      <c r="CP49" s="1522">
        <v>2.34</v>
      </c>
      <c r="CQ49" s="1522">
        <v>10.49</v>
      </c>
      <c r="CR49" s="1522">
        <v>0.71</v>
      </c>
      <c r="CS49" s="1522">
        <v>44</v>
      </c>
      <c r="CT49" s="1522">
        <v>11.03</v>
      </c>
      <c r="CU49" s="1522">
        <v>52.43</v>
      </c>
      <c r="CV49" s="1522">
        <v>3.53</v>
      </c>
      <c r="CW49" s="1522">
        <v>48.4</v>
      </c>
      <c r="CX49" s="1522">
        <v>11.03</v>
      </c>
      <c r="CY49" s="1522">
        <f t="shared" si="5"/>
        <v>52.43</v>
      </c>
      <c r="CZ49" s="1522">
        <v>3.53</v>
      </c>
      <c r="DA49" s="1522">
        <v>27.55</v>
      </c>
      <c r="DB49" s="1522">
        <v>10.73</v>
      </c>
      <c r="DC49" s="1522">
        <v>34.43</v>
      </c>
      <c r="DD49" s="1522">
        <v>13.41</v>
      </c>
      <c r="DE49" s="1522">
        <v>45.91</v>
      </c>
      <c r="DF49" s="1522">
        <v>17.88</v>
      </c>
      <c r="DG49" s="1522"/>
      <c r="DH49" s="1522"/>
      <c r="DI49" s="1522">
        <v>14.22</v>
      </c>
      <c r="DJ49" s="1522">
        <v>1.93</v>
      </c>
      <c r="DK49" s="1522">
        <v>3.4</v>
      </c>
      <c r="DL49" s="1522">
        <v>0.36</v>
      </c>
      <c r="DM49" s="1522">
        <v>45.16</v>
      </c>
      <c r="DN49" s="1522">
        <v>5.56</v>
      </c>
      <c r="DO49" s="1522">
        <v>58.68</v>
      </c>
      <c r="DP49" s="1522">
        <v>7.06</v>
      </c>
      <c r="DQ49" s="1522">
        <v>71.08</v>
      </c>
      <c r="DR49" s="1522">
        <v>7.75</v>
      </c>
      <c r="DS49" s="1522">
        <v>86.18</v>
      </c>
      <c r="DT49" s="1522">
        <v>8.59</v>
      </c>
      <c r="DU49" s="1522">
        <v>15.36</v>
      </c>
      <c r="DV49" s="1522">
        <v>1.72</v>
      </c>
      <c r="DW49" s="1522">
        <v>17.920000000000002</v>
      </c>
      <c r="DX49" s="1522">
        <v>2</v>
      </c>
    </row>
    <row r="50" spans="1:128" ht="18.75" customHeight="1">
      <c r="A50" s="1497"/>
      <c r="B50" s="1498" t="s">
        <v>481</v>
      </c>
      <c r="C50" s="1508" t="s">
        <v>482</v>
      </c>
      <c r="D50" s="1509">
        <v>250000</v>
      </c>
      <c r="E50" s="1509"/>
      <c r="F50" s="1501"/>
      <c r="G50" s="1501"/>
      <c r="H50" s="1501"/>
      <c r="I50" s="1367"/>
      <c r="J50" s="1367"/>
      <c r="K50" s="1367"/>
      <c r="L50" s="1522">
        <v>59.5</v>
      </c>
      <c r="M50" s="1522">
        <v>1.5</v>
      </c>
      <c r="N50" s="1522">
        <v>0.16</v>
      </c>
      <c r="O50" s="1523">
        <v>3.57</v>
      </c>
      <c r="P50" s="1523">
        <v>0.46</v>
      </c>
      <c r="Q50" s="1523">
        <v>5.54</v>
      </c>
      <c r="R50" s="1523">
        <v>0.66</v>
      </c>
      <c r="S50" s="1523">
        <v>22.09</v>
      </c>
      <c r="T50" s="1523">
        <v>3.47</v>
      </c>
      <c r="U50" s="1523">
        <v>41.6</v>
      </c>
      <c r="V50" s="1523">
        <v>7.92</v>
      </c>
      <c r="W50" s="1523">
        <v>21.33</v>
      </c>
      <c r="X50" s="1523">
        <v>2.93</v>
      </c>
      <c r="Y50" s="1523">
        <v>8.2100000000000009</v>
      </c>
      <c r="Z50" s="1523">
        <v>1.7</v>
      </c>
      <c r="AA50" s="1523">
        <v>39.07</v>
      </c>
      <c r="AB50" s="1523">
        <v>3.34</v>
      </c>
      <c r="AC50" s="1523">
        <v>46.07</v>
      </c>
      <c r="AD50" s="1523">
        <v>5.04</v>
      </c>
      <c r="AE50" s="1523">
        <v>58.38</v>
      </c>
      <c r="AF50" s="1523">
        <v>4.66</v>
      </c>
      <c r="AG50" s="1523">
        <v>84</v>
      </c>
      <c r="AH50" s="1523">
        <v>19</v>
      </c>
      <c r="AI50" s="1522">
        <v>31.32</v>
      </c>
      <c r="AJ50" s="1522">
        <v>6.36</v>
      </c>
      <c r="AK50" s="1522">
        <v>9.0399999999999991</v>
      </c>
      <c r="AL50" s="1522">
        <v>1.01</v>
      </c>
      <c r="AM50" s="1523">
        <v>49.92</v>
      </c>
      <c r="AN50" s="1523">
        <v>9.5</v>
      </c>
      <c r="AO50" s="1523">
        <v>17.010000000000002</v>
      </c>
      <c r="AP50" s="1523">
        <v>1.91</v>
      </c>
      <c r="AQ50" s="1523">
        <v>58.33</v>
      </c>
      <c r="AR50" s="1523">
        <v>15.33</v>
      </c>
      <c r="AS50" s="1523">
        <v>18.68</v>
      </c>
      <c r="AT50" s="1523">
        <v>2.91</v>
      </c>
      <c r="AU50" s="1523">
        <v>72.34</v>
      </c>
      <c r="AV50" s="1523">
        <v>19.100000000000001</v>
      </c>
      <c r="AW50" s="1523">
        <v>7.55</v>
      </c>
      <c r="AX50" s="1523">
        <v>1.3</v>
      </c>
      <c r="AY50" s="1522">
        <f t="shared" si="7"/>
        <v>10.009999999999994</v>
      </c>
      <c r="AZ50" s="1522">
        <v>1.51</v>
      </c>
      <c r="BA50" s="1524">
        <v>12.26</v>
      </c>
      <c r="BB50" s="1524">
        <v>2.4700000000000002</v>
      </c>
      <c r="BC50" s="1523">
        <v>10.59</v>
      </c>
      <c r="BD50" s="1523">
        <v>1.25</v>
      </c>
      <c r="BE50" s="1523">
        <v>9.7100000000000009</v>
      </c>
      <c r="BF50" s="1523">
        <v>0.54</v>
      </c>
      <c r="BG50" s="1523">
        <v>8.89</v>
      </c>
      <c r="BH50" s="1523">
        <v>0.77</v>
      </c>
      <c r="BI50" s="1523">
        <v>20.34</v>
      </c>
      <c r="BJ50" s="1523">
        <v>1.94</v>
      </c>
      <c r="BK50" s="1523">
        <v>28.1</v>
      </c>
      <c r="BL50" s="1523">
        <v>2.68</v>
      </c>
      <c r="BM50" s="1523">
        <v>41.78</v>
      </c>
      <c r="BN50" s="1523">
        <v>3.99</v>
      </c>
      <c r="BO50" s="1523">
        <v>61.2</v>
      </c>
      <c r="BP50" s="1523">
        <v>5.84</v>
      </c>
      <c r="BQ50" s="1523">
        <v>1.99</v>
      </c>
      <c r="BR50" s="1524">
        <v>0.49</v>
      </c>
      <c r="BS50" s="1523">
        <v>2.75</v>
      </c>
      <c r="BT50" s="1523">
        <v>0.68</v>
      </c>
      <c r="BU50" s="1523">
        <v>4.09</v>
      </c>
      <c r="BV50" s="1523">
        <v>1</v>
      </c>
      <c r="BW50" s="1523">
        <v>5.99</v>
      </c>
      <c r="BX50" s="1523">
        <v>1.47</v>
      </c>
      <c r="BY50" s="1523">
        <v>676.89</v>
      </c>
      <c r="BZ50" s="1523">
        <v>16.77</v>
      </c>
      <c r="CA50" s="1523">
        <v>15.56</v>
      </c>
      <c r="CB50" s="1523">
        <v>2.56</v>
      </c>
      <c r="CC50" s="1523">
        <v>11.48</v>
      </c>
      <c r="CD50" s="1523">
        <v>2.1</v>
      </c>
      <c r="CE50" s="1523">
        <v>255.28</v>
      </c>
      <c r="CF50" s="1523">
        <v>34.07</v>
      </c>
      <c r="CG50" s="1522">
        <v>20.059999999999999</v>
      </c>
      <c r="CH50" s="1522">
        <v>1.52</v>
      </c>
      <c r="CI50" s="1522">
        <v>7.81</v>
      </c>
      <c r="CJ50" s="1522">
        <v>3.69</v>
      </c>
      <c r="CK50" s="1522">
        <v>9</v>
      </c>
      <c r="CL50" s="1522">
        <v>1.92</v>
      </c>
      <c r="CM50" s="1522">
        <v>26.4</v>
      </c>
      <c r="CN50" s="1522">
        <v>2.4500000000000002</v>
      </c>
      <c r="CO50" s="1522">
        <v>17.13</v>
      </c>
      <c r="CP50" s="1522">
        <v>2.34</v>
      </c>
      <c r="CQ50" s="1522">
        <v>10.62</v>
      </c>
      <c r="CR50" s="1522">
        <v>0.71</v>
      </c>
      <c r="CS50" s="1522">
        <v>44.4</v>
      </c>
      <c r="CT50" s="1522">
        <v>11.03</v>
      </c>
      <c r="CU50" s="1522">
        <v>53.11</v>
      </c>
      <c r="CV50" s="1522">
        <v>3.53</v>
      </c>
      <c r="CW50" s="1522">
        <v>48.84</v>
      </c>
      <c r="CX50" s="1522">
        <v>11.03</v>
      </c>
      <c r="CY50" s="1522">
        <f t="shared" si="5"/>
        <v>53.11</v>
      </c>
      <c r="CZ50" s="1522">
        <v>3.53</v>
      </c>
      <c r="DA50" s="1522">
        <v>27.69</v>
      </c>
      <c r="DB50" s="1522">
        <v>10.73</v>
      </c>
      <c r="DC50" s="1522">
        <v>34.61</v>
      </c>
      <c r="DD50" s="1522">
        <v>13.41</v>
      </c>
      <c r="DE50" s="1522">
        <v>46.15</v>
      </c>
      <c r="DF50" s="1522">
        <v>17.88</v>
      </c>
      <c r="DG50" s="1522"/>
      <c r="DH50" s="1522"/>
      <c r="DI50" s="1522">
        <v>14.39</v>
      </c>
      <c r="DJ50" s="1522">
        <v>1.93</v>
      </c>
      <c r="DK50" s="1522">
        <v>3.45</v>
      </c>
      <c r="DL50" s="1522">
        <v>0.36</v>
      </c>
      <c r="DM50" s="1522">
        <v>45.48</v>
      </c>
      <c r="DN50" s="1522">
        <v>5.56</v>
      </c>
      <c r="DO50" s="1522">
        <v>59.06</v>
      </c>
      <c r="DP50" s="1522">
        <v>7.06</v>
      </c>
      <c r="DQ50" s="1522">
        <v>71.55</v>
      </c>
      <c r="DR50" s="1522">
        <v>7.75</v>
      </c>
      <c r="DS50" s="1522">
        <v>86.75</v>
      </c>
      <c r="DT50" s="1522">
        <v>8.59</v>
      </c>
      <c r="DU50" s="1522">
        <v>15.55</v>
      </c>
      <c r="DV50" s="1522">
        <v>1.72</v>
      </c>
      <c r="DW50" s="1522">
        <v>18.14</v>
      </c>
      <c r="DX50" s="1522">
        <v>2</v>
      </c>
    </row>
    <row r="51" spans="1:128" ht="18.75" customHeight="1">
      <c r="A51" s="1497"/>
      <c r="B51" s="1498" t="s">
        <v>1860</v>
      </c>
      <c r="C51" s="1508"/>
      <c r="D51" s="1509"/>
      <c r="E51" s="1509"/>
      <c r="F51" s="1501"/>
      <c r="G51" s="1501"/>
      <c r="H51" s="1501"/>
      <c r="I51" s="1367"/>
      <c r="J51" s="1367"/>
      <c r="K51" s="1367"/>
      <c r="L51" s="1522">
        <v>60.5</v>
      </c>
      <c r="M51" s="1522">
        <v>1.52</v>
      </c>
      <c r="N51" s="1522">
        <v>0.16</v>
      </c>
      <c r="O51" s="1523">
        <v>3.6</v>
      </c>
      <c r="P51" s="1523">
        <v>0.46</v>
      </c>
      <c r="Q51" s="1523">
        <v>5.59</v>
      </c>
      <c r="R51" s="1523">
        <v>0.66</v>
      </c>
      <c r="S51" s="1523">
        <v>22.3</v>
      </c>
      <c r="T51" s="1523">
        <v>3.47</v>
      </c>
      <c r="U51" s="1523">
        <v>42.05</v>
      </c>
      <c r="V51" s="1523">
        <v>7.92</v>
      </c>
      <c r="W51" s="1523">
        <v>21.51</v>
      </c>
      <c r="X51" s="1523">
        <v>2.93</v>
      </c>
      <c r="Y51" s="1523">
        <v>8.2899999999999991</v>
      </c>
      <c r="Z51" s="1523">
        <v>1.7</v>
      </c>
      <c r="AA51" s="1523">
        <v>39.46</v>
      </c>
      <c r="AB51" s="1523">
        <v>3.34</v>
      </c>
      <c r="AC51" s="1523">
        <v>46.52</v>
      </c>
      <c r="AD51" s="1523">
        <v>5.04</v>
      </c>
      <c r="AE51" s="1523">
        <v>58.81</v>
      </c>
      <c r="AF51" s="1523">
        <v>4.66</v>
      </c>
      <c r="AG51" s="1523">
        <v>84.95</v>
      </c>
      <c r="AH51" s="1523">
        <v>19</v>
      </c>
      <c r="AI51" s="1522">
        <v>31.63</v>
      </c>
      <c r="AJ51" s="1522">
        <v>6.36</v>
      </c>
      <c r="AK51" s="1522">
        <v>9.1199999999999992</v>
      </c>
      <c r="AL51" s="1522">
        <v>1.01</v>
      </c>
      <c r="AM51" s="1523">
        <v>50.46</v>
      </c>
      <c r="AN51" s="1523">
        <v>9.5</v>
      </c>
      <c r="AO51" s="1523">
        <v>17.170000000000002</v>
      </c>
      <c r="AP51" s="1523">
        <v>1.91</v>
      </c>
      <c r="AQ51" s="1523">
        <v>58.96</v>
      </c>
      <c r="AR51" s="1523">
        <v>15.33</v>
      </c>
      <c r="AS51" s="1523">
        <v>18.82</v>
      </c>
      <c r="AT51" s="1523">
        <v>2.91</v>
      </c>
      <c r="AU51" s="1523">
        <v>73.12</v>
      </c>
      <c r="AV51" s="1523">
        <v>19.100000000000001</v>
      </c>
      <c r="AW51" s="1523">
        <v>7.63</v>
      </c>
      <c r="AX51" s="1523">
        <v>1.3</v>
      </c>
      <c r="AY51" s="1522">
        <f t="shared" si="7"/>
        <v>10.109999999999994</v>
      </c>
      <c r="AZ51" s="1522">
        <v>1.51</v>
      </c>
      <c r="BA51" s="1524">
        <v>12.38</v>
      </c>
      <c r="BB51" s="1524">
        <v>2.4700000000000002</v>
      </c>
      <c r="BC51" s="1523">
        <v>10.69</v>
      </c>
      <c r="BD51" s="1523">
        <v>1.25</v>
      </c>
      <c r="BE51" s="1523">
        <v>9.84</v>
      </c>
      <c r="BF51" s="1523">
        <v>0.54</v>
      </c>
      <c r="BG51" s="1523">
        <v>9.01</v>
      </c>
      <c r="BH51" s="1523">
        <v>0.77</v>
      </c>
      <c r="BI51" s="1523">
        <v>20.6</v>
      </c>
      <c r="BJ51" s="1523">
        <v>1.94</v>
      </c>
      <c r="BK51" s="1523">
        <v>28.46</v>
      </c>
      <c r="BL51" s="1523">
        <v>2.68</v>
      </c>
      <c r="BM51" s="1523">
        <v>42.32</v>
      </c>
      <c r="BN51" s="1523">
        <v>3.99</v>
      </c>
      <c r="BO51" s="1523">
        <v>61.98</v>
      </c>
      <c r="BP51" s="1523">
        <v>5.84</v>
      </c>
      <c r="BQ51" s="1523">
        <v>2.0099999999999998</v>
      </c>
      <c r="BR51" s="1524">
        <v>0.49</v>
      </c>
      <c r="BS51" s="1523">
        <v>2.77</v>
      </c>
      <c r="BT51" s="1523">
        <v>0.68</v>
      </c>
      <c r="BU51" s="1523">
        <v>4.12</v>
      </c>
      <c r="BV51" s="1523">
        <v>1</v>
      </c>
      <c r="BW51" s="1523">
        <v>6.04</v>
      </c>
      <c r="BX51" s="1523">
        <v>1.47</v>
      </c>
      <c r="BY51" s="1523">
        <v>687.68</v>
      </c>
      <c r="BZ51" s="1523">
        <v>16.77</v>
      </c>
      <c r="CA51" s="1523">
        <v>15.72</v>
      </c>
      <c r="CB51" s="1523">
        <v>2.56</v>
      </c>
      <c r="CC51" s="1523">
        <v>11.59</v>
      </c>
      <c r="CD51" s="1523">
        <v>2.1</v>
      </c>
      <c r="CE51" s="1523">
        <v>258.74</v>
      </c>
      <c r="CF51" s="1523">
        <v>34.07</v>
      </c>
      <c r="CG51" s="1522">
        <v>20.329999999999998</v>
      </c>
      <c r="CH51" s="1522">
        <v>1.52</v>
      </c>
      <c r="CI51" s="1522">
        <v>7.81</v>
      </c>
      <c r="CJ51" s="1522">
        <v>3.69</v>
      </c>
      <c r="CK51" s="1522">
        <v>9.0500000000000007</v>
      </c>
      <c r="CL51" s="1522">
        <v>1.92</v>
      </c>
      <c r="CM51" s="1522">
        <v>26.64</v>
      </c>
      <c r="CN51" s="1522">
        <v>2.4500000000000002</v>
      </c>
      <c r="CO51" s="1522">
        <v>17.350000000000001</v>
      </c>
      <c r="CP51" s="1522">
        <v>2.34</v>
      </c>
      <c r="CQ51" s="1522">
        <v>10.76</v>
      </c>
      <c r="CR51" s="1522">
        <v>0.71</v>
      </c>
      <c r="CS51" s="1522">
        <v>44.8</v>
      </c>
      <c r="CT51" s="1522">
        <v>11.03</v>
      </c>
      <c r="CU51" s="1522">
        <v>53.78</v>
      </c>
      <c r="CV51" s="1522">
        <v>3.53</v>
      </c>
      <c r="CW51" s="1522">
        <v>49.28</v>
      </c>
      <c r="CX51" s="1522">
        <v>11.03</v>
      </c>
      <c r="CY51" s="1522">
        <f t="shared" si="5"/>
        <v>53.78</v>
      </c>
      <c r="CZ51" s="1522">
        <v>3.53</v>
      </c>
      <c r="DA51" s="1522">
        <v>27.83</v>
      </c>
      <c r="DB51" s="1522">
        <v>10.73</v>
      </c>
      <c r="DC51" s="1522">
        <v>34.79</v>
      </c>
      <c r="DD51" s="1522">
        <v>13.41</v>
      </c>
      <c r="DE51" s="1522">
        <v>46.38</v>
      </c>
      <c r="DF51" s="1522">
        <v>17.88</v>
      </c>
      <c r="DG51" s="1522"/>
      <c r="DH51" s="1522"/>
      <c r="DI51" s="1522">
        <v>14.56</v>
      </c>
      <c r="DJ51" s="1522">
        <v>1.93</v>
      </c>
      <c r="DK51" s="1522">
        <v>3.49</v>
      </c>
      <c r="DL51" s="1522">
        <v>0.36</v>
      </c>
      <c r="DM51" s="1522">
        <v>45.8</v>
      </c>
      <c r="DN51" s="1522">
        <v>5.56</v>
      </c>
      <c r="DO51" s="1522">
        <v>59.45</v>
      </c>
      <c r="DP51" s="1522">
        <v>7.06</v>
      </c>
      <c r="DQ51" s="1522">
        <v>72.010000000000005</v>
      </c>
      <c r="DR51" s="1522">
        <v>7.75</v>
      </c>
      <c r="DS51" s="1522">
        <v>87.32</v>
      </c>
      <c r="DT51" s="1522">
        <v>8.59</v>
      </c>
      <c r="DU51" s="1522">
        <v>15.75</v>
      </c>
      <c r="DV51" s="1522">
        <v>1.72</v>
      </c>
      <c r="DW51" s="1522">
        <v>18.37</v>
      </c>
      <c r="DX51" s="1522">
        <v>2</v>
      </c>
    </row>
    <row r="52" spans="1:128" ht="18.75" customHeight="1">
      <c r="A52" s="1497"/>
      <c r="B52" s="1498" t="s">
        <v>1861</v>
      </c>
      <c r="C52" s="1499" t="s">
        <v>1026</v>
      </c>
      <c r="D52" s="1500" t="str">
        <f>IF($D$2=40.5,CA31,IF($D$2=41.5,CA32,IF($D$2=42.5,CA33,IF($D$2=43.5,CA34,IF($D$2=44.5,CA35,IF($D$2=45.5,CA36,IF($D$2=46.5,CA37,)))))))&amp;
IF($D$2=47.5,CA38,IF($D$2=48.5,CA39,IF($D$2=49.5,CA40,IF($D$2=50.5,CA41,IF($D$2=51.5,CA42,IF($D$2=52.5,CA43,IF($D$2=53.5,CA44,)))))))&amp;
IF($D$2=54.5,CA45,IF($D$2=55.5,CA46,IF($D$2=56.5,CA47,IF($D$2=57.5,CA48,IF($D$2=15.5,CA6,IF($D$2=16.5,CA7,IF($D$2=17.5,CA8,)))))))&amp;
IF($D$2=18.5,CA9,IF($D$2=19.5,CA10,IF($D$2=20.5,CA11,IF($D$2=21.5,CA12,IF($D$2=22.5,CA13,IF($D$2=23.5,CA14,IF($D$2=24.5,CA15,)))))))&amp;IF($D$2=25.5,CA16,IF($D$2=26.5,CA17,IF($D$2=39.5,CA30,)))&amp;IF($D$2=31.5,CA22,IF($D$2=32.5,CA23,IF($D$2=33.5,CA24,IF($D$2=34.5,CA25,IF($D$2=35.5,CA26,IF($D$2=36.5,CA27,IF($D$2=37.5,CA28,IF($C$2=38.5,CA29,))))))))&amp;IF($D$2=27.5,CA18,IF($D$2=28.5,CA19,IF($D$2=29.5,CA20,IF($D$2=30.5,CA21,))))</f>
        <v>13.19</v>
      </c>
      <c r="E52" s="1500" t="str">
        <f>IF($D$2=40.5,CB31,IF($D$2=41.5,CB32,IF($D$2=42.5,CB33,IF($D$2=43.5,CB34,IF($D$2=44.5,CB35,IF($D$2=45.5,CB36,IF($D$2=46.5,CB37,)))))))&amp;
IF($D$2=47.5,CB38,IF($D$2=48.5,CB39,IF($D$2=49.5,CB40,IF($D$2=50.5,CB41,IF($D$2=51.5,CB42,IF($D$2=52.5,CB43,IF($D$2=53.5,CB44,)))))))&amp;
IF($D$2=54.5,CB45,IF($D$2=55.5,CB46,IF($D$2=56.5,CB47,IF($D$2=57.5,CB48,IF($D$2=15.5,CB6,IF($D$2=16.5,CB7,IF($D$2=17.5,CB8,)))))))&amp;
IF($D$2=18.5,CB9,IF($D$2=19.5,CB10,IF($D$2=20.5,CB11,IF($D$2=21.5,CB12,IF($D$2=22.5,CB13,IF($D$2=23.5,CB14,IF($D$2=24.5,CB15,)))))))&amp;IF($D$2=25.5,CB16,IF($D$2=26.5,CB17,IF($D$2=39.5,CB30,)))&amp;IF($D$2=31.5,CB22,IF($D$2=32.5,CB23,IF($D$2=33.5,CB24,IF($D$2=34.5,CB25,IF($D$2=35.5,CB26,IF($D$2=36.5,CB27,IF($D$2=37.5,CB28,IF($C$2=38.5,CB29,))))))))&amp;IF($D$2=27.5,CB18,IF($D$2=28.5,CB19,IF($D$2=29.5,CB20,IF($D$2=30.5,CB21,))))</f>
        <v>2.82</v>
      </c>
      <c r="F52" s="1501">
        <f t="shared" si="6"/>
        <v>3.5249999999999999</v>
      </c>
      <c r="G52" s="1501">
        <f t="shared" ref="G52:G81" si="10">D52+E52</f>
        <v>16.009999999999998</v>
      </c>
      <c r="H52" s="1501">
        <f t="shared" ref="H52:H81" si="11">D52+F52</f>
        <v>16.715</v>
      </c>
      <c r="I52" s="1367"/>
      <c r="J52" s="1367"/>
      <c r="K52" s="1367"/>
      <c r="L52" s="1522">
        <v>61.5</v>
      </c>
      <c r="M52" s="1522">
        <v>1.53</v>
      </c>
      <c r="N52" s="1522">
        <v>0.16</v>
      </c>
      <c r="O52" s="1523">
        <v>3.64</v>
      </c>
      <c r="P52" s="1523">
        <v>0.46</v>
      </c>
      <c r="Q52" s="1523">
        <v>5.64</v>
      </c>
      <c r="R52" s="1523">
        <v>0.66</v>
      </c>
      <c r="S52" s="1523">
        <v>22.52</v>
      </c>
      <c r="T52" s="1523">
        <v>3.47</v>
      </c>
      <c r="U52" s="1523">
        <v>42.5</v>
      </c>
      <c r="V52" s="1523">
        <v>7.92</v>
      </c>
      <c r="W52" s="1523">
        <v>21.7</v>
      </c>
      <c r="X52" s="1523">
        <v>2.93</v>
      </c>
      <c r="Y52" s="1523">
        <v>8.3699999999999992</v>
      </c>
      <c r="Z52" s="1523">
        <v>1.7</v>
      </c>
      <c r="AA52" s="1523">
        <v>39.85</v>
      </c>
      <c r="AB52" s="1523">
        <v>3.34</v>
      </c>
      <c r="AC52" s="1523">
        <v>46.97</v>
      </c>
      <c r="AD52" s="1523">
        <v>5.04</v>
      </c>
      <c r="AE52" s="1523">
        <v>59.24</v>
      </c>
      <c r="AF52" s="1523">
        <v>4.66</v>
      </c>
      <c r="AG52" s="1523">
        <v>85.9</v>
      </c>
      <c r="AH52" s="1523">
        <v>19</v>
      </c>
      <c r="AI52" s="1522">
        <v>31.93</v>
      </c>
      <c r="AJ52" s="1522">
        <v>6.36</v>
      </c>
      <c r="AK52" s="1522">
        <v>9.1999999999999993</v>
      </c>
      <c r="AL52" s="1522">
        <v>1.01</v>
      </c>
      <c r="AM52" s="1523">
        <v>51</v>
      </c>
      <c r="AN52" s="1523">
        <v>9.5</v>
      </c>
      <c r="AO52" s="1523">
        <v>17.32</v>
      </c>
      <c r="AP52" s="1523">
        <v>1.91</v>
      </c>
      <c r="AQ52" s="1523">
        <v>59.58</v>
      </c>
      <c r="AR52" s="1523">
        <v>15.33</v>
      </c>
      <c r="AS52" s="1523">
        <v>18.96</v>
      </c>
      <c r="AT52" s="1523">
        <v>2.91</v>
      </c>
      <c r="AU52" s="1523">
        <v>73.900000000000006</v>
      </c>
      <c r="AV52" s="1523">
        <v>19.100000000000001</v>
      </c>
      <c r="AW52" s="1523">
        <v>7.7</v>
      </c>
      <c r="AX52" s="1523">
        <v>1.3</v>
      </c>
      <c r="AY52" s="1522">
        <f t="shared" si="7"/>
        <v>10.209999999999994</v>
      </c>
      <c r="AZ52" s="1522">
        <v>1.51</v>
      </c>
      <c r="BA52" s="1524">
        <v>12.5</v>
      </c>
      <c r="BB52" s="1524">
        <v>2.4700000000000002</v>
      </c>
      <c r="BC52" s="1523">
        <v>10.79</v>
      </c>
      <c r="BD52" s="1523">
        <v>1.25</v>
      </c>
      <c r="BE52" s="1523">
        <v>9.9700000000000006</v>
      </c>
      <c r="BF52" s="1523">
        <v>0.54</v>
      </c>
      <c r="BG52" s="1523">
        <v>9.1300000000000008</v>
      </c>
      <c r="BH52" s="1523">
        <v>0.77</v>
      </c>
      <c r="BI52" s="1523">
        <v>20.86</v>
      </c>
      <c r="BJ52" s="1523">
        <v>1.94</v>
      </c>
      <c r="BK52" s="1523">
        <v>28.82</v>
      </c>
      <c r="BL52" s="1523">
        <v>2.68</v>
      </c>
      <c r="BM52" s="1523">
        <v>42.85</v>
      </c>
      <c r="BN52" s="1523">
        <v>3.99</v>
      </c>
      <c r="BO52" s="1523">
        <v>62.76</v>
      </c>
      <c r="BP52" s="1523">
        <v>5.84</v>
      </c>
      <c r="BQ52" s="1523">
        <v>2.0299999999999998</v>
      </c>
      <c r="BR52" s="1524">
        <v>0.49</v>
      </c>
      <c r="BS52" s="1523">
        <v>2.8</v>
      </c>
      <c r="BT52" s="1523">
        <v>0.68</v>
      </c>
      <c r="BU52" s="1523">
        <v>4.16</v>
      </c>
      <c r="BV52" s="1523">
        <v>1</v>
      </c>
      <c r="BW52" s="1523">
        <v>6.09</v>
      </c>
      <c r="BX52" s="1523">
        <v>1.47</v>
      </c>
      <c r="BY52" s="1523">
        <v>698.46</v>
      </c>
      <c r="BZ52" s="1523">
        <v>16.77</v>
      </c>
      <c r="CA52" s="1523">
        <v>15.89</v>
      </c>
      <c r="CB52" s="1523">
        <v>2.56</v>
      </c>
      <c r="CC52" s="1523">
        <v>11.7</v>
      </c>
      <c r="CD52" s="1523">
        <v>2.1</v>
      </c>
      <c r="CE52" s="1523">
        <v>262.20999999999998</v>
      </c>
      <c r="CF52" s="1523">
        <v>34.07</v>
      </c>
      <c r="CG52" s="1522">
        <v>20.61</v>
      </c>
      <c r="CH52" s="1522">
        <v>1.52</v>
      </c>
      <c r="CI52" s="1522">
        <v>7.81</v>
      </c>
      <c r="CJ52" s="1522">
        <v>3.69</v>
      </c>
      <c r="CK52" s="1522">
        <v>9.1</v>
      </c>
      <c r="CL52" s="1522">
        <v>1.92</v>
      </c>
      <c r="CM52" s="1522">
        <v>26.89</v>
      </c>
      <c r="CN52" s="1522">
        <v>2.4500000000000002</v>
      </c>
      <c r="CO52" s="1522">
        <v>17.57</v>
      </c>
      <c r="CP52" s="1522">
        <v>2.34</v>
      </c>
      <c r="CQ52" s="1522">
        <v>10.89</v>
      </c>
      <c r="CR52" s="1522">
        <v>0.71</v>
      </c>
      <c r="CS52" s="1522">
        <v>45.2</v>
      </c>
      <c r="CT52" s="1522">
        <v>11.03</v>
      </c>
      <c r="CU52" s="1522">
        <v>54.46</v>
      </c>
      <c r="CV52" s="1522">
        <v>3.53</v>
      </c>
      <c r="CW52" s="1522">
        <v>46.73</v>
      </c>
      <c r="CX52" s="1522">
        <v>11.03</v>
      </c>
      <c r="CY52" s="1522">
        <f t="shared" si="5"/>
        <v>54.46</v>
      </c>
      <c r="CZ52" s="1522">
        <v>3.53</v>
      </c>
      <c r="DA52" s="1522">
        <v>27.97</v>
      </c>
      <c r="DB52" s="1522">
        <v>10.73</v>
      </c>
      <c r="DC52" s="1522">
        <v>34.96</v>
      </c>
      <c r="DD52" s="1522">
        <v>13.41</v>
      </c>
      <c r="DE52" s="1522">
        <v>46.62</v>
      </c>
      <c r="DF52" s="1522">
        <v>17.88</v>
      </c>
      <c r="DG52" s="1522"/>
      <c r="DH52" s="1522"/>
      <c r="DI52" s="1522">
        <v>14.74</v>
      </c>
      <c r="DJ52" s="1522">
        <v>1.93</v>
      </c>
      <c r="DK52" s="1522">
        <v>3.54</v>
      </c>
      <c r="DL52" s="1522">
        <v>0.36</v>
      </c>
      <c r="DM52" s="1522">
        <v>46.13</v>
      </c>
      <c r="DN52" s="1522">
        <v>5.56</v>
      </c>
      <c r="DO52" s="1522">
        <v>59.83</v>
      </c>
      <c r="DP52" s="1522">
        <v>7.06</v>
      </c>
      <c r="DQ52" s="1522">
        <v>72.48</v>
      </c>
      <c r="DR52" s="1522">
        <v>7.75</v>
      </c>
      <c r="DS52" s="1522">
        <v>87.88</v>
      </c>
      <c r="DT52" s="1522">
        <v>8.59</v>
      </c>
      <c r="DU52" s="1522">
        <v>15.94</v>
      </c>
      <c r="DV52" s="1522">
        <v>1.72</v>
      </c>
      <c r="DW52" s="1522">
        <v>18.600000000000001</v>
      </c>
      <c r="DX52" s="1522">
        <v>2</v>
      </c>
    </row>
    <row r="53" spans="1:128" ht="18.75" customHeight="1">
      <c r="A53" s="1497"/>
      <c r="B53" s="1498" t="s">
        <v>1862</v>
      </c>
      <c r="C53" s="1499" t="s">
        <v>1026</v>
      </c>
      <c r="D53" s="1500" t="str">
        <f>IF($D$2=40.5,CC31,IF($D$2=41.5,CC32,IF($D$2=42.5,CC33,IF($D$2=43.5,CC34,IF($D$2=44.5,CC35,IF($D$2=45.5,CC36,IF($D$2=46.5,CC37,)))))))&amp;
IF($D$2=47.5,CC38,IF($D$2=48.5,CC39,IF($D$2=49.5,CC40,IF($D$2=50.5,CC41,IF($D$2=51.5,CC42,IF($D$2=52.5,CC43,IF($D$2=53.5,CC44,)))))))&amp;
IF($D$2=54.5,CC45,IF($D$2=55.5,CC46,IF($D$2=56.5,CC47,IF($D$2=57.5,CC48,IF($D$2=15.5,CC6,IF($D$2=16.5,CC7,IF($D$2=17.5,CC8,)))))))&amp;
IF($D$2=18.5,CC9,IF($D$2=19.5,CC10,IF($D$2=20.5,CC11,IF($D$2=21.5,CC12,IF($D$2=22.5,CC13,IF($D$2=23.5,CC14,IF($D$2=24.5,CC15,)))))))&amp;IF($D$2=25.5,CC16,IF($D$2=26.5,CC17,IF($D$2=39.5,CC30,)))&amp;IF($D$2=31.5,CC22,IF($D$2=32.5,CC23,IF($D$2=33.5,CC24,IF($D$2=34.5,CC25,IF($D$2=35.5,CC26,IF($D$2=36.5,CC27,IF($D$2=37.5,CC28,IF($C$2=38.5,CC29,))))))))&amp;IF($D$2=27.5,CC18,IF($D$2=28.5,CC19,IF($D$2=29.5,CC20,IF($D$2=30.5,CC21,))))</f>
        <v>10.13</v>
      </c>
      <c r="E53" s="1500" t="str">
        <f>IF($D$2=40.5,CD31,IF($D$2=41.5,CD32,IF($D$2=42.5,CD33,IF($D$2=43.5,CD34,IF($D$2=44.5,CD35,IF($D$2=45.5,CD36,IF($D$2=46.5,CD37,)))))))&amp;
IF($D$2=47.5,CD38,IF($D$2=48.5,CD39,IF($D$2=49.5,CD40,IF($D$2=50.5,CD41,IF($D$2=51.5,CD42,IF($D$2=52.5,CD43,IF($D$2=53.5,CD44,)))))))&amp;
IF($D$2=54.5,CD45,IF($D$2=55.5,CD46,IF($D$2=56.5,CD47,IF($D$2=57.5,CD48,IF($D$2=15.5,CD6,IF($D$2=16.5,CD7,IF($D$2=17.5,CD8,)))))))&amp;
IF($D$2=18.5,CD9,IF($D$2=19.5,CD10,IF($D$2=20.5,CD11,IF($D$2=21.5,CD12,IF($D$2=22.5,CD13,IF($D$2=23.5,CD14,IF($D$2=24.5,CD15,)))))))&amp;IF($D$2=25.5,CD16,IF($D$2=26.5,CD17,IF($D$2=39.5,CD30,)))&amp;IF($D$2=31.5,CD22,IF($D$2=32.5,CD23,IF($D$2=33.5,CD24,IF($D$2=34.5,CD25,IF($D$2=35.5,CD26,IF($D$2=36.5,CD27,IF($D$2=37.5,CD28,IF($C$2=38.5,CD29,))))))))&amp;IF($D$2=27.5,CD18,IF($D$2=28.5,CD19,IF($D$2=29.5,CD20,IF($D$2=30.5,CD21,))))</f>
        <v>2.28</v>
      </c>
      <c r="F53" s="1501">
        <f t="shared" si="6"/>
        <v>2.8499999999999996</v>
      </c>
      <c r="G53" s="1501">
        <f t="shared" si="10"/>
        <v>12.41</v>
      </c>
      <c r="H53" s="1501">
        <f t="shared" si="11"/>
        <v>12.98</v>
      </c>
      <c r="I53" s="1367"/>
      <c r="J53" s="1367"/>
      <c r="K53" s="1367"/>
      <c r="L53" s="1522">
        <v>62.5</v>
      </c>
      <c r="M53" s="1522">
        <v>1.54</v>
      </c>
      <c r="N53" s="1522">
        <v>0.16</v>
      </c>
      <c r="O53" s="1523">
        <v>3.67</v>
      </c>
      <c r="P53" s="1523">
        <v>0.46</v>
      </c>
      <c r="Q53" s="1523">
        <v>5.7</v>
      </c>
      <c r="R53" s="1523">
        <v>0.66</v>
      </c>
      <c r="S53" s="1523">
        <v>22.73</v>
      </c>
      <c r="T53" s="1523">
        <v>3.47</v>
      </c>
      <c r="U53" s="1523">
        <v>42.95</v>
      </c>
      <c r="V53" s="1523">
        <v>7.92</v>
      </c>
      <c r="W53" s="1523">
        <v>21.89</v>
      </c>
      <c r="X53" s="1523">
        <v>2.93</v>
      </c>
      <c r="Y53" s="1523">
        <v>8.4499999999999993</v>
      </c>
      <c r="Z53" s="1523">
        <v>1.7</v>
      </c>
      <c r="AA53" s="1523">
        <v>40.229999999999997</v>
      </c>
      <c r="AB53" s="1523">
        <v>3.34</v>
      </c>
      <c r="AC53" s="1523">
        <v>47.42</v>
      </c>
      <c r="AD53" s="1523">
        <v>5.04</v>
      </c>
      <c r="AE53" s="1523">
        <v>59.67</v>
      </c>
      <c r="AF53" s="1523">
        <v>4.66</v>
      </c>
      <c r="AG53" s="1523">
        <v>86.85</v>
      </c>
      <c r="AH53" s="1523">
        <v>19</v>
      </c>
      <c r="AI53" s="1522">
        <v>32.24</v>
      </c>
      <c r="AJ53" s="1522">
        <v>6.36</v>
      </c>
      <c r="AK53" s="1522">
        <v>9.2899999999999991</v>
      </c>
      <c r="AL53" s="1522">
        <v>1.01</v>
      </c>
      <c r="AM53" s="1523">
        <v>51.54</v>
      </c>
      <c r="AN53" s="1523">
        <v>9.5</v>
      </c>
      <c r="AO53" s="1523">
        <v>17.48</v>
      </c>
      <c r="AP53" s="1523">
        <v>1.91</v>
      </c>
      <c r="AQ53" s="1523">
        <v>60.2</v>
      </c>
      <c r="AR53" s="1523">
        <v>15.33</v>
      </c>
      <c r="AS53" s="1523">
        <v>19.100000000000001</v>
      </c>
      <c r="AT53" s="1523">
        <v>2.91</v>
      </c>
      <c r="AU53" s="1523">
        <v>74.67</v>
      </c>
      <c r="AV53" s="1523">
        <v>19.100000000000001</v>
      </c>
      <c r="AW53" s="1523">
        <v>7.78</v>
      </c>
      <c r="AX53" s="1523">
        <v>1.3</v>
      </c>
      <c r="AY53" s="1522">
        <f t="shared" si="7"/>
        <v>10.309999999999993</v>
      </c>
      <c r="AZ53" s="1522">
        <v>1.51</v>
      </c>
      <c r="BA53" s="1524">
        <v>12.63</v>
      </c>
      <c r="BB53" s="1524">
        <v>2.4700000000000002</v>
      </c>
      <c r="BC53" s="1523">
        <v>10.88</v>
      </c>
      <c r="BD53" s="1523">
        <v>1.25</v>
      </c>
      <c r="BE53" s="1523">
        <v>10.09</v>
      </c>
      <c r="BF53" s="1523">
        <v>0.54</v>
      </c>
      <c r="BG53" s="1523">
        <v>9.25</v>
      </c>
      <c r="BH53" s="1523">
        <v>0.77</v>
      </c>
      <c r="BI53" s="1523">
        <v>21.12</v>
      </c>
      <c r="BJ53" s="1523">
        <v>1.94</v>
      </c>
      <c r="BK53" s="1523">
        <v>29.18</v>
      </c>
      <c r="BL53" s="1523">
        <v>2.68</v>
      </c>
      <c r="BM53" s="1523">
        <v>43.39</v>
      </c>
      <c r="BN53" s="1523">
        <v>3.99</v>
      </c>
      <c r="BO53" s="1523">
        <v>63.54</v>
      </c>
      <c r="BP53" s="1523">
        <v>5.84</v>
      </c>
      <c r="BQ53" s="1523">
        <v>2.04</v>
      </c>
      <c r="BR53" s="1524">
        <v>0.49</v>
      </c>
      <c r="BS53" s="1523">
        <v>2.82</v>
      </c>
      <c r="BT53" s="1523">
        <v>0.68</v>
      </c>
      <c r="BU53" s="1523">
        <v>4.2</v>
      </c>
      <c r="BV53" s="1523">
        <v>1</v>
      </c>
      <c r="BW53" s="1523">
        <v>6.15</v>
      </c>
      <c r="BX53" s="1523">
        <v>1.47</v>
      </c>
      <c r="BY53" s="1523">
        <v>709.24</v>
      </c>
      <c r="BZ53" s="1523">
        <v>16.77</v>
      </c>
      <c r="CA53" s="1523">
        <v>16.05</v>
      </c>
      <c r="CB53" s="1523">
        <v>2.56</v>
      </c>
      <c r="CC53" s="1523">
        <v>11.81</v>
      </c>
      <c r="CD53" s="1523">
        <v>2.1</v>
      </c>
      <c r="CE53" s="1523">
        <v>265.67</v>
      </c>
      <c r="CF53" s="1523">
        <v>34.07</v>
      </c>
      <c r="CG53" s="1522">
        <v>20.89</v>
      </c>
      <c r="CH53" s="1522">
        <v>1.52</v>
      </c>
      <c r="CI53" s="1522">
        <v>7.81</v>
      </c>
      <c r="CJ53" s="1522">
        <v>3.69</v>
      </c>
      <c r="CK53" s="1522">
        <v>9.15</v>
      </c>
      <c r="CL53" s="1522">
        <v>1.92</v>
      </c>
      <c r="CM53" s="1522">
        <v>27.13</v>
      </c>
      <c r="CN53" s="1522">
        <v>2.4500000000000002</v>
      </c>
      <c r="CO53" s="1522">
        <v>17.8</v>
      </c>
      <c r="CP53" s="1522">
        <v>2.34</v>
      </c>
      <c r="CQ53" s="1522">
        <v>11.03</v>
      </c>
      <c r="CR53" s="1522">
        <v>0.71</v>
      </c>
      <c r="CS53" s="1522">
        <v>45.61</v>
      </c>
      <c r="CT53" s="1522">
        <v>11.03</v>
      </c>
      <c r="CU53" s="1522">
        <v>55.14</v>
      </c>
      <c r="CV53" s="1522">
        <v>3.53</v>
      </c>
      <c r="CW53" s="1522">
        <v>50.17</v>
      </c>
      <c r="CX53" s="1522">
        <v>11.03</v>
      </c>
      <c r="CY53" s="1522">
        <f t="shared" si="5"/>
        <v>55.14</v>
      </c>
      <c r="CZ53" s="1522">
        <v>3.53</v>
      </c>
      <c r="DA53" s="1522">
        <v>28.11</v>
      </c>
      <c r="DB53" s="1522">
        <v>10.73</v>
      </c>
      <c r="DC53" s="1522">
        <v>35.14</v>
      </c>
      <c r="DD53" s="1522">
        <v>13.41</v>
      </c>
      <c r="DE53" s="1522">
        <v>46.86</v>
      </c>
      <c r="DF53" s="1522">
        <v>17.88</v>
      </c>
      <c r="DG53" s="1522"/>
      <c r="DH53" s="1522"/>
      <c r="DI53" s="1522">
        <v>14.91</v>
      </c>
      <c r="DJ53" s="1522">
        <v>1.93</v>
      </c>
      <c r="DK53" s="1522">
        <v>3.58</v>
      </c>
      <c r="DL53" s="1522">
        <v>0.36</v>
      </c>
      <c r="DM53" s="1522">
        <v>46.45</v>
      </c>
      <c r="DN53" s="1522">
        <v>5.56</v>
      </c>
      <c r="DO53" s="1522">
        <v>60.21</v>
      </c>
      <c r="DP53" s="1522">
        <v>7.06</v>
      </c>
      <c r="DQ53" s="1522">
        <v>72.95</v>
      </c>
      <c r="DR53" s="1522">
        <v>7.75</v>
      </c>
      <c r="DS53" s="1522">
        <v>88.45</v>
      </c>
      <c r="DT53" s="1522">
        <v>8.59</v>
      </c>
      <c r="DU53" s="1522">
        <v>16.13</v>
      </c>
      <c r="DV53" s="1522">
        <v>1.72</v>
      </c>
      <c r="DW53" s="1522">
        <v>18.82</v>
      </c>
      <c r="DX53" s="1522">
        <v>2</v>
      </c>
    </row>
    <row r="54" spans="1:128" ht="18.75" customHeight="1">
      <c r="A54" s="1497">
        <v>14</v>
      </c>
      <c r="B54" s="1498" t="s">
        <v>128</v>
      </c>
      <c r="C54" s="1508"/>
      <c r="D54" s="1509"/>
      <c r="E54" s="1509"/>
      <c r="F54" s="1501"/>
      <c r="G54" s="1501"/>
      <c r="H54" s="1501"/>
      <c r="I54" s="1367"/>
      <c r="J54" s="1367"/>
      <c r="K54" s="1367"/>
      <c r="L54" s="1522">
        <v>63.5</v>
      </c>
      <c r="M54" s="1522">
        <v>1.56</v>
      </c>
      <c r="N54" s="1522">
        <v>0.16</v>
      </c>
      <c r="O54" s="1523">
        <v>3.7</v>
      </c>
      <c r="P54" s="1523">
        <v>0.46</v>
      </c>
      <c r="Q54" s="1523">
        <v>5.75</v>
      </c>
      <c r="R54" s="1523">
        <v>0.66</v>
      </c>
      <c r="S54" s="1523">
        <v>22.95</v>
      </c>
      <c r="T54" s="1523">
        <v>3.47</v>
      </c>
      <c r="U54" s="1523">
        <v>43.4</v>
      </c>
      <c r="V54" s="1523">
        <v>7.92</v>
      </c>
      <c r="W54" s="1523">
        <v>22.08</v>
      </c>
      <c r="X54" s="1523">
        <v>2.93</v>
      </c>
      <c r="Y54" s="1523">
        <v>8.5399999999999991</v>
      </c>
      <c r="Z54" s="1523">
        <v>1.7</v>
      </c>
      <c r="AA54" s="1523">
        <v>40.619999999999997</v>
      </c>
      <c r="AB54" s="1523">
        <v>3.34</v>
      </c>
      <c r="AC54" s="1523">
        <v>47.87</v>
      </c>
      <c r="AD54" s="1523">
        <v>5.04</v>
      </c>
      <c r="AE54" s="1523">
        <v>60.11</v>
      </c>
      <c r="AF54" s="1523">
        <v>4.66</v>
      </c>
      <c r="AG54" s="1523">
        <v>87.79</v>
      </c>
      <c r="AH54" s="1523">
        <v>19</v>
      </c>
      <c r="AI54" s="1522">
        <v>32.54</v>
      </c>
      <c r="AJ54" s="1522">
        <v>6.36</v>
      </c>
      <c r="AK54" s="1522">
        <v>9.3699999999999992</v>
      </c>
      <c r="AL54" s="1522">
        <v>1.01</v>
      </c>
      <c r="AM54" s="1523">
        <v>52.08</v>
      </c>
      <c r="AN54" s="1523">
        <v>9.5</v>
      </c>
      <c r="AO54" s="1523">
        <v>17.63</v>
      </c>
      <c r="AP54" s="1523">
        <v>1.91</v>
      </c>
      <c r="AQ54" s="1523">
        <v>60.82</v>
      </c>
      <c r="AR54" s="1523">
        <v>15.33</v>
      </c>
      <c r="AS54" s="1523">
        <v>19.25</v>
      </c>
      <c r="AT54" s="1523">
        <v>2.91</v>
      </c>
      <c r="AU54" s="1523">
        <v>75.45</v>
      </c>
      <c r="AV54" s="1523">
        <v>19.100000000000001</v>
      </c>
      <c r="AW54" s="1523">
        <v>7.86</v>
      </c>
      <c r="AX54" s="1523">
        <v>1.3</v>
      </c>
      <c r="AY54" s="1522">
        <f>AY53+0.1</f>
        <v>10.409999999999993</v>
      </c>
      <c r="AZ54" s="1522">
        <v>1.51</v>
      </c>
      <c r="BA54" s="1524">
        <v>12.75</v>
      </c>
      <c r="BB54" s="1524">
        <v>2.4700000000000002</v>
      </c>
      <c r="BC54" s="1523">
        <v>10.98</v>
      </c>
      <c r="BD54" s="1523">
        <v>1.25</v>
      </c>
      <c r="BE54" s="1523">
        <v>10.220000000000001</v>
      </c>
      <c r="BF54" s="1523">
        <v>0.54</v>
      </c>
      <c r="BG54" s="1523">
        <v>9.3699999999999992</v>
      </c>
      <c r="BH54" s="1523">
        <v>0.77</v>
      </c>
      <c r="BI54" s="1523">
        <v>21.38</v>
      </c>
      <c r="BJ54" s="1523">
        <v>1.94</v>
      </c>
      <c r="BK54" s="1523">
        <v>29.54</v>
      </c>
      <c r="BL54" s="1523">
        <v>2.68</v>
      </c>
      <c r="BM54" s="1523">
        <v>43.92</v>
      </c>
      <c r="BN54" s="1523">
        <v>3.99</v>
      </c>
      <c r="BO54" s="1523">
        <v>64.319999999999993</v>
      </c>
      <c r="BP54" s="1523">
        <v>5.84</v>
      </c>
      <c r="BQ54" s="1523">
        <v>2.06</v>
      </c>
      <c r="BR54" s="1524">
        <v>0.49</v>
      </c>
      <c r="BS54" s="1523">
        <v>2.85</v>
      </c>
      <c r="BT54" s="1523">
        <v>0.68</v>
      </c>
      <c r="BU54" s="1523">
        <v>4.2300000000000004</v>
      </c>
      <c r="BV54" s="1523">
        <v>1</v>
      </c>
      <c r="BW54" s="1523">
        <v>6.2</v>
      </c>
      <c r="BX54" s="1523">
        <v>1.47</v>
      </c>
      <c r="BY54" s="1523">
        <v>720.03</v>
      </c>
      <c r="BZ54" s="1523">
        <v>16.77</v>
      </c>
      <c r="CA54" s="1523">
        <v>16.22</v>
      </c>
      <c r="CB54" s="1523">
        <v>2.56</v>
      </c>
      <c r="CC54" s="1523">
        <v>11.92</v>
      </c>
      <c r="CD54" s="1523">
        <v>2.1</v>
      </c>
      <c r="CE54" s="1523">
        <v>269.14</v>
      </c>
      <c r="CF54" s="1523">
        <v>34.07</v>
      </c>
      <c r="CG54" s="1522">
        <v>21.16</v>
      </c>
      <c r="CH54" s="1522">
        <v>1.52</v>
      </c>
      <c r="CI54" s="1522">
        <v>7.81</v>
      </c>
      <c r="CJ54" s="1522">
        <v>3.69</v>
      </c>
      <c r="CK54" s="1522">
        <v>9.1999999999999993</v>
      </c>
      <c r="CL54" s="1522">
        <v>1.92</v>
      </c>
      <c r="CM54" s="1522">
        <v>27.37</v>
      </c>
      <c r="CN54" s="1522">
        <v>2.4500000000000002</v>
      </c>
      <c r="CO54" s="1522">
        <v>18.02</v>
      </c>
      <c r="CP54" s="1522">
        <v>2.34</v>
      </c>
      <c r="CQ54" s="1522">
        <v>11.16</v>
      </c>
      <c r="CR54" s="1522">
        <v>0.71</v>
      </c>
      <c r="CS54" s="1522">
        <v>46.01</v>
      </c>
      <c r="CT54" s="1522">
        <v>11.03</v>
      </c>
      <c r="CU54" s="1522">
        <v>55.81</v>
      </c>
      <c r="CV54" s="1522">
        <v>3.53</v>
      </c>
      <c r="CW54" s="1522">
        <v>50.61</v>
      </c>
      <c r="CX54" s="1522">
        <v>11.03</v>
      </c>
      <c r="CY54" s="1522">
        <f t="shared" si="5"/>
        <v>55.81</v>
      </c>
      <c r="CZ54" s="1522">
        <v>3.53</v>
      </c>
      <c r="DA54" s="1522">
        <v>28.26</v>
      </c>
      <c r="DB54" s="1522">
        <v>10.73</v>
      </c>
      <c r="DC54" s="1522">
        <v>35.32</v>
      </c>
      <c r="DD54" s="1522">
        <v>13.41</v>
      </c>
      <c r="DE54" s="1522">
        <v>47.09</v>
      </c>
      <c r="DF54" s="1522">
        <v>17.88</v>
      </c>
      <c r="DG54" s="1522"/>
      <c r="DH54" s="1522"/>
      <c r="DI54" s="1522">
        <v>15.08</v>
      </c>
      <c r="DJ54" s="1522">
        <v>1.93</v>
      </c>
      <c r="DK54" s="1522">
        <v>3.62</v>
      </c>
      <c r="DL54" s="1522">
        <v>0.36</v>
      </c>
      <c r="DM54" s="1522">
        <v>46.77</v>
      </c>
      <c r="DN54" s="1522">
        <v>5.56</v>
      </c>
      <c r="DO54" s="1522">
        <v>60.59</v>
      </c>
      <c r="DP54" s="1522">
        <v>7.06</v>
      </c>
      <c r="DQ54" s="1522">
        <v>73.41</v>
      </c>
      <c r="DR54" s="1522">
        <v>7.75</v>
      </c>
      <c r="DS54" s="1522">
        <v>89.02</v>
      </c>
      <c r="DT54" s="1522">
        <v>8.59</v>
      </c>
      <c r="DU54" s="1522">
        <v>16.329999999999998</v>
      </c>
      <c r="DV54" s="1522">
        <v>1.72</v>
      </c>
      <c r="DW54" s="1522">
        <v>19.05</v>
      </c>
      <c r="DX54" s="1522">
        <v>2</v>
      </c>
    </row>
    <row r="55" spans="1:128" ht="18.75" customHeight="1">
      <c r="A55" s="1497"/>
      <c r="B55" s="1498" t="s">
        <v>481</v>
      </c>
      <c r="C55" s="1508" t="s">
        <v>482</v>
      </c>
      <c r="D55" s="1509">
        <v>150000</v>
      </c>
      <c r="E55" s="1509"/>
      <c r="F55" s="1501"/>
      <c r="G55" s="1501"/>
      <c r="H55" s="1501"/>
      <c r="I55" s="1367"/>
      <c r="J55" s="1367"/>
      <c r="K55" s="1367"/>
      <c r="L55" s="1522">
        <v>64.5</v>
      </c>
      <c r="M55" s="1522">
        <v>1.57</v>
      </c>
      <c r="N55" s="1522">
        <v>0.16</v>
      </c>
      <c r="O55" s="1523">
        <v>3.73</v>
      </c>
      <c r="P55" s="1523">
        <v>0.46</v>
      </c>
      <c r="Q55" s="1523">
        <v>5.8</v>
      </c>
      <c r="R55" s="1523">
        <v>0.66</v>
      </c>
      <c r="S55" s="1523">
        <v>23.16</v>
      </c>
      <c r="T55" s="1523">
        <v>3.47</v>
      </c>
      <c r="U55" s="1523">
        <v>43.85</v>
      </c>
      <c r="V55" s="1523">
        <v>7.92</v>
      </c>
      <c r="W55" s="1523">
        <v>22.26</v>
      </c>
      <c r="X55" s="1523">
        <v>2.93</v>
      </c>
      <c r="Y55" s="1523">
        <v>8.6199999999999992</v>
      </c>
      <c r="Z55" s="1523">
        <v>1.7</v>
      </c>
      <c r="AA55" s="1523">
        <v>41.01</v>
      </c>
      <c r="AB55" s="1523">
        <v>3.34</v>
      </c>
      <c r="AC55" s="1523">
        <v>48.32</v>
      </c>
      <c r="AD55" s="1523">
        <v>5.04</v>
      </c>
      <c r="AE55" s="1523">
        <v>60.54</v>
      </c>
      <c r="AF55" s="1523">
        <v>4.66</v>
      </c>
      <c r="AG55" s="1523">
        <v>88.74</v>
      </c>
      <c r="AH55" s="1523">
        <v>19</v>
      </c>
      <c r="AI55" s="1522">
        <v>32.840000000000003</v>
      </c>
      <c r="AJ55" s="1522">
        <v>6.36</v>
      </c>
      <c r="AK55" s="1522">
        <v>9.4499999999999993</v>
      </c>
      <c r="AL55" s="1522">
        <v>1.01</v>
      </c>
      <c r="AM55" s="1523">
        <v>52.62</v>
      </c>
      <c r="AN55" s="1523">
        <v>9.5</v>
      </c>
      <c r="AO55" s="1523">
        <v>17.79</v>
      </c>
      <c r="AP55" s="1523">
        <v>1.91</v>
      </c>
      <c r="AQ55" s="1523">
        <v>61.45</v>
      </c>
      <c r="AR55" s="1523">
        <v>15.33</v>
      </c>
      <c r="AS55" s="1523">
        <v>19.39</v>
      </c>
      <c r="AT55" s="1523">
        <v>2.91</v>
      </c>
      <c r="AU55" s="1523">
        <v>76.23</v>
      </c>
      <c r="AV55" s="1523">
        <v>19.100000000000001</v>
      </c>
      <c r="AW55" s="1523">
        <v>7.93</v>
      </c>
      <c r="AX55" s="1523">
        <v>1.3</v>
      </c>
      <c r="AY55" s="1522">
        <f t="shared" si="7"/>
        <v>10.509999999999993</v>
      </c>
      <c r="AZ55" s="1522">
        <v>1.51</v>
      </c>
      <c r="BA55" s="1524">
        <v>12.87</v>
      </c>
      <c r="BB55" s="1524">
        <v>2.4700000000000002</v>
      </c>
      <c r="BC55" s="1523">
        <v>11.08</v>
      </c>
      <c r="BD55" s="1523">
        <v>1.25</v>
      </c>
      <c r="BE55" s="1523">
        <v>10.35</v>
      </c>
      <c r="BF55" s="1523">
        <v>0.54</v>
      </c>
      <c r="BG55" s="1523">
        <v>9.48</v>
      </c>
      <c r="BH55" s="1523">
        <v>0.77</v>
      </c>
      <c r="BI55" s="1523">
        <v>21.64</v>
      </c>
      <c r="BJ55" s="1523">
        <v>1.94</v>
      </c>
      <c r="BK55" s="1523">
        <v>29.9</v>
      </c>
      <c r="BL55" s="1523">
        <v>2.68</v>
      </c>
      <c r="BM55" s="1523">
        <v>44.45</v>
      </c>
      <c r="BN55" s="1523">
        <v>3.99</v>
      </c>
      <c r="BO55" s="1523">
        <v>65.11</v>
      </c>
      <c r="BP55" s="1523">
        <v>5.84</v>
      </c>
      <c r="BQ55" s="1523">
        <v>2.08</v>
      </c>
      <c r="BR55" s="1524">
        <v>0.49</v>
      </c>
      <c r="BS55" s="1523">
        <v>2.87</v>
      </c>
      <c r="BT55" s="1523">
        <v>0.68</v>
      </c>
      <c r="BU55" s="1523">
        <v>4.2699999999999996</v>
      </c>
      <c r="BV55" s="1523">
        <v>1</v>
      </c>
      <c r="BW55" s="1523">
        <v>6.26</v>
      </c>
      <c r="BX55" s="1523">
        <v>1.47</v>
      </c>
      <c r="BY55" s="1523">
        <v>730.81</v>
      </c>
      <c r="BZ55" s="1523">
        <v>16.77</v>
      </c>
      <c r="CA55" s="1523">
        <v>16.38</v>
      </c>
      <c r="CB55" s="1523">
        <v>2.56</v>
      </c>
      <c r="CC55" s="1523">
        <v>12.03</v>
      </c>
      <c r="CD55" s="1523">
        <v>2.1</v>
      </c>
      <c r="CE55" s="1523">
        <v>272.60000000000002</v>
      </c>
      <c r="CF55" s="1523">
        <v>34.07</v>
      </c>
      <c r="CG55" s="1522">
        <v>21.44</v>
      </c>
      <c r="CH55" s="1522">
        <v>1.52</v>
      </c>
      <c r="CI55" s="1522">
        <v>7.81</v>
      </c>
      <c r="CJ55" s="1522">
        <v>3.69</v>
      </c>
      <c r="CK55" s="1522">
        <v>9.24</v>
      </c>
      <c r="CL55" s="1522">
        <v>1.92</v>
      </c>
      <c r="CM55" s="1522">
        <v>27.62</v>
      </c>
      <c r="CN55" s="1522">
        <v>2.4500000000000002</v>
      </c>
      <c r="CO55" s="1522">
        <v>18.25</v>
      </c>
      <c r="CP55" s="1522">
        <v>2.34</v>
      </c>
      <c r="CQ55" s="1522">
        <v>11.3</v>
      </c>
      <c r="CR55" s="1522">
        <v>0.71</v>
      </c>
      <c r="CS55" s="1522">
        <v>46.41</v>
      </c>
      <c r="CT55" s="1522">
        <v>11.03</v>
      </c>
      <c r="CU55" s="1522">
        <v>56.49</v>
      </c>
      <c r="CV55" s="1522">
        <v>3.53</v>
      </c>
      <c r="CW55" s="1522">
        <v>51.05</v>
      </c>
      <c r="CX55" s="1522">
        <v>11.03</v>
      </c>
      <c r="CY55" s="1522">
        <f t="shared" si="5"/>
        <v>56.49</v>
      </c>
      <c r="CZ55" s="1522">
        <v>3.53</v>
      </c>
      <c r="DA55" s="1522">
        <v>28.4</v>
      </c>
      <c r="DB55" s="1522">
        <v>10.73</v>
      </c>
      <c r="DC55" s="1522">
        <v>35.5</v>
      </c>
      <c r="DD55" s="1522">
        <v>13.41</v>
      </c>
      <c r="DE55" s="1522">
        <v>47.33</v>
      </c>
      <c r="DF55" s="1522">
        <v>17.88</v>
      </c>
      <c r="DG55" s="1522"/>
      <c r="DH55" s="1522"/>
      <c r="DI55" s="1522">
        <v>15.25</v>
      </c>
      <c r="DJ55" s="1522">
        <v>1.93</v>
      </c>
      <c r="DK55" s="1522">
        <v>3.67</v>
      </c>
      <c r="DL55" s="1522">
        <v>0.36</v>
      </c>
      <c r="DM55" s="1522">
        <v>47.1</v>
      </c>
      <c r="DN55" s="1522">
        <v>5.56</v>
      </c>
      <c r="DO55" s="1522">
        <v>60.97</v>
      </c>
      <c r="DP55" s="1522">
        <v>7.06</v>
      </c>
      <c r="DQ55" s="1522">
        <v>73.88</v>
      </c>
      <c r="DR55" s="1522">
        <v>7.75</v>
      </c>
      <c r="DS55" s="1522">
        <v>89.59</v>
      </c>
      <c r="DT55" s="1522">
        <v>8.59</v>
      </c>
      <c r="DU55" s="1522">
        <v>16.52</v>
      </c>
      <c r="DV55" s="1522">
        <v>1.72</v>
      </c>
      <c r="DW55" s="1522">
        <v>19.27</v>
      </c>
      <c r="DX55" s="1522">
        <v>2</v>
      </c>
    </row>
    <row r="56" spans="1:128" ht="18.75" customHeight="1">
      <c r="A56" s="1497"/>
      <c r="B56" s="1498" t="s">
        <v>129</v>
      </c>
      <c r="C56" s="1508" t="s">
        <v>130</v>
      </c>
      <c r="D56" s="1500" t="str">
        <f>IF($D$2=40.5,CE31,IF($D$2=41.5,CE32,IF($D$2=42.5,CE33,IF($D$2=43.5,CE34,IF($D$2=44.5,CE35,IF($D$2=45.5,CE36,IF($D$2=46.5,CE37,)))))))&amp;
IF($D$2=47.5,CE38,IF($D$2=48.5,CE39,IF($D$2=49.5,CE40,IF($D$2=50.5,CE41,IF($D$2=51.5,CE42,IF($D$2=52.5,CE43,IF($D$2=53.5,CE44,)))))))&amp;
IF($D$2=54.5,CE45,IF($D$2=55.5,CE46,IF($D$2=56.5,CE47,IF($D$2=57.5,CE48,IF($D$2=15.5,CE6,IF($D$2=16.5,CE7,IF($D$2=17.5,CE8,)))))))&amp;
IF($D$2=18.5,CE9,IF($D$2=19.5,CE10,IF($D$2=20.5,CE11,IF($D$2=21.5,CE12,IF($D$2=22.5,CE13,IF($D$2=23.5,CE14,IF($D$2=24.5,CE15,)))))))&amp;IF($D$2=25.5,CE16,IF($D$2=26.5,CE17,IF($D$2=39.5,CE30,)))&amp;IF($D$2=31.5,CE22,IF($D$2=32.5,CE23,IF($D$2=33.5,CE24,IF($D$2=34.5,CE25,IF($D$2=35.5,CE26,IF($D$2=36.5,CE27,IF($D$2=37.5,CE28,IF($C$2=38.5,CE29,))))))))&amp;IF($D$2=27.5,CE18,IF($D$2=28.5,CE19,IF($D$2=29.5,CE20,IF($D$2=30.5,CE21,))))</f>
        <v>180.97</v>
      </c>
      <c r="E56" s="1500" t="str">
        <f>IF($D$2=40.5,CF31,IF($D$2=41.5,CF32,IF($D$2=42.5,CF33,IF($D$2=43.5,CF34,IF($D$2=44.5,CF35,IF($D$2=45.5,CF36,IF($D$2=46.5,CF37,)))))))&amp;
IF($D$2=47.5,CF38,IF($D$2=48.5,CF39,IF($D$2=49.5,CF40,IF($D$2=50.5,CF41,IF($D$2=51.5,CF42,IF($D$2=52.5,CF43,IF($D$2=53.5,CF44,)))))))&amp;
IF($D$2=54.5,CF45,IF($D$2=55.5,CF46,IF($D$2=56.5,CF47,IF($D$2=57.5,CF48,IF($D$2=15.5,CF6,IF($D$2=16.5,CF7,IF($D$2=17.5,CF8,)))))))&amp;
IF($D$2=18.5,CF9,IF($D$2=19.5,CF10,IF($D$2=20.5,CF11,IF($D$2=21.5,CF12,IF($D$2=22.5,CF13,IF($D$2=23.5,CF14,IF($D$2=24.5,CF15,)))))))&amp;IF($D$2=25.5,CF16,IF($D$2=26.5,CF17,IF($D$2=39.5,CF30,)))&amp;IF($D$2=31.5,CF22,IF($D$2=32.5,CF23,IF($D$2=33.5,CF24,IF($D$2=34.5,CF25,IF($D$2=35.5,CF26,IF($D$2=36.5,CF27,IF($D$2=37.5,CF28,IF($C$2=38.5,CF29,))))))))&amp;IF($D$2=27.5,CF18,IF($D$2=28.5,CF19,IF($D$2=29.5,CF20,IF($D$2=30.5,CF21,))))</f>
        <v>35.15</v>
      </c>
      <c r="F56" s="1501">
        <f t="shared" si="6"/>
        <v>43.9375</v>
      </c>
      <c r="G56" s="1501">
        <f t="shared" si="10"/>
        <v>216.12</v>
      </c>
      <c r="H56" s="1501">
        <f t="shared" si="11"/>
        <v>224.9075</v>
      </c>
      <c r="I56" s="1367"/>
      <c r="J56" s="1367"/>
      <c r="K56" s="1367"/>
      <c r="L56" s="1522">
        <v>65.5</v>
      </c>
      <c r="M56" s="1522">
        <v>1.58</v>
      </c>
      <c r="N56" s="1522">
        <v>0.16</v>
      </c>
      <c r="O56" s="1523">
        <v>3.77</v>
      </c>
      <c r="P56" s="1523">
        <v>0.46</v>
      </c>
      <c r="Q56" s="1523">
        <v>5.85</v>
      </c>
      <c r="R56" s="1523">
        <v>0.66</v>
      </c>
      <c r="S56" s="1523">
        <v>23.38</v>
      </c>
      <c r="T56" s="1523">
        <v>3.47</v>
      </c>
      <c r="U56" s="1523">
        <v>44.3</v>
      </c>
      <c r="V56" s="1523">
        <v>7.92</v>
      </c>
      <c r="W56" s="1523">
        <v>22.45</v>
      </c>
      <c r="X56" s="1523">
        <v>2.93</v>
      </c>
      <c r="Y56" s="1523">
        <v>8.6999999999999993</v>
      </c>
      <c r="Z56" s="1523">
        <v>1.7</v>
      </c>
      <c r="AA56" s="1523">
        <v>41.39</v>
      </c>
      <c r="AB56" s="1523">
        <v>3.34</v>
      </c>
      <c r="AC56" s="1523">
        <v>48.77</v>
      </c>
      <c r="AD56" s="1523">
        <v>5.04</v>
      </c>
      <c r="AE56" s="1523">
        <v>60.97</v>
      </c>
      <c r="AF56" s="1523">
        <v>4.66</v>
      </c>
      <c r="AG56" s="1523">
        <v>89.69</v>
      </c>
      <c r="AH56" s="1523">
        <v>19</v>
      </c>
      <c r="AI56" s="1522">
        <v>33.15</v>
      </c>
      <c r="AJ56" s="1522">
        <v>6.36</v>
      </c>
      <c r="AK56" s="1522">
        <v>9.5399999999999991</v>
      </c>
      <c r="AL56" s="1522">
        <v>1.01</v>
      </c>
      <c r="AM56" s="1523">
        <v>53.16</v>
      </c>
      <c r="AN56" s="1523">
        <v>9.5</v>
      </c>
      <c r="AO56" s="1523">
        <v>17.940000000000001</v>
      </c>
      <c r="AP56" s="1523">
        <v>1.91</v>
      </c>
      <c r="AQ56" s="1523">
        <v>62.07</v>
      </c>
      <c r="AR56" s="1523">
        <v>15.33</v>
      </c>
      <c r="AS56" s="1523">
        <v>19.53</v>
      </c>
      <c r="AT56" s="1523">
        <v>2.91</v>
      </c>
      <c r="AU56" s="1523">
        <v>77</v>
      </c>
      <c r="AV56" s="1523">
        <v>19.100000000000001</v>
      </c>
      <c r="AW56" s="1523">
        <v>8.01</v>
      </c>
      <c r="AX56" s="1523">
        <v>1.3</v>
      </c>
      <c r="AY56" s="1522">
        <f t="shared" si="7"/>
        <v>10.609999999999992</v>
      </c>
      <c r="AZ56" s="1522">
        <v>1.51</v>
      </c>
      <c r="BA56" s="1524">
        <v>13</v>
      </c>
      <c r="BB56" s="1524">
        <v>2.4700000000000002</v>
      </c>
      <c r="BC56" s="1523">
        <v>11.18</v>
      </c>
      <c r="BD56" s="1523">
        <v>1.25</v>
      </c>
      <c r="BE56" s="1523">
        <v>10.48</v>
      </c>
      <c r="BF56" s="1523">
        <v>0.54</v>
      </c>
      <c r="BG56" s="1523">
        <v>9.6</v>
      </c>
      <c r="BH56" s="1523">
        <v>0.77</v>
      </c>
      <c r="BI56" s="1523">
        <v>21.9</v>
      </c>
      <c r="BJ56" s="1523">
        <v>1.94</v>
      </c>
      <c r="BK56" s="1523">
        <v>30.26</v>
      </c>
      <c r="BL56" s="1523">
        <v>2.68</v>
      </c>
      <c r="BM56" s="1523">
        <v>44.99</v>
      </c>
      <c r="BN56" s="1523">
        <v>3.99</v>
      </c>
      <c r="BO56" s="1523">
        <v>65.89</v>
      </c>
      <c r="BP56" s="1523">
        <v>5.84</v>
      </c>
      <c r="BQ56" s="1523">
        <v>2.1</v>
      </c>
      <c r="BR56" s="1524">
        <v>0.49</v>
      </c>
      <c r="BS56" s="1523">
        <v>2.9</v>
      </c>
      <c r="BT56" s="1523">
        <v>0.68</v>
      </c>
      <c r="BU56" s="1523">
        <v>4.3099999999999996</v>
      </c>
      <c r="BV56" s="1523">
        <v>1</v>
      </c>
      <c r="BW56" s="1523">
        <v>6.31</v>
      </c>
      <c r="BX56" s="1523">
        <v>1.47</v>
      </c>
      <c r="BY56" s="1523">
        <v>741.6</v>
      </c>
      <c r="BZ56" s="1523">
        <v>16.77</v>
      </c>
      <c r="CA56" s="1523">
        <v>16.55</v>
      </c>
      <c r="CB56" s="1523">
        <v>2.56</v>
      </c>
      <c r="CC56" s="1523">
        <v>12.14</v>
      </c>
      <c r="CD56" s="1523">
        <v>2.1</v>
      </c>
      <c r="CE56" s="1523">
        <v>276.07</v>
      </c>
      <c r="CF56" s="1523">
        <v>34.07</v>
      </c>
      <c r="CG56" s="1522">
        <v>21.71</v>
      </c>
      <c r="CH56" s="1522">
        <v>1.52</v>
      </c>
      <c r="CI56" s="1522">
        <v>7.81</v>
      </c>
      <c r="CJ56" s="1522">
        <v>3.69</v>
      </c>
      <c r="CK56" s="1522">
        <v>9.2899999999999991</v>
      </c>
      <c r="CL56" s="1522">
        <v>1.92</v>
      </c>
      <c r="CM56" s="1522">
        <v>27.86</v>
      </c>
      <c r="CN56" s="1522">
        <v>2.4500000000000002</v>
      </c>
      <c r="CO56" s="1522">
        <v>18.47</v>
      </c>
      <c r="CP56" s="1522">
        <v>2.34</v>
      </c>
      <c r="CQ56" s="1522">
        <v>11.43</v>
      </c>
      <c r="CR56" s="1522">
        <v>0.71</v>
      </c>
      <c r="CS56" s="1522">
        <v>46.81</v>
      </c>
      <c r="CT56" s="1522">
        <v>11.03</v>
      </c>
      <c r="CU56" s="1522">
        <v>57.16</v>
      </c>
      <c r="CV56" s="1522">
        <v>3.53</v>
      </c>
      <c r="CW56" s="1522">
        <v>51.5</v>
      </c>
      <c r="CX56" s="1522">
        <v>11.03</v>
      </c>
      <c r="CY56" s="1522">
        <f t="shared" si="5"/>
        <v>57.16</v>
      </c>
      <c r="CZ56" s="1522">
        <v>3.53</v>
      </c>
      <c r="DA56" s="1522">
        <v>28.54</v>
      </c>
      <c r="DB56" s="1522">
        <v>10.73</v>
      </c>
      <c r="DC56" s="1522">
        <v>35.67</v>
      </c>
      <c r="DD56" s="1522">
        <v>13.41</v>
      </c>
      <c r="DE56" s="1522">
        <v>47.57</v>
      </c>
      <c r="DF56" s="1522">
        <v>17.88</v>
      </c>
      <c r="DG56" s="1522"/>
      <c r="DH56" s="1522"/>
      <c r="DI56" s="1522">
        <v>15.43</v>
      </c>
      <c r="DJ56" s="1522">
        <v>1.93</v>
      </c>
      <c r="DK56" s="1522">
        <v>3.71</v>
      </c>
      <c r="DL56" s="1522">
        <v>0.36</v>
      </c>
      <c r="DM56" s="1522">
        <v>47.42</v>
      </c>
      <c r="DN56" s="1522">
        <v>5.56</v>
      </c>
      <c r="DO56" s="1522">
        <v>61.36</v>
      </c>
      <c r="DP56" s="1522">
        <v>7.06</v>
      </c>
      <c r="DQ56" s="1522">
        <v>74.349999999999994</v>
      </c>
      <c r="DR56" s="1522">
        <v>7.75</v>
      </c>
      <c r="DS56" s="1522">
        <v>90.16</v>
      </c>
      <c r="DT56" s="1522">
        <v>8.59</v>
      </c>
      <c r="DU56" s="1522">
        <v>16.72</v>
      </c>
      <c r="DV56" s="1522">
        <v>1.72</v>
      </c>
      <c r="DW56" s="1522">
        <v>19.5</v>
      </c>
      <c r="DX56" s="1522">
        <v>2</v>
      </c>
    </row>
    <row r="57" spans="1:128" ht="18.75" customHeight="1">
      <c r="A57" s="1497"/>
      <c r="B57" s="1498" t="s">
        <v>131</v>
      </c>
      <c r="C57" s="1508" t="s">
        <v>132</v>
      </c>
      <c r="D57" s="1500" t="str">
        <f>IF($D$2=40.5,CG31,IF($D$2=41.5,CG32,IF($D$2=42.5,CG33,IF($D$2=43.5,CG34,IF($D$2=44.5,CG35,IF($D$2=45.5,CG36,IF($D$2=46.5,CG37,)))))))&amp;
IF($D$2=47.5,CG38,IF($D$2=48.5,CG39,IF($D$2=49.5,CG40,IF($D$2=50.5,CG41,IF($D$2=51.5,CG42,IF($D$2=52.5,CG43,IF($D$2=53.5,CG44,)))))))&amp;
IF($D$2=54.5,CG45,IF($D$2=55.5,CG46,IF($D$2=56.5,CG47,IF($D$2=57.5,CG48,IF($D$2=15.5,CG6,IF($D$2=16.5,CG7,IF($D$2=17.5,CG8,)))))))&amp;
IF($D$2=18.5,CG9,IF($D$2=19.5,CG10,IF($D$2=20.5,CG11,IF($D$2=21.5,CG12,IF($D$2=22.5,CG13,IF($D$2=23.5,CG14,IF($D$2=24.5,CG15,)))))))&amp;IF($D$2=25.5,CG16,IF($D$2=26.5,CG17,IF($D$2=39.5,CG30,)))&amp;IF($D$2=31.5,CG22,IF($D$2=32.5,CG23,IF($D$2=33.5,CG24,IF($D$2=34.5,CG25,IF($D$2=35.5,CG26,IF($D$2=36.5,CG27,IF($D$2=37.5,CG28,IF($C$2=38.5,CG29,))))))))&amp;IF($D$2=27.5,CG18,IF($D$2=28.5,CG19,IF($D$2=29.5,CG20,IF($D$2=30.5,CG21,))))</f>
        <v>14.54</v>
      </c>
      <c r="E57" s="1500" t="str">
        <f>IF($D$2=40.5,CH31,IF($D$2=41.5,CH32,IF($D$2=42.5,CH33,IF($D$2=43.5,CH34,IF($D$2=44.5,CH35,IF($D$2=45.5,CH36,IF($D$2=46.5,CH37,)))))))&amp;
IF($D$2=47.5,CH38,IF($D$2=48.5,CH39,IF($D$2=49.5,CH40,IF($D$2=50.5,CH41,IF($D$2=51.5,CH42,IF($D$2=52.5,CH43,IF($D$2=53.5,CH44,)))))))&amp;
IF($D$2=54.5,CH45,IF($D$2=55.5,CH46,IF($D$2=56.5,CH47,IF($D$2=57.5,CH48,IF($D$2=15.5,CH6,IF($D$2=16.5,CH7,IF($D$2=17.5,CH8,)))))))&amp;
IF($D$2=18.5,CH9,IF($D$2=19.5,CH10,IF($D$2=20.5,CH11,IF($D$2=21.5,CH12,IF($D$2=22.5,CH13,IF($D$2=23.5,CH14,IF($D$2=24.5,CH15,)))))))&amp;IF($D$2=25.5,CH16,IF($D$2=26.5,CH17,IF($D$2=39.5,CH30,)))&amp;IF($D$2=31.5,CH22,IF($D$2=32.5,CH23,IF($D$2=33.5,CH24,IF($D$2=34.5,CH25,IF($D$2=35.5,CH26,IF($D$2=36.5,CH27,IF($D$2=37.5,CH28,IF($C$2=38.5,CH29,))))))))&amp;IF($D$2=27.5,CH18,IF($D$2=28.5,CH19,IF($D$2=29.5,CH20,IF($D$2=30.5,CH21,))))</f>
        <v>1.74</v>
      </c>
      <c r="F57" s="1501">
        <f t="shared" si="6"/>
        <v>2.1749999999999998</v>
      </c>
      <c r="G57" s="1501">
        <f t="shared" si="10"/>
        <v>16.279999999999998</v>
      </c>
      <c r="H57" s="1501">
        <f t="shared" si="11"/>
        <v>16.715</v>
      </c>
      <c r="I57" s="1367"/>
      <c r="J57" s="1367"/>
      <c r="K57" s="1367"/>
      <c r="L57" s="1522">
        <v>66.5</v>
      </c>
      <c r="M57" s="1522">
        <v>1.59</v>
      </c>
      <c r="N57" s="1522">
        <v>0.16</v>
      </c>
      <c r="O57" s="1523">
        <v>3.8</v>
      </c>
      <c r="P57" s="1523">
        <v>0.46</v>
      </c>
      <c r="Q57" s="1523">
        <v>5.91</v>
      </c>
      <c r="R57" s="1523">
        <v>0.66</v>
      </c>
      <c r="S57" s="1523">
        <v>23.6</v>
      </c>
      <c r="T57" s="1523">
        <v>3.47</v>
      </c>
      <c r="U57" s="1523">
        <v>44.75</v>
      </c>
      <c r="V57" s="1523">
        <v>7.92</v>
      </c>
      <c r="W57" s="1523">
        <v>22.64</v>
      </c>
      <c r="X57" s="1523">
        <v>2.93</v>
      </c>
      <c r="Y57" s="1523">
        <v>8.7799999999999994</v>
      </c>
      <c r="Z57" s="1523">
        <v>1.7</v>
      </c>
      <c r="AA57" s="1523">
        <v>41.78</v>
      </c>
      <c r="AB57" s="1523">
        <v>3.34</v>
      </c>
      <c r="AC57" s="1523">
        <v>49.21</v>
      </c>
      <c r="AD57" s="1523">
        <v>5.04</v>
      </c>
      <c r="AE57" s="1523">
        <v>61.4</v>
      </c>
      <c r="AF57" s="1523">
        <v>4.66</v>
      </c>
      <c r="AG57" s="1523">
        <v>90.64</v>
      </c>
      <c r="AH57" s="1523">
        <v>19</v>
      </c>
      <c r="AI57" s="1522">
        <v>33.450000000000003</v>
      </c>
      <c r="AJ57" s="1522">
        <v>6.36</v>
      </c>
      <c r="AK57" s="1522">
        <v>9.6199999999999992</v>
      </c>
      <c r="AL57" s="1522">
        <v>1.01</v>
      </c>
      <c r="AM57" s="1523">
        <v>53.7</v>
      </c>
      <c r="AN57" s="1523">
        <v>9.5</v>
      </c>
      <c r="AO57" s="1523">
        <v>18.100000000000001</v>
      </c>
      <c r="AP57" s="1523">
        <v>1.91</v>
      </c>
      <c r="AQ57" s="1523">
        <v>62.69</v>
      </c>
      <c r="AR57" s="1523">
        <v>15.33</v>
      </c>
      <c r="AS57" s="1523">
        <v>19.670000000000002</v>
      </c>
      <c r="AT57" s="1523">
        <v>2.91</v>
      </c>
      <c r="AU57" s="1523">
        <v>77.78</v>
      </c>
      <c r="AV57" s="1523">
        <v>19.100000000000001</v>
      </c>
      <c r="AW57" s="1523">
        <v>8.09</v>
      </c>
      <c r="AX57" s="1523">
        <v>1.3</v>
      </c>
      <c r="AY57" s="1522">
        <f t="shared" si="7"/>
        <v>10.709999999999992</v>
      </c>
      <c r="AZ57" s="1522">
        <v>1.51</v>
      </c>
      <c r="BA57" s="1524">
        <v>13.12</v>
      </c>
      <c r="BB57" s="1524">
        <v>2.4700000000000002</v>
      </c>
      <c r="BC57" s="1523">
        <v>11.27</v>
      </c>
      <c r="BD57" s="1523">
        <v>1.25</v>
      </c>
      <c r="BE57" s="1523">
        <v>10.61</v>
      </c>
      <c r="BF57" s="1523">
        <v>0.54</v>
      </c>
      <c r="BG57" s="1523">
        <v>9.7200000000000006</v>
      </c>
      <c r="BH57" s="1523">
        <v>0.77</v>
      </c>
      <c r="BI57" s="1523">
        <v>22.16</v>
      </c>
      <c r="BJ57" s="1523">
        <v>1.94</v>
      </c>
      <c r="BK57" s="1523">
        <v>30.62</v>
      </c>
      <c r="BL57" s="1523">
        <v>2.68</v>
      </c>
      <c r="BM57" s="1523">
        <v>45.52</v>
      </c>
      <c r="BN57" s="1523">
        <v>3.99</v>
      </c>
      <c r="BO57" s="1523">
        <v>66.67</v>
      </c>
      <c r="BP57" s="1523">
        <v>5.84</v>
      </c>
      <c r="BQ57" s="1523">
        <v>2.12</v>
      </c>
      <c r="BR57" s="1524">
        <v>0.49</v>
      </c>
      <c r="BS57" s="1523">
        <v>2.92</v>
      </c>
      <c r="BT57" s="1523">
        <v>0.68</v>
      </c>
      <c r="BU57" s="1523">
        <v>4.3499999999999996</v>
      </c>
      <c r="BV57" s="1523">
        <v>1</v>
      </c>
      <c r="BW57" s="1523">
        <v>6.37</v>
      </c>
      <c r="BX57" s="1523">
        <v>1.47</v>
      </c>
      <c r="BY57" s="1523">
        <v>752.38</v>
      </c>
      <c r="BZ57" s="1523">
        <v>16.77</v>
      </c>
      <c r="CA57" s="1523">
        <v>16.71</v>
      </c>
      <c r="CB57" s="1523">
        <v>2.56</v>
      </c>
      <c r="CC57" s="1523">
        <v>12.25</v>
      </c>
      <c r="CD57" s="1523">
        <v>2.1</v>
      </c>
      <c r="CE57" s="1523">
        <v>279.52999999999997</v>
      </c>
      <c r="CF57" s="1523">
        <v>34.07</v>
      </c>
      <c r="CG57" s="1522">
        <v>21.99</v>
      </c>
      <c r="CH57" s="1522">
        <v>1.52</v>
      </c>
      <c r="CI57" s="1522">
        <v>7.81</v>
      </c>
      <c r="CJ57" s="1522">
        <v>3.69</v>
      </c>
      <c r="CK57" s="1522">
        <v>9.34</v>
      </c>
      <c r="CL57" s="1522">
        <v>1.92</v>
      </c>
      <c r="CM57" s="1522">
        <v>28.11</v>
      </c>
      <c r="CN57" s="1522">
        <v>2.4500000000000002</v>
      </c>
      <c r="CO57" s="1522">
        <v>18.690000000000001</v>
      </c>
      <c r="CP57" s="1522">
        <v>2.34</v>
      </c>
      <c r="CQ57" s="1522">
        <v>11.57</v>
      </c>
      <c r="CR57" s="1522">
        <v>0.71</v>
      </c>
      <c r="CS57" s="1522">
        <v>47.22</v>
      </c>
      <c r="CT57" s="1522">
        <v>11.03</v>
      </c>
      <c r="CU57" s="1522">
        <v>57.84</v>
      </c>
      <c r="CV57" s="1522">
        <v>3.53</v>
      </c>
      <c r="CW57" s="1522">
        <v>51.94</v>
      </c>
      <c r="CX57" s="1522">
        <v>11.03</v>
      </c>
      <c r="CY57" s="1522">
        <f t="shared" si="5"/>
        <v>57.84</v>
      </c>
      <c r="CZ57" s="1522">
        <v>3.53</v>
      </c>
      <c r="DA57" s="1522">
        <v>28.68</v>
      </c>
      <c r="DB57" s="1522">
        <v>10.73</v>
      </c>
      <c r="DC57" s="1522">
        <v>35.85</v>
      </c>
      <c r="DD57" s="1522">
        <v>13.41</v>
      </c>
      <c r="DE57" s="1522">
        <v>47.8</v>
      </c>
      <c r="DF57" s="1522">
        <v>17.88</v>
      </c>
      <c r="DG57" s="1522"/>
      <c r="DH57" s="1522"/>
      <c r="DI57" s="1522">
        <v>15.6</v>
      </c>
      <c r="DJ57" s="1522">
        <v>1.93</v>
      </c>
      <c r="DK57" s="1522">
        <v>3.76</v>
      </c>
      <c r="DL57" s="1522">
        <v>0.36</v>
      </c>
      <c r="DM57" s="1522">
        <v>47.74</v>
      </c>
      <c r="DN57" s="1522">
        <v>5.56</v>
      </c>
      <c r="DO57" s="1522">
        <v>61.74</v>
      </c>
      <c r="DP57" s="1522">
        <v>7.06</v>
      </c>
      <c r="DQ57" s="1522">
        <v>74.81</v>
      </c>
      <c r="DR57" s="1522">
        <v>7.75</v>
      </c>
      <c r="DS57" s="1522">
        <v>90.73</v>
      </c>
      <c r="DT57" s="1522">
        <v>8.59</v>
      </c>
      <c r="DU57" s="1522">
        <v>16.91</v>
      </c>
      <c r="DV57" s="1522">
        <v>1.72</v>
      </c>
      <c r="DW57" s="1522">
        <v>19.73</v>
      </c>
      <c r="DX57" s="1522">
        <v>2</v>
      </c>
    </row>
    <row r="58" spans="1:128" ht="18.75" customHeight="1">
      <c r="A58" s="1497"/>
      <c r="B58" s="1498" t="s">
        <v>133</v>
      </c>
      <c r="C58" s="1508" t="s">
        <v>882</v>
      </c>
      <c r="D58" s="1500" t="str">
        <f>IF($D$2=40.5,CI31,IF($D$2=41.5,CI32,IF($D$2=42.5,CI33,IF($D$2=43.5,CI34,IF($D$2=44.5,CI35,IF($D$2=45.5,CI36,IF($D$2=46.5,CI37,)))))))&amp;
IF($D$2=47.5,CI38,IF($D$2=48.5,CI39,IF($D$2=49.5,CI40,IF($D$2=50.5,CI41,IF($D$2=51.5,CI42,IF($D$2=52.5,CI43,IF($D$2=53.5,CI44,)))))))&amp;
IF($D$2=54.5,CI45,IF($D$2=55.5,CI46,IF($D$2=56.5,CI47,IF($D$2=57.5,CI48,IF($D$2=15.5,CI6,IF($D$2=16.5,CI7,IF($D$2=17.5,CI8,)))))))&amp;
IF($D$2=18.5,CI9,IF($D$2=19.5,CI10,IF($D$2=20.5,CI11,IF($D$2=21.5,CI12,IF($D$2=22.5,CI13,IF($D$2=23.5,CI14,IF($D$2=24.5,CI15,)))))))&amp;IF($D$2=25.5,CI16,IF($D$2=26.5,CI17,IF($D$2=39.5,CI30,)))&amp;IF($D$2=31.5,CI22,IF($D$2=32.5,CI23,IF($D$2=33.5,CI24,IF($D$2=34.5,CI25,IF($D$2=35.5,CI26,IF($D$2=36.5,CI27,IF($D$2=37.5,CI28,IF($C$2=38.5,CI29,))))))))&amp;IF($D$2=27.5,CI18,IF($D$2=28.5,CI19,IF($D$2=29.5,CI20,IF($D$2=30.5,CI21,))))</f>
        <v>15.26</v>
      </c>
      <c r="E58" s="1500" t="str">
        <f>IF($D$2=40.5,CJ31,IF($D$2=41.5,CJ32,IF($D$2=42.5,CJ33,IF($D$2=43.5,CJ34,IF($D$2=44.5,CJ35,IF($D$2=45.5,CJ36,IF($D$2=46.5,CJ37,)))))))&amp;
IF($D$2=47.5,CJ38,IF($D$2=48.5,CJ39,IF($D$2=49.5,CJ40,IF($D$2=50.5,CJ41,IF($D$2=51.5,CJ42,IF($D$2=52.5,CJ43,IF($D$2=53.5,CJ44,)))))))&amp;
IF($D$2=54.5,CJ45,IF($D$2=55.5,CJ46,IF($D$2=56.5,CJ47,IF($D$2=57.5,CJ48,IF($D$2=15.5,CJ6,IF($D$2=16.5,CJ7,IF($D$2=17.5,CJ8,)))))))&amp;
IF($D$2=18.5,CJ9,IF($D$2=19.5,CJ10,IF($D$2=20.5,CJ11,IF($D$2=21.5,CJ12,IF($D$2=22.5,CJ13,IF($D$2=23.5,CJ14,IF($D$2=24.5,CJ15,)))))))&amp;IF($D$2=25.5,CJ16,IF($D$2=26.5,CJ17,IF($D$2=39.5,CJ30,)))&amp;IF($D$2=31.5,CJ22,IF($D$2=32.5,CJ23,IF($D$2=33.5,CJ24,IF($D$2=34.5,CJ25,IF($D$2=35.5,CJ26,IF($D$2=36.5,CJ27,IF($D$2=37.5,CJ28,IF($C$2=38.5,CJ29,))))))))&amp;IF($D$2=27.5,CJ18,IF($D$2=28.5,CJ19,IF($D$2=29.5,CJ20,IF($D$2=30.5,CJ21,))))</f>
        <v>5.34</v>
      </c>
      <c r="F58" s="1501">
        <f t="shared" si="6"/>
        <v>6.6749999999999998</v>
      </c>
      <c r="G58" s="1501">
        <f t="shared" si="10"/>
        <v>20.6</v>
      </c>
      <c r="H58" s="1501">
        <f t="shared" si="11"/>
        <v>21.934999999999999</v>
      </c>
      <c r="I58" s="1367"/>
      <c r="J58" s="1367"/>
      <c r="K58" s="1367"/>
      <c r="L58" s="1522">
        <v>67.5</v>
      </c>
      <c r="M58" s="1522">
        <v>1.61</v>
      </c>
      <c r="N58" s="1522">
        <v>0.16</v>
      </c>
      <c r="O58" s="1523">
        <v>3.83</v>
      </c>
      <c r="P58" s="1523">
        <v>0.46</v>
      </c>
      <c r="Q58" s="1523">
        <v>5.96</v>
      </c>
      <c r="R58" s="1523">
        <v>0.66</v>
      </c>
      <c r="S58" s="1523">
        <v>23.81</v>
      </c>
      <c r="T58" s="1523">
        <v>3.47</v>
      </c>
      <c r="U58" s="1523">
        <v>45.2</v>
      </c>
      <c r="V58" s="1523">
        <v>7.92</v>
      </c>
      <c r="W58" s="1523">
        <v>22.83</v>
      </c>
      <c r="X58" s="1523">
        <v>2.93</v>
      </c>
      <c r="Y58" s="1523">
        <v>8.86</v>
      </c>
      <c r="Z58" s="1523">
        <v>1.7</v>
      </c>
      <c r="AA58" s="1523">
        <v>42.17</v>
      </c>
      <c r="AB58" s="1523">
        <v>3.34</v>
      </c>
      <c r="AC58" s="1523">
        <v>49.66</v>
      </c>
      <c r="AD58" s="1523">
        <v>5.04</v>
      </c>
      <c r="AE58" s="1523">
        <v>61.84</v>
      </c>
      <c r="AF58" s="1523">
        <v>4.66</v>
      </c>
      <c r="AG58" s="1523">
        <v>91.58</v>
      </c>
      <c r="AH58" s="1523">
        <v>19</v>
      </c>
      <c r="AI58" s="1522">
        <v>33.75</v>
      </c>
      <c r="AJ58" s="1522">
        <v>6.36</v>
      </c>
      <c r="AK58" s="1522">
        <v>9.6999999999999993</v>
      </c>
      <c r="AL58" s="1522">
        <v>1.01</v>
      </c>
      <c r="AM58" s="1523">
        <v>54.24</v>
      </c>
      <c r="AN58" s="1523">
        <v>9.5</v>
      </c>
      <c r="AO58" s="1523">
        <v>18.260000000000002</v>
      </c>
      <c r="AP58" s="1523">
        <v>1.91</v>
      </c>
      <c r="AQ58" s="1523">
        <v>63.32</v>
      </c>
      <c r="AR58" s="1523">
        <v>15.33</v>
      </c>
      <c r="AS58" s="1523">
        <v>19.82</v>
      </c>
      <c r="AT58" s="1523">
        <v>2.91</v>
      </c>
      <c r="AU58" s="1523">
        <v>78.56</v>
      </c>
      <c r="AV58" s="1523">
        <v>19.100000000000001</v>
      </c>
      <c r="AW58" s="1523">
        <v>8.16</v>
      </c>
      <c r="AX58" s="1523">
        <v>1.3</v>
      </c>
      <c r="AY58" s="1522">
        <f t="shared" si="7"/>
        <v>10.809999999999992</v>
      </c>
      <c r="AZ58" s="1522">
        <v>1.51</v>
      </c>
      <c r="BA58" s="1524">
        <v>13.25</v>
      </c>
      <c r="BB58" s="1524">
        <v>2.4700000000000002</v>
      </c>
      <c r="BC58" s="1523">
        <v>11.37</v>
      </c>
      <c r="BD58" s="1523">
        <v>1.25</v>
      </c>
      <c r="BE58" s="1523">
        <v>10.74</v>
      </c>
      <c r="BF58" s="1523">
        <v>0.54</v>
      </c>
      <c r="BG58" s="1523">
        <v>9.84</v>
      </c>
      <c r="BH58" s="1523">
        <v>0.77</v>
      </c>
      <c r="BI58" s="1523">
        <v>22.42</v>
      </c>
      <c r="BJ58" s="1523">
        <v>1.94</v>
      </c>
      <c r="BK58" s="1523">
        <v>30.98</v>
      </c>
      <c r="BL58" s="1523">
        <v>2.68</v>
      </c>
      <c r="BM58" s="1523">
        <v>46.06</v>
      </c>
      <c r="BN58" s="1523">
        <v>3.99</v>
      </c>
      <c r="BO58" s="1523">
        <v>67.45</v>
      </c>
      <c r="BP58" s="1523">
        <v>5.84</v>
      </c>
      <c r="BQ58" s="1523">
        <v>2.13</v>
      </c>
      <c r="BR58" s="1524">
        <v>0.49</v>
      </c>
      <c r="BS58" s="1523">
        <v>2.95</v>
      </c>
      <c r="BT58" s="1523">
        <v>0.68</v>
      </c>
      <c r="BU58" s="1523">
        <v>4.38</v>
      </c>
      <c r="BV58" s="1523">
        <v>1</v>
      </c>
      <c r="BW58" s="1523">
        <v>6.42</v>
      </c>
      <c r="BX58" s="1523">
        <v>1.47</v>
      </c>
      <c r="BY58" s="1523">
        <v>763.16</v>
      </c>
      <c r="BZ58" s="1523">
        <v>16.77</v>
      </c>
      <c r="CA58" s="1523">
        <v>16.88</v>
      </c>
      <c r="CB58" s="1523">
        <v>2.56</v>
      </c>
      <c r="CC58" s="1523">
        <v>12.36</v>
      </c>
      <c r="CD58" s="1523">
        <v>2.1</v>
      </c>
      <c r="CE58" s="1523">
        <v>283</v>
      </c>
      <c r="CF58" s="1523">
        <v>34.07</v>
      </c>
      <c r="CG58" s="1522">
        <v>22.27</v>
      </c>
      <c r="CH58" s="1522">
        <v>1.52</v>
      </c>
      <c r="CI58" s="1522">
        <v>7.81</v>
      </c>
      <c r="CJ58" s="1522">
        <v>3.69</v>
      </c>
      <c r="CK58" s="1522">
        <v>9.39</v>
      </c>
      <c r="CL58" s="1522">
        <v>1.92</v>
      </c>
      <c r="CM58" s="1522">
        <v>28.35</v>
      </c>
      <c r="CN58" s="1522">
        <v>2.4500000000000002</v>
      </c>
      <c r="CO58" s="1522">
        <v>18.920000000000002</v>
      </c>
      <c r="CP58" s="1522">
        <v>2.34</v>
      </c>
      <c r="CQ58" s="1522">
        <v>11.7</v>
      </c>
      <c r="CR58" s="1522">
        <v>0.71</v>
      </c>
      <c r="CS58" s="1522">
        <v>47.62</v>
      </c>
      <c r="CT58" s="1522">
        <v>11.03</v>
      </c>
      <c r="CU58" s="1522">
        <v>58.52</v>
      </c>
      <c r="CV58" s="1522">
        <v>3.53</v>
      </c>
      <c r="CW58" s="1522">
        <v>52.38</v>
      </c>
      <c r="CX58" s="1522">
        <v>11.03</v>
      </c>
      <c r="CY58" s="1522">
        <f t="shared" si="5"/>
        <v>58.52</v>
      </c>
      <c r="CZ58" s="1522">
        <v>3.53</v>
      </c>
      <c r="DA58" s="1522">
        <v>28.82</v>
      </c>
      <c r="DB58" s="1522">
        <v>10.73</v>
      </c>
      <c r="DC58" s="1522">
        <v>36.03</v>
      </c>
      <c r="DD58" s="1522">
        <v>13.41</v>
      </c>
      <c r="DE58" s="1522">
        <v>48.04</v>
      </c>
      <c r="DF58" s="1522">
        <v>17.88</v>
      </c>
      <c r="DG58" s="1522"/>
      <c r="DH58" s="1522"/>
      <c r="DI58" s="1522">
        <v>15.77</v>
      </c>
      <c r="DJ58" s="1522">
        <v>1.93</v>
      </c>
      <c r="DK58" s="1522">
        <v>3.8</v>
      </c>
      <c r="DL58" s="1522">
        <v>0.36</v>
      </c>
      <c r="DM58" s="1522">
        <v>48.07</v>
      </c>
      <c r="DN58" s="1522">
        <v>5.56</v>
      </c>
      <c r="DO58" s="1522">
        <v>62.12</v>
      </c>
      <c r="DP58" s="1522">
        <v>7.06</v>
      </c>
      <c r="DQ58" s="1522">
        <v>75.28</v>
      </c>
      <c r="DR58" s="1522">
        <v>7.75</v>
      </c>
      <c r="DS58" s="1522">
        <v>91.29</v>
      </c>
      <c r="DT58" s="1522">
        <v>8.59</v>
      </c>
      <c r="DU58" s="1522">
        <v>17.100000000000001</v>
      </c>
      <c r="DV58" s="1522">
        <v>1.72</v>
      </c>
      <c r="DW58" s="1522">
        <v>19.95</v>
      </c>
      <c r="DX58" s="1522">
        <v>2</v>
      </c>
    </row>
    <row r="59" spans="1:128" ht="18.75" customHeight="1">
      <c r="A59" s="1497"/>
      <c r="B59" s="1498" t="s">
        <v>1722</v>
      </c>
      <c r="C59" s="1508" t="s">
        <v>1026</v>
      </c>
      <c r="D59" s="1500" t="str">
        <f>IF($D$2=40.5,CK31,IF($D$2=41.5,CK32,IF($D$2=42.5,CK33,IF($D$2=43.5,CK34,IF($D$2=44.5,CK35,IF($D$2=45.5,CK36,IF($D$2=46.5,CK37,)))))))&amp;
IF($D$2=47.5,CK38,IF($D$2=48.5,CK39,IF($D$2=49.5,CK40,IF($D$2=50.5,CK41,IF($D$2=51.5,CK42,IF($D$2=52.5,CK43,IF($D$2=53.5,CK44,)))))))&amp;
IF($D$2=54.5,CK45,IF($D$2=55.5,CK46,IF($D$2=56.5,CK47,IF($D$2=57.5,CK48,IF($D$2=15.5,CK6,IF($D$2=16.5,CK7,IF($D$2=17.5,CK8,)))))))&amp;
IF($D$2=18.5,CK9,IF($D$2=19.5,CK10,IF($D$2=20.5,CK11,IF($D$2=21.5,CK12,IF($D$2=22.5,CK13,IF($D$2=23.5,CK14,IF($D$2=24.5,CK15,)))))))&amp;IF($D$2=25.5,CK16,IF($D$2=26.5,CK17,IF($D$2=39.5,CK30,)))&amp;IF($D$2=31.5,CK22,IF($D$2=32.5,CK23,IF($D$2=33.5,CK24,IF($D$2=34.5,CK25,IF($D$2=35.5,CK26,IF($D$2=36.5,CK27,IF($D$2=37.5,CK28,IF($C$2=38.5,CK29,))))))))&amp;IF($D$2=27.5,CK18,IF($D$2=28.5,CK19,IF($D$2=29.5,CK20,IF($D$2=30.5,CK21,))))</f>
        <v>10.49</v>
      </c>
      <c r="E59" s="1500" t="str">
        <f>IF($D$2=40.5,CL31,IF($D$2=41.5,CL32,IF($D$2=42.5,CL33,IF($D$2=43.5,CL34,IF($D$2=44.5,CL35,IF($D$2=45.5,CL36,IF($D$2=46.5,CL37,)))))))&amp;
IF($D$2=47.5,CL38,IF($D$2=48.5,CL39,IF($D$2=49.5,CL40,IF($D$2=50.5,CL41,IF($D$2=51.5,CL42,IF($D$2=52.5,CL43,IF($D$2=53.5,CL44,)))))))&amp;
IF($D$2=54.5,CL45,IF($D$2=55.5,CL46,IF($D$2=56.5,CL47,IF($D$2=57.5,CL48,IF($D$2=15.5,CL6,IF($D$2=16.5,CL7,IF($D$2=17.5,CL8,)))))))&amp;
IF($D$2=18.5,CL9,IF($D$2=19.5,CL10,IF($D$2=20.5,CL11,IF($D$2=21.5,CL12,IF($D$2=22.5,CL13,IF($D$2=23.5,CL14,IF($D$2=24.5,CL15,)))))))&amp;IF($D$2=25.5,CL16,IF($D$2=26.5,CL17,IF($D$2=39.5,CL30,)))&amp;IF($D$2=31.5,CL22,IF($D$2=32.5,CL23,IF($D$2=33.5,CL24,IF($D$2=34.5,CL25,IF($D$2=35.5,CL26,IF($D$2=36.5,CL27,IF($D$2=37.5,CL28,IF($C$2=38.5,CL29,))))))))&amp;IF($D$2=27.5,CL18,IF($D$2=28.5,CL19,IF($D$2=29.5,CL20,IF($D$2=30.5,CL21,))))</f>
        <v>1.92</v>
      </c>
      <c r="F59" s="1501">
        <f t="shared" si="6"/>
        <v>2.4</v>
      </c>
      <c r="G59" s="1501">
        <f t="shared" si="10"/>
        <v>12.41</v>
      </c>
      <c r="H59" s="1501">
        <f t="shared" si="11"/>
        <v>12.89</v>
      </c>
      <c r="I59" s="1367"/>
      <c r="J59" s="1367"/>
      <c r="K59" s="1367"/>
      <c r="L59" s="1522">
        <v>68.5</v>
      </c>
      <c r="M59" s="1522">
        <v>1.62</v>
      </c>
      <c r="N59" s="1522">
        <v>0.16</v>
      </c>
      <c r="O59" s="1523">
        <v>3.86</v>
      </c>
      <c r="P59" s="1523">
        <v>0.46</v>
      </c>
      <c r="Q59" s="1523">
        <v>6.01</v>
      </c>
      <c r="R59" s="1523">
        <v>0.66</v>
      </c>
      <c r="S59" s="1523">
        <v>24.03</v>
      </c>
      <c r="T59" s="1523">
        <v>3.47</v>
      </c>
      <c r="U59" s="1523">
        <v>45.65</v>
      </c>
      <c r="V59" s="1523">
        <v>7.92</v>
      </c>
      <c r="W59" s="1523">
        <v>23.02</v>
      </c>
      <c r="X59" s="1523">
        <v>2.93</v>
      </c>
      <c r="Y59" s="1523">
        <v>8.94</v>
      </c>
      <c r="Z59" s="1523">
        <v>1.7</v>
      </c>
      <c r="AA59" s="1523">
        <v>42.55</v>
      </c>
      <c r="AB59" s="1523">
        <v>3.34</v>
      </c>
      <c r="AC59" s="1523">
        <v>50.11</v>
      </c>
      <c r="AD59" s="1523">
        <v>5.04</v>
      </c>
      <c r="AE59" s="1523">
        <v>62.27</v>
      </c>
      <c r="AF59" s="1523">
        <v>4.66</v>
      </c>
      <c r="AG59" s="1523">
        <v>92.53</v>
      </c>
      <c r="AH59" s="1523">
        <v>19</v>
      </c>
      <c r="AI59" s="1522">
        <v>34.06</v>
      </c>
      <c r="AJ59" s="1522">
        <v>6.36</v>
      </c>
      <c r="AK59" s="1522">
        <v>9.7799999999999994</v>
      </c>
      <c r="AL59" s="1522">
        <v>1.01</v>
      </c>
      <c r="AM59" s="1523">
        <v>54.78</v>
      </c>
      <c r="AN59" s="1523">
        <v>9.5</v>
      </c>
      <c r="AO59" s="1523">
        <v>18.41</v>
      </c>
      <c r="AP59" s="1523">
        <v>1.91</v>
      </c>
      <c r="AQ59" s="1523">
        <v>63.94</v>
      </c>
      <c r="AR59" s="1523">
        <v>15.33</v>
      </c>
      <c r="AS59" s="1523">
        <v>19.96</v>
      </c>
      <c r="AT59" s="1523">
        <v>2.91</v>
      </c>
      <c r="AU59" s="1523">
        <v>79.34</v>
      </c>
      <c r="AV59" s="1523">
        <v>19.100000000000001</v>
      </c>
      <c r="AW59" s="1523">
        <v>8.24</v>
      </c>
      <c r="AX59" s="1523">
        <v>1.3</v>
      </c>
      <c r="AY59" s="1522">
        <f t="shared" si="7"/>
        <v>10.909999999999991</v>
      </c>
      <c r="AZ59" s="1522">
        <v>1.51</v>
      </c>
      <c r="BA59" s="1524">
        <v>13.37</v>
      </c>
      <c r="BB59" s="1524">
        <v>2.4700000000000002</v>
      </c>
      <c r="BC59" s="1523">
        <v>11.47</v>
      </c>
      <c r="BD59" s="1523">
        <v>1.25</v>
      </c>
      <c r="BE59" s="1523">
        <v>10.87</v>
      </c>
      <c r="BF59" s="1523">
        <v>0.54</v>
      </c>
      <c r="BG59" s="1523">
        <v>9.9600000000000009</v>
      </c>
      <c r="BH59" s="1523">
        <v>0.77</v>
      </c>
      <c r="BI59" s="1523">
        <v>22.68</v>
      </c>
      <c r="BJ59" s="1523">
        <v>1.94</v>
      </c>
      <c r="BK59" s="1523">
        <v>31.34</v>
      </c>
      <c r="BL59" s="1523">
        <v>2.68</v>
      </c>
      <c r="BM59" s="1523">
        <v>46.59</v>
      </c>
      <c r="BN59" s="1523">
        <v>3.99</v>
      </c>
      <c r="BO59" s="1523">
        <v>68.239999999999995</v>
      </c>
      <c r="BP59" s="1523">
        <v>5.84</v>
      </c>
      <c r="BQ59" s="1523">
        <v>2.15</v>
      </c>
      <c r="BR59" s="1524">
        <v>0.49</v>
      </c>
      <c r="BS59" s="1523">
        <v>2.97</v>
      </c>
      <c r="BT59" s="1523">
        <v>0.68</v>
      </c>
      <c r="BU59" s="1523">
        <v>4.42</v>
      </c>
      <c r="BV59" s="1523">
        <v>1</v>
      </c>
      <c r="BW59" s="1523">
        <v>6.47</v>
      </c>
      <c r="BX59" s="1523">
        <v>1.47</v>
      </c>
      <c r="BY59" s="1523">
        <v>773.95</v>
      </c>
      <c r="BZ59" s="1523">
        <v>16.77</v>
      </c>
      <c r="CA59" s="1523">
        <v>17.04</v>
      </c>
      <c r="CB59" s="1523">
        <v>2.56</v>
      </c>
      <c r="CC59" s="1523">
        <v>12.47</v>
      </c>
      <c r="CD59" s="1523">
        <v>2.1</v>
      </c>
      <c r="CE59" s="1523">
        <v>286.45999999999998</v>
      </c>
      <c r="CF59" s="1523">
        <v>34.07</v>
      </c>
      <c r="CG59" s="1522">
        <v>22.54</v>
      </c>
      <c r="CH59" s="1522">
        <v>1.52</v>
      </c>
      <c r="CI59" s="1522">
        <v>7.81</v>
      </c>
      <c r="CJ59" s="1522">
        <v>3.69</v>
      </c>
      <c r="CK59" s="1522">
        <v>9.43</v>
      </c>
      <c r="CL59" s="1522">
        <v>1.92</v>
      </c>
      <c r="CM59" s="1522">
        <v>28.59</v>
      </c>
      <c r="CN59" s="1522">
        <v>2.4500000000000002</v>
      </c>
      <c r="CO59" s="1522">
        <v>19.14</v>
      </c>
      <c r="CP59" s="1522">
        <v>2.34</v>
      </c>
      <c r="CQ59" s="1522">
        <v>11.84</v>
      </c>
      <c r="CR59" s="1522">
        <v>0.71</v>
      </c>
      <c r="CS59" s="1522">
        <v>48.02</v>
      </c>
      <c r="CT59" s="1522">
        <v>11.03</v>
      </c>
      <c r="CU59" s="1522">
        <v>59.19</v>
      </c>
      <c r="CV59" s="1522">
        <v>3.53</v>
      </c>
      <c r="CW59" s="1522">
        <v>52.82</v>
      </c>
      <c r="CX59" s="1522">
        <v>11.03</v>
      </c>
      <c r="CY59" s="1522">
        <f t="shared" si="5"/>
        <v>59.19</v>
      </c>
      <c r="CZ59" s="1522">
        <v>3.53</v>
      </c>
      <c r="DA59" s="1522">
        <v>28.97</v>
      </c>
      <c r="DB59" s="1522">
        <v>10.73</v>
      </c>
      <c r="DC59" s="1522">
        <v>36.21</v>
      </c>
      <c r="DD59" s="1522">
        <v>13.41</v>
      </c>
      <c r="DE59" s="1522">
        <v>48.28</v>
      </c>
      <c r="DF59" s="1522">
        <v>17.88</v>
      </c>
      <c r="DG59" s="1522"/>
      <c r="DH59" s="1522"/>
      <c r="DI59" s="1522">
        <v>15.94</v>
      </c>
      <c r="DJ59" s="1522">
        <v>1.93</v>
      </c>
      <c r="DK59" s="1522">
        <v>3.84</v>
      </c>
      <c r="DL59" s="1522">
        <v>0.36</v>
      </c>
      <c r="DM59" s="1522">
        <v>48.39</v>
      </c>
      <c r="DN59" s="1522">
        <v>5.56</v>
      </c>
      <c r="DO59" s="1522">
        <v>62.5</v>
      </c>
      <c r="DP59" s="1522">
        <v>7.06</v>
      </c>
      <c r="DQ59" s="1522">
        <v>75.739999999999995</v>
      </c>
      <c r="DR59" s="1522">
        <v>7.75</v>
      </c>
      <c r="DS59" s="1522">
        <v>91.86</v>
      </c>
      <c r="DT59" s="1522">
        <v>8.59</v>
      </c>
      <c r="DU59" s="1522">
        <v>17.3</v>
      </c>
      <c r="DV59" s="1522">
        <v>1.72</v>
      </c>
      <c r="DW59" s="1522">
        <v>20.18</v>
      </c>
      <c r="DX59" s="1522">
        <v>2</v>
      </c>
    </row>
    <row r="60" spans="1:128" ht="18.75" customHeight="1">
      <c r="A60" s="1497"/>
      <c r="B60" s="1498" t="s">
        <v>1723</v>
      </c>
      <c r="C60" s="1508" t="s">
        <v>882</v>
      </c>
      <c r="D60" s="1500" t="str">
        <f>IF($D$2=40.5,CM31,IF($D$2=41.5,CM32,IF($D$2=42.5,CM33,IF($D$2=43.5,CM34,IF($D$2=44.5,CM35,IF($D$2=45.5,CM36,IF($D$2=46.5,CM37,)))))))&amp;
IF($D$2=47.5,CM38,IF($D$2=48.5,CM39,IF($D$2=49.5,CM40,IF($D$2=50.5,CM41,IF($D$2=51.5,CM42,IF($D$2=52.5,CM43,IF($D$2=53.5,CM44,)))))))&amp;
IF($D$2=54.5,CM45,IF($D$2=55.5,CM46,IF($D$2=56.5,CM47,IF($D$2=57.5,CM48,IF($D$2=15.5,CM6,IF($D$2=16.5,CM7,IF($D$2=17.5,CM8,)))))))&amp;
IF($D$2=18.5,CM9,IF($D$2=19.5,CM10,IF($D$2=20.5,CM11,IF($D$2=21.5,CM12,IF($D$2=22.5,CM13,IF($D$2=23.5,CM14,IF($D$2=24.5,CM15,)))))))&amp;IF($D$2=25.5,CM16,IF($D$2=26.5,CM17,IF($D$2=39.5,CM30,)))&amp;IF($D$2=31.5,CM22,IF($D$2=32.5,CM23,IF($D$2=33.5,CM24,IF($D$2=34.5,CM25,IF($D$2=35.5,CM26,IF($D$2=36.5,CM27,IF($D$2=37.5,CM28,IF($C$2=38.5,CM29,))))))))&amp;IF($D$2=27.5,CM18,IF($D$2=28.5,CM19,IF($D$2=29.5,CM20,IF($D$2=30.5,CM21,))))</f>
        <v>22.32</v>
      </c>
      <c r="E60" s="1500" t="str">
        <f>IF($D$2=40.5,CN31,IF($D$2=41.5,CN32,IF($D$2=42.5,CN33,IF($D$2=43.5,CN34,IF($D$2=44.5,CN35,IF($D$2=45.5,CN36,IF($D$2=46.5,CN37,)))))))&amp;
IF($D$2=47.5,CN38,IF($D$2=48.5,CN39,IF($D$2=49.5,CN40,IF($D$2=50.5,CN41,IF($D$2=51.5,CN42,IF($D$2=52.5,CN43,IF($D$2=53.5,CN44,)))))))&amp;
IF($D$2=54.5,CN45,IF($D$2=55.5,CN46,IF($D$2=56.5,CN47,IF($D$2=57.5,CN48,IF($D$2=15.5,CN6,IF($D$2=16.5,CN7,IF($D$2=17.5,CN8,)))))))&amp;
IF($D$2=18.5,CN9,IF($D$2=19.5,CN10,IF($D$2=20.5,CN11,IF($D$2=21.5,CN12,IF($D$2=22.5,CN13,IF($D$2=23.5,CN14,IF($D$2=24.5,CN15,)))))))&amp;IF($D$2=25.5,CN16,IF($D$2=26.5,CN17,IF($D$2=39.5,CN30,)))&amp;IF($D$2=31.5,CN22,IF($D$2=32.5,CN23,IF($D$2=33.5,CN24,IF($D$2=34.5,CN25,IF($D$2=35.5,CN26,IF($D$2=36.5,CN27,IF($D$2=37.5,CN28,IF($C$2=38.5,CN29,))))))))&amp;IF($D$2=27.5,CN18,IF($D$2=28.5,CN19,IF($D$2=29.5,CN20,IF($D$2=30.5,CN21,))))</f>
        <v>2.53</v>
      </c>
      <c r="F60" s="1501">
        <f t="shared" si="6"/>
        <v>3.1624999999999996</v>
      </c>
      <c r="G60" s="1501">
        <f t="shared" si="10"/>
        <v>24.85</v>
      </c>
      <c r="H60" s="1501">
        <f t="shared" si="11"/>
        <v>25.482500000000002</v>
      </c>
      <c r="I60" s="1367"/>
      <c r="J60" s="1367"/>
      <c r="K60" s="1367"/>
      <c r="L60" s="1522">
        <v>69.5</v>
      </c>
      <c r="M60" s="1522">
        <v>1.63</v>
      </c>
      <c r="N60" s="1522">
        <v>0.16</v>
      </c>
      <c r="O60" s="1523">
        <v>3.9</v>
      </c>
      <c r="P60" s="1523">
        <v>0.46</v>
      </c>
      <c r="Q60" s="1523">
        <v>6.06</v>
      </c>
      <c r="R60" s="1523">
        <v>0.66</v>
      </c>
      <c r="S60" s="1523">
        <v>24.24</v>
      </c>
      <c r="T60" s="1523">
        <v>3.47</v>
      </c>
      <c r="U60" s="1523">
        <v>46.1</v>
      </c>
      <c r="V60" s="1523">
        <v>7.92</v>
      </c>
      <c r="W60" s="1523">
        <v>23.2</v>
      </c>
      <c r="X60" s="1523">
        <v>2.93</v>
      </c>
      <c r="Y60" s="1523">
        <v>9.02</v>
      </c>
      <c r="Z60" s="1523">
        <v>1.7</v>
      </c>
      <c r="AA60" s="1523">
        <v>42.94</v>
      </c>
      <c r="AB60" s="1523">
        <v>3.34</v>
      </c>
      <c r="AC60" s="1523">
        <v>50.56</v>
      </c>
      <c r="AD60" s="1523">
        <v>5.04</v>
      </c>
      <c r="AE60" s="1523">
        <v>62.7</v>
      </c>
      <c r="AF60" s="1523">
        <v>4.66</v>
      </c>
      <c r="AG60" s="1523">
        <v>93.48</v>
      </c>
      <c r="AH60" s="1523">
        <v>19</v>
      </c>
      <c r="AI60" s="1522">
        <v>34.36</v>
      </c>
      <c r="AJ60" s="1522">
        <v>6.36</v>
      </c>
      <c r="AK60" s="1522">
        <v>9.8699999999999992</v>
      </c>
      <c r="AL60" s="1522">
        <v>1.01</v>
      </c>
      <c r="AM60" s="1523">
        <v>55.32</v>
      </c>
      <c r="AN60" s="1523">
        <v>9.5</v>
      </c>
      <c r="AO60" s="1523">
        <v>18.57</v>
      </c>
      <c r="AP60" s="1523">
        <v>1.91</v>
      </c>
      <c r="AQ60" s="1523">
        <v>64.56</v>
      </c>
      <c r="AR60" s="1523">
        <v>15.33</v>
      </c>
      <c r="AS60" s="1523">
        <v>20.100000000000001</v>
      </c>
      <c r="AT60" s="1523">
        <v>2.91</v>
      </c>
      <c r="AU60" s="1523">
        <v>80.11</v>
      </c>
      <c r="AV60" s="1523">
        <v>19.100000000000001</v>
      </c>
      <c r="AW60" s="1523">
        <v>8.32</v>
      </c>
      <c r="AX60" s="1523">
        <v>1.3</v>
      </c>
      <c r="AY60" s="1522">
        <f>AY59+0.1</f>
        <v>11.009999999999991</v>
      </c>
      <c r="AZ60" s="1522">
        <v>1.51</v>
      </c>
      <c r="BA60" s="1524">
        <v>13.49</v>
      </c>
      <c r="BB60" s="1524">
        <v>2.4700000000000002</v>
      </c>
      <c r="BC60" s="1523">
        <v>11.57</v>
      </c>
      <c r="BD60" s="1523">
        <v>1.25</v>
      </c>
      <c r="BE60" s="1523">
        <v>11</v>
      </c>
      <c r="BF60" s="1523">
        <v>0.54</v>
      </c>
      <c r="BG60" s="1523">
        <v>10.08</v>
      </c>
      <c r="BH60" s="1523">
        <v>0.77</v>
      </c>
      <c r="BI60" s="1523">
        <v>22.94</v>
      </c>
      <c r="BJ60" s="1523">
        <v>1.94</v>
      </c>
      <c r="BK60" s="1523">
        <v>31.69</v>
      </c>
      <c r="BL60" s="1523">
        <v>2.68</v>
      </c>
      <c r="BM60" s="1523">
        <v>47.13</v>
      </c>
      <c r="BN60" s="1523">
        <v>3.99</v>
      </c>
      <c r="BO60" s="1523">
        <v>69.02</v>
      </c>
      <c r="BP60" s="1523">
        <v>5.84</v>
      </c>
      <c r="BQ60" s="1523">
        <v>2.17</v>
      </c>
      <c r="BR60" s="1524">
        <v>0.49</v>
      </c>
      <c r="BS60" s="1523">
        <v>3</v>
      </c>
      <c r="BT60" s="1523">
        <v>0.68</v>
      </c>
      <c r="BU60" s="1523">
        <v>4.46</v>
      </c>
      <c r="BV60" s="1523">
        <v>1</v>
      </c>
      <c r="BW60" s="1523">
        <v>6.53</v>
      </c>
      <c r="BX60" s="1523">
        <v>1.47</v>
      </c>
      <c r="BY60" s="1523">
        <v>784.73</v>
      </c>
      <c r="BZ60" s="1523">
        <v>16.77</v>
      </c>
      <c r="CA60" s="1523">
        <v>17.21</v>
      </c>
      <c r="CB60" s="1523">
        <v>2.56</v>
      </c>
      <c r="CC60" s="1523">
        <v>12.58</v>
      </c>
      <c r="CD60" s="1523">
        <v>2.1</v>
      </c>
      <c r="CE60" s="1523">
        <v>289.93</v>
      </c>
      <c r="CF60" s="1523">
        <v>34.07</v>
      </c>
      <c r="CG60" s="1522">
        <v>22.82</v>
      </c>
      <c r="CH60" s="1522">
        <v>1.52</v>
      </c>
      <c r="CI60" s="1522">
        <v>7.81</v>
      </c>
      <c r="CJ60" s="1522">
        <v>3.69</v>
      </c>
      <c r="CK60" s="1522">
        <v>9.48</v>
      </c>
      <c r="CL60" s="1522">
        <v>1.92</v>
      </c>
      <c r="CM60" s="1522">
        <v>28.84</v>
      </c>
      <c r="CN60" s="1522">
        <v>2.4500000000000002</v>
      </c>
      <c r="CO60" s="1522">
        <v>19.37</v>
      </c>
      <c r="CP60" s="1522">
        <v>2.34</v>
      </c>
      <c r="CQ60" s="1522">
        <v>11.97</v>
      </c>
      <c r="CR60" s="1522">
        <v>0.71</v>
      </c>
      <c r="CS60" s="1522">
        <v>48.42</v>
      </c>
      <c r="CT60" s="1522">
        <v>11.03</v>
      </c>
      <c r="CU60" s="1522">
        <v>59.87</v>
      </c>
      <c r="CV60" s="1522">
        <v>3.53</v>
      </c>
      <c r="CW60" s="1522">
        <v>53.27</v>
      </c>
      <c r="CX60" s="1522">
        <v>11.03</v>
      </c>
      <c r="CY60" s="1522">
        <f t="shared" si="5"/>
        <v>59.87</v>
      </c>
      <c r="CZ60" s="1522">
        <v>3.53</v>
      </c>
      <c r="DA60" s="1522">
        <v>29.11</v>
      </c>
      <c r="DB60" s="1522">
        <v>10.73</v>
      </c>
      <c r="DC60" s="1522">
        <v>36.380000000000003</v>
      </c>
      <c r="DD60" s="1522">
        <v>13.41</v>
      </c>
      <c r="DE60" s="1522">
        <v>48.51</v>
      </c>
      <c r="DF60" s="1522">
        <v>17.88</v>
      </c>
      <c r="DG60" s="1522"/>
      <c r="DH60" s="1522"/>
      <c r="DI60" s="1522">
        <v>16.12</v>
      </c>
      <c r="DJ60" s="1522">
        <v>1.93</v>
      </c>
      <c r="DK60" s="1522">
        <v>3.89</v>
      </c>
      <c r="DL60" s="1522">
        <v>0.36</v>
      </c>
      <c r="DM60" s="1522">
        <v>48.71</v>
      </c>
      <c r="DN60" s="1522">
        <v>5.56</v>
      </c>
      <c r="DO60" s="1522">
        <v>62.88</v>
      </c>
      <c r="DP60" s="1522">
        <v>7.06</v>
      </c>
      <c r="DQ60" s="1522">
        <v>76.209999999999994</v>
      </c>
      <c r="DR60" s="1522">
        <v>7.75</v>
      </c>
      <c r="DS60" s="1522">
        <v>92.43</v>
      </c>
      <c r="DT60" s="1522">
        <v>8.59</v>
      </c>
      <c r="DU60" s="1522">
        <v>17.489999999999998</v>
      </c>
      <c r="DV60" s="1522">
        <v>1.72</v>
      </c>
      <c r="DW60" s="1522">
        <v>20.41</v>
      </c>
      <c r="DX60" s="1522">
        <v>2</v>
      </c>
    </row>
    <row r="61" spans="1:128" ht="18.75" customHeight="1">
      <c r="A61" s="1497"/>
      <c r="B61" s="1498" t="s">
        <v>1724</v>
      </c>
      <c r="C61" s="1508" t="s">
        <v>882</v>
      </c>
      <c r="D61" s="1500" t="str">
        <f>IF($D$2=40.5,CO31,IF($D$2=41.5,CO32,IF($D$2=42.5,CO33,IF($D$2=43.5,CO34,IF($D$2=44.5,CO35,IF($D$2=45.5,CO36,IF($D$2=46.5,CO37,)))))))&amp;
IF($D$2=47.5,CO38,IF($D$2=48.5,CO39,IF($D$2=49.5,CO40,IF($D$2=50.5,CO41,IF($D$2=51.5,CO42,IF($D$2=52.5,CO43,IF($D$2=53.5,CO44,)))))))&amp;
IF($D$2=54.5,CO45,IF($D$2=55.5,CO46,IF($D$2=56.5,CO47,IF($D$2=57.5,CO48,IF($D$2=15.5,CO6,IF($D$2=16.5,CO7,IF($D$2=17.5,CO8,)))))))&amp;
IF($D$2=18.5,CO9,IF($D$2=19.5,CO10,IF($D$2=20.5,CO11,IF($D$2=21.5,CO12,IF($D$2=22.5,CO13,IF($D$2=23.5,CO14,IF($D$2=24.5,CO15,)))))))&amp;IF($D$2=25.5,CO16,IF($D$2=26.5,CO17,IF($D$2=39.5,CO30,)))&amp;IF($D$2=31.5,CO22,IF($D$2=32.5,CO23,IF($D$2=33.5,CO24,IF($D$2=34.5,CO25,IF($D$2=35.5,CO26,IF($D$2=36.5,CO27,IF($D$2=37.5,CO28,IF($C$2=38.5,CO29,))))))))&amp;IF($D$2=27.5,CO18,IF($D$2=28.5,CO19,IF($D$2=29.5,CO20,IF($D$2=30.5,CO21,))))</f>
        <v>13.5</v>
      </c>
      <c r="E61" s="1500" t="str">
        <f>IF($D$2=40.5,CP31,IF($D$2=41.5,CP32,IF($D$2=42.5,CP33,IF($D$2=43.5,CP34,IF($D$2=44.5,CP35,IF($D$2=45.5,CP36,IF($D$2=46.5,CP37,)))))))&amp;
IF($D$2=47.5,CP38,IF($D$2=48.5,CP39,IF($D$2=49.5,CP40,IF($D$2=50.5,CP41,IF($D$2=51.5,CP42,IF($D$2=52.5,CP43,IF($D$2=53.5,CP44,)))))))&amp;
IF($D$2=54.5,CP45,IF($D$2=55.5,CP46,IF($D$2=56.5,CP47,IF($D$2=57.5,CP48,IF($D$2=15.5,CP6,IF($D$2=16.5,CP7,IF($D$2=17.5,CP8,)))))))&amp;
IF($D$2=18.5,CP9,IF($D$2=19.5,CP10,IF($D$2=20.5,CP11,IF($D$2=21.5,CP12,IF($D$2=22.5,CP13,IF($D$2=23.5,CP14,IF($D$2=24.5,CP15,)))))))&amp;IF($D$2=25.5,CP16,IF($D$2=26.5,CP17,IF($D$2=39.5,CP30,)))&amp;IF($D$2=31.5,CP22,IF($D$2=32.5,CP23,IF($D$2=33.5,CP24,IF($D$2=34.5,CP25,IF($D$2=35.5,CP26,IF($D$2=36.5,CP27,IF($D$2=37.5,CP28,IF($C$2=38.5,CP29,))))))))&amp;IF($D$2=27.5,CP18,IF($D$2=28.5,CP19,IF($D$2=29.5,CP20,IF($D$2=30.5,CP21,))))</f>
        <v>2.39</v>
      </c>
      <c r="F61" s="1501">
        <f t="shared" si="6"/>
        <v>2.9875000000000003</v>
      </c>
      <c r="G61" s="1501">
        <f t="shared" si="10"/>
        <v>15.89</v>
      </c>
      <c r="H61" s="1501">
        <f t="shared" si="11"/>
        <v>16.487500000000001</v>
      </c>
      <c r="I61" s="1367"/>
      <c r="J61" s="1367"/>
      <c r="K61" s="1367"/>
      <c r="L61" s="1525"/>
      <c r="M61" s="1526"/>
      <c r="N61" s="1526"/>
      <c r="O61" s="1527"/>
      <c r="P61" s="1527"/>
      <c r="Q61" s="1527"/>
      <c r="R61" s="1527"/>
      <c r="S61" s="1527"/>
      <c r="T61" s="1527"/>
      <c r="U61" s="1527"/>
      <c r="V61" s="1527"/>
      <c r="W61" s="1527"/>
      <c r="X61" s="1527"/>
      <c r="Y61" s="1527"/>
      <c r="Z61" s="1527"/>
      <c r="AA61" s="1527"/>
      <c r="AB61" s="1527"/>
      <c r="AC61" s="1527"/>
      <c r="AD61" s="1527"/>
      <c r="AE61" s="1527"/>
      <c r="AF61" s="1527"/>
      <c r="AG61" s="1527"/>
      <c r="AH61" s="1527"/>
      <c r="AI61" s="1525"/>
      <c r="AJ61" s="1525"/>
      <c r="AK61" s="1525"/>
      <c r="AL61" s="1525"/>
      <c r="AM61" s="1527"/>
      <c r="AN61" s="1527"/>
      <c r="AO61" s="1527"/>
      <c r="AP61" s="1527"/>
      <c r="AQ61" s="1527"/>
      <c r="AR61" s="1527"/>
      <c r="AS61" s="1527"/>
      <c r="AT61" s="1527"/>
      <c r="AU61" s="1527"/>
      <c r="AV61" s="1527"/>
      <c r="AW61" s="1527"/>
      <c r="AX61" s="1527"/>
      <c r="AY61" s="1525"/>
      <c r="AZ61" s="1525"/>
      <c r="BA61" s="1528"/>
      <c r="BB61" s="1528"/>
      <c r="BC61" s="1527"/>
      <c r="BD61" s="1527"/>
      <c r="BE61" s="1527"/>
      <c r="BF61" s="1527"/>
      <c r="BG61" s="1527"/>
      <c r="BH61" s="1527"/>
      <c r="BI61" s="1527"/>
      <c r="BJ61" s="1527"/>
      <c r="BK61" s="1527"/>
      <c r="BL61" s="1527"/>
      <c r="BM61" s="1527"/>
      <c r="BN61" s="1527"/>
      <c r="BO61" s="1527"/>
      <c r="BP61" s="1527"/>
      <c r="BQ61" s="1527"/>
      <c r="BR61" s="1528"/>
      <c r="BS61" s="1527"/>
      <c r="BT61" s="1527"/>
      <c r="BU61" s="1527"/>
      <c r="BV61" s="1527"/>
      <c r="BW61" s="1527"/>
      <c r="BX61" s="1527"/>
      <c r="BY61" s="1527"/>
      <c r="BZ61" s="1527"/>
      <c r="CA61" s="1527"/>
      <c r="CB61" s="1527"/>
      <c r="CC61" s="1527"/>
      <c r="CD61" s="1527"/>
      <c r="CE61" s="1527"/>
      <c r="CF61" s="1527"/>
      <c r="CG61" s="1525"/>
      <c r="CH61" s="1525"/>
      <c r="CI61" s="1525"/>
      <c r="CJ61" s="1525"/>
      <c r="CK61" s="1525"/>
      <c r="CL61" s="1525"/>
      <c r="CM61" s="1525"/>
      <c r="CN61" s="1525"/>
      <c r="CO61" s="1525"/>
      <c r="CP61" s="1525"/>
      <c r="CQ61" s="1525"/>
      <c r="CR61" s="1525"/>
      <c r="CS61" s="1525"/>
      <c r="CT61" s="1525"/>
      <c r="CU61" s="1525"/>
      <c r="CV61" s="1525"/>
      <c r="CW61" s="1525"/>
      <c r="CX61" s="1525"/>
      <c r="CY61" s="1525"/>
      <c r="CZ61" s="1525"/>
      <c r="DA61" s="1525"/>
      <c r="DB61" s="1525"/>
      <c r="DC61" s="1525"/>
      <c r="DD61" s="1525"/>
      <c r="DE61" s="1525"/>
      <c r="DF61" s="1525"/>
      <c r="DG61" s="1525"/>
      <c r="DH61" s="1525"/>
      <c r="DI61" s="1525"/>
      <c r="DJ61" s="1525"/>
      <c r="DK61" s="1525"/>
      <c r="DL61" s="1525"/>
      <c r="DM61" s="1525"/>
      <c r="DN61" s="1525"/>
      <c r="DO61" s="1525"/>
      <c r="DP61" s="1525"/>
      <c r="DQ61" s="1525"/>
      <c r="DR61" s="1525"/>
      <c r="DS61" s="1525"/>
      <c r="DT61" s="1525"/>
      <c r="DU61" s="1525"/>
      <c r="DV61" s="1525"/>
      <c r="DW61" s="1525"/>
      <c r="DX61" s="1525"/>
    </row>
    <row r="62" spans="1:128" ht="18.75" customHeight="1">
      <c r="A62" s="1497"/>
      <c r="B62" s="1498" t="s">
        <v>883</v>
      </c>
      <c r="C62" s="1508" t="s">
        <v>1026</v>
      </c>
      <c r="D62" s="1500" t="str">
        <f>IF($D$2=40.5,CQ31,IF($D$2=41.5,CQ32,IF($D$2=42.5,CQ33,IF($D$2=43.5,CQ34,IF($D$2=44.5,CQ35,IF($D$2=45.5,CQ36,IF($D$2=46.5,CQ37,)))))))&amp;
IF($D$2=47.5,CQ38,IF($D$2=48.5,CQ39,IF($D$2=49.5,CQ40,IF($D$2=50.5,CQ41,IF($D$2=51.5,CQ42,IF($D$2=52.5,CQ43,IF($D$2=53.5,CQ44,)))))))&amp;
IF($D$2=54.5,CQ45,IF($D$2=55.5,CQ46,IF($D$2=56.5,CQ47,IF($D$2=57.5,CQ48,IF($D$2=15.5,CQ6,IF($D$2=16.5,CQ7,IF($D$2=17.5,CQ8,)))))))&amp;
IF($D$2=18.5,CQ9,IF($D$2=19.5,CQ10,IF($D$2=20.5,CQ11,IF($D$2=21.5,CQ12,IF($D$2=22.5,CQ13,IF($D$2=23.5,CQ14,IF($D$2=24.5,CQ15,)))))))&amp;IF($D$2=25.5,CQ16,IF($D$2=26.5,CQ17,IF($D$2=39.5,CQ30,)))&amp;IF($D$2=31.5,CQ22,IF($D$2=32.5,CQ23,IF($D$2=33.5,CQ24,IF($D$2=34.5,CQ25,IF($D$2=35.5,CQ26,IF($D$2=36.5,CQ27,IF($D$2=37.5,CQ28,IF($C$2=38.5,CQ29,))))))))&amp;IF($D$2=27.5,CQ18,IF($D$2=28.5,CQ19,IF($D$2=29.5,CQ20,IF($D$2=30.5,CQ21,))))</f>
        <v>9.03</v>
      </c>
      <c r="E62" s="1500" t="str">
        <f>IF($D$2=40.5,CR31,IF($D$2=41.5,CR32,IF($D$2=42.5,CR33,IF($D$2=43.5,CR34,IF($D$2=44.5,CR35,IF($D$2=45.5,CR36,IF($D$2=46.5,CR37,)))))))&amp;
IF($D$2=47.5,CR38,IF($D$2=48.5,CR39,IF($D$2=49.5,CR40,IF($D$2=50.5,CR41,IF($D$2=51.5,CR42,IF($D$2=52.5,CR43,IF($D$2=53.5,CR44,)))))))&amp;
IF($D$2=54.5,CR45,IF($D$2=55.5,CR46,IF($D$2=56.5,CR47,IF($D$2=57.5,CR48,IF($D$2=15.5,CR6,IF($D$2=16.5,CR7,IF($D$2=17.5,CR8,)))))))&amp;
IF($D$2=18.5,CR9,IF($D$2=19.5,CR10,IF($D$2=20.5,CR11,IF($D$2=21.5,CR12,IF($D$2=22.5,CR13,IF($D$2=23.5,CR14,IF($D$2=24.5,CR15,)))))))&amp;IF($D$2=25.5,CR16,IF($D$2=26.5,CR17,IF($D$2=39.5,CR30,)))&amp;IF($D$2=31.5,CR22,IF($D$2=32.5,CR23,IF($D$2=33.5,CR24,IF($D$2=34.5,CR25,IF($D$2=35.5,CR26,IF($D$2=36.5,CR27,IF($D$2=37.5,CR28,IF($C$2=38.5,CR29,))))))))&amp;IF($D$2=27.5,CR18,IF($D$2=28.5,CR19,IF($D$2=29.5,CR20,IF($D$2=30.5,CR21,))))</f>
        <v>1.06</v>
      </c>
      <c r="F62" s="1501">
        <f t="shared" si="6"/>
        <v>1.3250000000000002</v>
      </c>
      <c r="G62" s="1501">
        <f t="shared" si="10"/>
        <v>10.09</v>
      </c>
      <c r="H62" s="1501">
        <f t="shared" si="11"/>
        <v>10.355</v>
      </c>
      <c r="I62" s="1367"/>
      <c r="J62" s="1367"/>
      <c r="K62" s="1367"/>
      <c r="L62" s="1525"/>
      <c r="M62" s="1526"/>
      <c r="N62" s="1526"/>
      <c r="O62" s="1527"/>
      <c r="P62" s="1527"/>
      <c r="Q62" s="1527"/>
      <c r="R62" s="1527"/>
      <c r="S62" s="1527"/>
      <c r="T62" s="1527"/>
      <c r="U62" s="1527"/>
      <c r="V62" s="1527"/>
      <c r="W62" s="1527"/>
      <c r="X62" s="1527"/>
      <c r="Y62" s="1527"/>
      <c r="Z62" s="1527"/>
      <c r="AA62" s="1527"/>
      <c r="AB62" s="1527"/>
      <c r="AC62" s="1527"/>
      <c r="AD62" s="1527"/>
      <c r="AE62" s="1527"/>
      <c r="AF62" s="1527"/>
      <c r="AG62" s="1527"/>
      <c r="AH62" s="1527"/>
      <c r="AI62" s="1525"/>
      <c r="AJ62" s="1525"/>
      <c r="AK62" s="1525"/>
      <c r="AL62" s="1525"/>
      <c r="AM62" s="1527"/>
      <c r="AN62" s="1527"/>
      <c r="AO62" s="1527"/>
      <c r="AP62" s="1527"/>
      <c r="AQ62" s="1527"/>
      <c r="AR62" s="1527"/>
      <c r="AS62" s="1527"/>
      <c r="AT62" s="1527"/>
      <c r="AU62" s="1527"/>
      <c r="AV62" s="1527"/>
      <c r="AW62" s="1527"/>
      <c r="AX62" s="1527"/>
      <c r="AY62" s="1525"/>
      <c r="AZ62" s="1525"/>
      <c r="BA62" s="1528"/>
      <c r="BB62" s="1528"/>
      <c r="BC62" s="1527"/>
      <c r="BD62" s="1527"/>
      <c r="BE62" s="1527"/>
      <c r="BF62" s="1527"/>
      <c r="BG62" s="1527"/>
      <c r="BH62" s="1527"/>
      <c r="BI62" s="1527"/>
      <c r="BJ62" s="1527"/>
      <c r="BK62" s="1527"/>
      <c r="BL62" s="1527"/>
      <c r="BM62" s="1527"/>
      <c r="BN62" s="1527"/>
      <c r="BO62" s="1527"/>
      <c r="BP62" s="1527"/>
      <c r="BQ62" s="1527"/>
      <c r="BR62" s="1528"/>
      <c r="BS62" s="1527"/>
      <c r="BT62" s="1527"/>
      <c r="BU62" s="1527"/>
      <c r="BV62" s="1527"/>
      <c r="BW62" s="1527"/>
      <c r="BX62" s="1527"/>
      <c r="BY62" s="1527"/>
      <c r="BZ62" s="1527"/>
      <c r="CA62" s="1527"/>
      <c r="CB62" s="1527"/>
      <c r="CC62" s="1527"/>
      <c r="CD62" s="1527"/>
      <c r="CE62" s="1527"/>
      <c r="CF62" s="1527"/>
      <c r="CG62" s="1525"/>
      <c r="CH62" s="1525"/>
      <c r="CI62" s="1525"/>
      <c r="CJ62" s="1525"/>
      <c r="CK62" s="1525"/>
      <c r="CL62" s="1525"/>
      <c r="CM62" s="1525"/>
      <c r="CN62" s="1525"/>
      <c r="CO62" s="1525"/>
      <c r="CP62" s="1525"/>
      <c r="CQ62" s="1525"/>
      <c r="CR62" s="1525"/>
      <c r="CS62" s="1525"/>
      <c r="CT62" s="1525"/>
      <c r="CU62" s="1525"/>
      <c r="CV62" s="1525"/>
      <c r="CW62" s="1525"/>
      <c r="CX62" s="1525"/>
      <c r="CY62" s="1525"/>
      <c r="CZ62" s="1525"/>
      <c r="DA62" s="1525"/>
      <c r="DB62" s="1525"/>
      <c r="DC62" s="1525"/>
      <c r="DD62" s="1525"/>
      <c r="DE62" s="1525"/>
      <c r="DF62" s="1525"/>
      <c r="DG62" s="1525"/>
      <c r="DH62" s="1525"/>
      <c r="DI62" s="1525"/>
      <c r="DJ62" s="1525"/>
      <c r="DK62" s="1525"/>
      <c r="DL62" s="1525"/>
      <c r="DM62" s="1525"/>
      <c r="DN62" s="1525"/>
      <c r="DO62" s="1525"/>
      <c r="DP62" s="1525"/>
      <c r="DQ62" s="1525"/>
      <c r="DR62" s="1525"/>
      <c r="DS62" s="1525"/>
      <c r="DT62" s="1525"/>
      <c r="DU62" s="1525"/>
      <c r="DV62" s="1525"/>
      <c r="DW62" s="1525"/>
      <c r="DX62" s="1525"/>
    </row>
    <row r="63" spans="1:128" ht="18.75" customHeight="1">
      <c r="A63" s="1497">
        <v>15</v>
      </c>
      <c r="B63" s="1498" t="s">
        <v>218</v>
      </c>
      <c r="C63" s="1508"/>
      <c r="D63" s="1509"/>
      <c r="E63" s="1509"/>
      <c r="F63" s="1501"/>
      <c r="G63" s="1501"/>
      <c r="H63" s="1501"/>
      <c r="I63" s="1367"/>
      <c r="J63" s="1367"/>
      <c r="K63" s="1367"/>
      <c r="L63" s="1525"/>
      <c r="M63" s="1526"/>
      <c r="N63" s="1526"/>
      <c r="O63" s="1527"/>
      <c r="P63" s="1527"/>
      <c r="Q63" s="1527"/>
      <c r="R63" s="1527"/>
      <c r="S63" s="1527"/>
      <c r="T63" s="1527"/>
      <c r="U63" s="1527"/>
      <c r="V63" s="1527"/>
      <c r="W63" s="1527"/>
      <c r="X63" s="1527"/>
      <c r="Y63" s="1527"/>
      <c r="Z63" s="1527"/>
      <c r="AA63" s="1527"/>
      <c r="AB63" s="1527"/>
      <c r="AC63" s="1527"/>
      <c r="AD63" s="1527"/>
      <c r="AE63" s="1527"/>
      <c r="AF63" s="1527"/>
      <c r="AG63" s="1527"/>
      <c r="AH63" s="1527"/>
      <c r="AI63" s="1525"/>
      <c r="AJ63" s="1525"/>
      <c r="AK63" s="1525"/>
      <c r="AL63" s="1525"/>
      <c r="AM63" s="1527"/>
      <c r="AN63" s="1527"/>
      <c r="AO63" s="1527"/>
      <c r="AP63" s="1527"/>
      <c r="AQ63" s="1527"/>
      <c r="AR63" s="1527"/>
      <c r="AS63" s="1527"/>
      <c r="AT63" s="1527"/>
      <c r="AU63" s="1527"/>
      <c r="AV63" s="1527"/>
      <c r="AW63" s="1527"/>
      <c r="AX63" s="1527"/>
      <c r="AY63" s="1525"/>
      <c r="AZ63" s="1525"/>
      <c r="BA63" s="1528"/>
      <c r="BB63" s="1528"/>
      <c r="BC63" s="1527"/>
      <c r="BD63" s="1527"/>
      <c r="BE63" s="1527"/>
      <c r="BF63" s="1527"/>
      <c r="BG63" s="1527"/>
      <c r="BH63" s="1527"/>
      <c r="BI63" s="1527"/>
      <c r="BJ63" s="1527"/>
      <c r="BK63" s="1527"/>
      <c r="BL63" s="1527"/>
      <c r="BM63" s="1527"/>
      <c r="BN63" s="1527"/>
      <c r="BO63" s="1527"/>
      <c r="BP63" s="1527"/>
      <c r="BQ63" s="1527"/>
      <c r="BR63" s="1528"/>
      <c r="BS63" s="1527"/>
      <c r="BT63" s="1527"/>
      <c r="BU63" s="1527"/>
      <c r="BV63" s="1527"/>
      <c r="BW63" s="1527"/>
      <c r="BX63" s="1527"/>
      <c r="BY63" s="1527"/>
      <c r="BZ63" s="1527"/>
      <c r="CA63" s="1527"/>
      <c r="CB63" s="1527"/>
      <c r="CC63" s="1527"/>
      <c r="CD63" s="1527"/>
      <c r="CE63" s="1527"/>
      <c r="CF63" s="1527"/>
      <c r="CG63" s="1525"/>
      <c r="CH63" s="1525"/>
      <c r="CI63" s="1525"/>
      <c r="CJ63" s="1525"/>
      <c r="CK63" s="1525"/>
      <c r="CL63" s="1525"/>
      <c r="CM63" s="1525"/>
      <c r="CN63" s="1525"/>
      <c r="CO63" s="1525"/>
      <c r="CP63" s="1525"/>
      <c r="CQ63" s="1525"/>
      <c r="CR63" s="1525"/>
      <c r="CS63" s="1525"/>
      <c r="CT63" s="1525"/>
      <c r="CU63" s="1525"/>
      <c r="CV63" s="1525"/>
      <c r="CW63" s="1525"/>
      <c r="CX63" s="1525"/>
      <c r="CY63" s="1525"/>
      <c r="CZ63" s="1525"/>
      <c r="DA63" s="1525"/>
      <c r="DB63" s="1525"/>
      <c r="DC63" s="1525"/>
      <c r="DD63" s="1525"/>
      <c r="DE63" s="1525"/>
      <c r="DF63" s="1525"/>
      <c r="DG63" s="1525"/>
      <c r="DH63" s="1525"/>
      <c r="DI63" s="1525"/>
      <c r="DJ63" s="1525"/>
      <c r="DK63" s="1525"/>
      <c r="DL63" s="1525"/>
      <c r="DM63" s="1525"/>
      <c r="DN63" s="1525"/>
      <c r="DO63" s="1525"/>
      <c r="DP63" s="1525"/>
      <c r="DQ63" s="1525"/>
      <c r="DR63" s="1525"/>
      <c r="DS63" s="1525"/>
      <c r="DT63" s="1525"/>
      <c r="DU63" s="1525"/>
      <c r="DV63" s="1525"/>
      <c r="DW63" s="1525"/>
      <c r="DX63" s="1525"/>
    </row>
    <row r="64" spans="1:128" ht="18.75" customHeight="1">
      <c r="A64" s="1497"/>
      <c r="B64" s="1498" t="s">
        <v>123</v>
      </c>
      <c r="C64" s="1508" t="s">
        <v>585</v>
      </c>
      <c r="D64" s="1500" t="str">
        <f>IF($D$2=40.5,CS31,IF($D$2=41.5,CS32,IF($D$2=42.5,CS33,IF($D$2=43.5,CS34,IF($D$2=44.5,CS35,IF($D$2=45.5,CS36,IF($D$2=46.5,CS37,)))))))&amp;
IF($D$2=47.5,CS38,IF($D$2=48.5,CS39,IF($D$2=49.5,CS40,IF($D$2=50.5,CS41,IF($D$2=51.5,CS42,IF($D$2=52.5,CS43,IF($D$2=53.5,CS44,)))))))&amp;
IF($D$2=54.5,CS45,IF($D$2=55.5,CS46,IF($D$2=56.5,CS47,IF($D$2=57.5,CS48,IF($D$2=15.5,CS6,IF($D$2=16.5,CS7,IF($D$2=17.5,CS8,)))))))&amp;
IF($D$2=18.5,CS9,IF($D$2=19.5,CS10,IF($D$2=20.5,CS11,IF($D$2=21.5,CS12,IF($D$2=22.5,CS13,IF($D$2=23.5,CS14,IF($D$2=24.5,CS15,)))))))&amp;IF($D$2=25.5,CS16,IF($D$2=26.5,CS17,IF($D$2=39.5,CS30,)))&amp;IF($D$2=31.5,CS22,IF($D$2=32.5,CS23,IF($D$2=33.5,CS24,IF($D$2=34.5,CS25,IF($D$2=35.5,CS26,IF($D$2=36.5,CS27,IF($D$2=37.5,CS28,IF($C$2=38.5,CS29,))))))))&amp;IF($D$2=27.5,CS18,IF($D$2=28.5,CS19,IF($D$2=29.5,CS20,IF($D$2=30.5,CS21,))))</f>
        <v>35.14</v>
      </c>
      <c r="E64" s="1500" t="str">
        <f>IF($D$2=40.5,CT31,IF($D$2=41.5,CT32,IF($D$2=42.5,CT33,IF($D$2=43.5,CT34,IF($D$2=44.5,CT35,IF($D$2=45.5,CT36,IF($D$2=46.5,CT37,)))))))&amp;
IF($D$2=47.5,CT38,IF($D$2=48.5,CT39,IF($D$2=49.5,CT40,IF($D$2=50.5,CT41,IF($D$2=51.5,CT42,IF($D$2=52.5,CT43,IF($D$2=53.5,CT44,)))))))&amp;
IF($D$2=54.5,CT45,IF($D$2=55.5,CT46,IF($D$2=56.5,CT47,IF($D$2=57.5,CT48,IF($D$2=15.5,CT6,IF($D$2=16.5,CT7,IF($D$2=17.5,CT8,)))))))&amp;
IF($D$2=18.5,CT9,IF($D$2=19.5,CT10,IF($D$2=20.5,CT11,IF($D$2=21.5,CT12,IF($D$2=22.5,CT13,IF($D$2=23.5,CT14,IF($D$2=24.5,CT15,)))))))&amp;IF($D$2=25.5,CT16,IF($D$2=26.5,CT17,IF($D$2=39.5,CT30,)))&amp;IF($D$2=31.5,CT22,IF($D$2=32.5,CT23,IF($D$2=33.5,CT24,IF($D$2=34.5,CT25,IF($D$2=35.5,CT26,IF($D$2=36.5,CT27,IF($D$2=37.5,CT28,IF($C$2=38.5,CT29,))))))))&amp;IF($D$2=27.5,CT18,IF($D$2=28.5,CT19,IF($D$2=29.5,CT20,IF($D$2=30.5,CT21,))))</f>
        <v>11.03</v>
      </c>
      <c r="F64" s="1501">
        <f t="shared" si="6"/>
        <v>13.7875</v>
      </c>
      <c r="G64" s="1501">
        <f t="shared" si="10"/>
        <v>46.17</v>
      </c>
      <c r="H64" s="1501">
        <f t="shared" si="11"/>
        <v>48.927500000000002</v>
      </c>
      <c r="I64" s="1367"/>
      <c r="J64" s="1367"/>
      <c r="K64" s="1367"/>
      <c r="L64" s="1526"/>
      <c r="M64" s="1526"/>
      <c r="N64" s="1526"/>
      <c r="O64" s="1527"/>
      <c r="P64" s="1527"/>
      <c r="Q64" s="1527"/>
      <c r="R64" s="1527"/>
      <c r="S64" s="1527"/>
      <c r="T64" s="1527"/>
      <c r="U64" s="1527"/>
      <c r="V64" s="1527"/>
      <c r="W64" s="1527"/>
      <c r="X64" s="1527"/>
      <c r="Y64" s="1527"/>
      <c r="Z64" s="1527"/>
      <c r="AA64" s="1527"/>
      <c r="AB64" s="1527"/>
      <c r="AC64" s="1527"/>
      <c r="AD64" s="1527"/>
      <c r="AE64" s="1527"/>
      <c r="AF64" s="1527"/>
      <c r="AG64" s="1527"/>
      <c r="AH64" s="1527"/>
      <c r="AI64" s="1525"/>
      <c r="AJ64" s="1525"/>
      <c r="AK64" s="1525"/>
      <c r="AL64" s="1525"/>
      <c r="AM64" s="1527"/>
      <c r="AN64" s="1527"/>
      <c r="AO64" s="1527"/>
      <c r="AP64" s="1527"/>
      <c r="AQ64" s="1527"/>
      <c r="AR64" s="1527"/>
      <c r="AS64" s="1527"/>
      <c r="AT64" s="1527"/>
      <c r="AU64" s="1527"/>
      <c r="AV64" s="1527"/>
      <c r="AW64" s="1527"/>
      <c r="AX64" s="1527"/>
      <c r="AY64" s="1525"/>
      <c r="AZ64" s="1525"/>
      <c r="BA64" s="1528"/>
      <c r="BB64" s="1528"/>
      <c r="BC64" s="1527"/>
      <c r="BD64" s="1527"/>
      <c r="BE64" s="1527"/>
      <c r="BF64" s="1527"/>
      <c r="BG64" s="1527"/>
      <c r="BH64" s="1527"/>
      <c r="BI64" s="1527"/>
      <c r="BJ64" s="1527"/>
      <c r="BK64" s="1527"/>
      <c r="BL64" s="1527"/>
      <c r="BM64" s="1527"/>
      <c r="BN64" s="1527"/>
      <c r="BO64" s="1527"/>
      <c r="BP64" s="1527"/>
      <c r="BQ64" s="1527"/>
      <c r="BR64" s="1528"/>
      <c r="BS64" s="1527"/>
      <c r="BT64" s="1527"/>
      <c r="BU64" s="1527"/>
      <c r="BV64" s="1527"/>
      <c r="BW64" s="1527"/>
      <c r="BX64" s="1527"/>
      <c r="BY64" s="1527"/>
      <c r="BZ64" s="1527"/>
      <c r="CA64" s="1527"/>
      <c r="CB64" s="1527"/>
      <c r="CC64" s="1527"/>
      <c r="CD64" s="1527"/>
      <c r="CE64" s="1527"/>
      <c r="CF64" s="1527"/>
      <c r="CG64" s="1525"/>
      <c r="CH64" s="1525"/>
      <c r="CI64" s="1525"/>
      <c r="CJ64" s="1525"/>
      <c r="CK64" s="1525"/>
      <c r="CL64" s="1525"/>
      <c r="CM64" s="1525"/>
      <c r="CN64" s="1525"/>
      <c r="CO64" s="1525"/>
      <c r="CP64" s="1525"/>
      <c r="CQ64" s="1525"/>
      <c r="CR64" s="1525"/>
      <c r="CS64" s="1525"/>
      <c r="CT64" s="1525"/>
      <c r="CU64" s="1525"/>
      <c r="CV64" s="1525"/>
      <c r="CW64" s="1525"/>
      <c r="CX64" s="1525"/>
      <c r="CY64" s="1525"/>
      <c r="CZ64" s="1525"/>
      <c r="DA64" s="1525"/>
      <c r="DB64" s="1525"/>
      <c r="DC64" s="1525"/>
      <c r="DD64" s="1525"/>
      <c r="DE64" s="1525"/>
      <c r="DF64" s="1525"/>
      <c r="DG64" s="1525"/>
      <c r="DH64" s="1525"/>
      <c r="DI64" s="1525"/>
      <c r="DJ64" s="1525"/>
      <c r="DK64" s="1525"/>
      <c r="DL64" s="1525"/>
      <c r="DM64" s="1525"/>
      <c r="DN64" s="1525"/>
      <c r="DO64" s="1525"/>
      <c r="DP64" s="1525"/>
      <c r="DQ64" s="1525"/>
      <c r="DR64" s="1525"/>
      <c r="DS64" s="1525"/>
      <c r="DT64" s="1525"/>
      <c r="DU64" s="1525"/>
      <c r="DV64" s="1525"/>
      <c r="DW64" s="1525"/>
      <c r="DX64" s="1525"/>
    </row>
    <row r="65" spans="1:128" ht="18.75" customHeight="1">
      <c r="A65" s="1497"/>
      <c r="B65" s="1498" t="s">
        <v>124</v>
      </c>
      <c r="C65" s="1508" t="s">
        <v>585</v>
      </c>
      <c r="D65" s="1500" t="str">
        <f>IF($D$2=40.5,CU31,IF($D$2=41.5,CU32,IF($D$2=42.5,CU33,IF($D$2=43.5,CU34,IF($D$2=44.5,CU35,IF($D$2=45.5,CU36,IF($D$2=46.5,CU37,)))))))&amp;
IF($D$2=47.5,CU38,IF($D$2=48.5,CU39,IF($D$2=49.5,CU40,IF($D$2=50.5,CU41,IF($D$2=51.5,CU42,IF($D$2=52.5,CU43,IF($D$2=53.5,CU44,)))))))&amp;
IF($D$2=54.5,CU45,IF($D$2=55.5,CU46,IF($D$2=56.5,CU47,IF($D$2=57.5,CU48,IF($D$2=15.5,CU6,IF($D$2=16.5,CU7,IF($D$2=17.5,CU8,)))))))&amp;
IF($D$2=18.5,CU9,IF($D$2=19.5,CU10,IF($D$2=20.5,CU11,IF($D$2=21.5,CU12,IF($D$2=22.5,CU13,IF($D$2=23.5,CU14,IF($D$2=24.5,CU15,)))))))&amp;IF($D$2=25.5,CU16,IF($D$2=26.5,CU17,IF($D$2=39.5,CU30,)))&amp;IF($D$2=31.5,CU22,IF($D$2=32.5,CU23,IF($D$2=33.5,CU24,IF($D$2=34.5,CU25,IF($D$2=35.5,CU26,IF($D$2=36.5,CU27,IF($D$2=37.5,CU28,IF($C$2=38.5,CU29,))))))))&amp;IF($D$2=27.5,CU18,IF($D$2=28.5,CU19,IF($D$2=29.5,CU20,IF($D$2=30.5,CU21,))))</f>
        <v>45.13</v>
      </c>
      <c r="E65" s="1500" t="str">
        <f>IF($D$2=40.5,CV31,IF($D$2=41.5,CV32,IF($D$2=42.5,CV33,IF($D$2=43.5,CV34,IF($D$2=44.5,CV35,IF($D$2=45.5,CV36,IF($D$2=46.5,CV37,)))))))&amp;
IF($D$2=47.5,CV38,IF($D$2=48.5,CV39,IF($D$2=49.5,CV40,IF($D$2=50.5,CV41,IF($D$2=51.5,CV42,IF($D$2=52.5,CV43,IF($D$2=53.5,CV44,)))))))&amp;
IF($D$2=54.5,CV45,IF($D$2=55.5,CV46,IF($D$2=56.5,CV47,IF($D$2=57.5,CV48,IF($D$2=15.5,CV6,IF($D$2=16.5,CV7,IF($D$2=17.5,CV8,)))))))&amp;
IF($D$2=18.5,CV9,IF($D$2=19.5,CV10,IF($D$2=20.5,CV11,IF($D$2=21.5,CV12,IF($D$2=22.5,CV13,IF($D$2=23.5,CV14,IF($D$2=24.5,CV15,)))))))&amp;IF($D$2=25.5,CV16,IF($D$2=26.5,CV17,IF($D$2=39.5,CV30,)))&amp;IF($D$2=31.5,CV22,IF($D$2=32.5,CV23,IF($D$2=33.5,CV24,IF($D$2=34.5,CV25,IF($D$2=35.5,CV26,IF($D$2=36.5,CV27,IF($D$2=37.5,CV28,IF($C$2=38.5,CV29,))))))))&amp;IF($D$2=27.5,CV18,IF($D$2=28.5,CV19,IF($D$2=29.5,CV20,IF($D$2=30.5,CV21,))))</f>
        <v>5.29</v>
      </c>
      <c r="F65" s="1501">
        <f t="shared" si="6"/>
        <v>6.6124999999999998</v>
      </c>
      <c r="G65" s="1501">
        <f t="shared" si="10"/>
        <v>50.42</v>
      </c>
      <c r="H65" s="1501">
        <f t="shared" si="11"/>
        <v>51.7425</v>
      </c>
      <c r="I65" s="1367"/>
      <c r="J65" s="1367"/>
      <c r="K65" s="1367"/>
      <c r="L65" s="1526"/>
      <c r="M65" s="1526"/>
      <c r="N65" s="1526"/>
      <c r="O65" s="1527"/>
      <c r="P65" s="1527"/>
      <c r="Q65" s="1527"/>
      <c r="R65" s="1527"/>
      <c r="S65" s="1527"/>
      <c r="T65" s="1527"/>
      <c r="U65" s="1527"/>
      <c r="V65" s="1527"/>
      <c r="W65" s="1527"/>
      <c r="X65" s="1527"/>
      <c r="Y65" s="1527"/>
      <c r="Z65" s="1527"/>
      <c r="AA65" s="1527"/>
      <c r="AB65" s="1527"/>
      <c r="AC65" s="1527"/>
      <c r="AD65" s="1527"/>
      <c r="AE65" s="1527"/>
      <c r="AF65" s="1527"/>
      <c r="AG65" s="1527"/>
      <c r="AH65" s="1527"/>
      <c r="AI65" s="1525"/>
      <c r="AJ65" s="1525"/>
      <c r="AK65" s="1525"/>
      <c r="AL65" s="1525"/>
      <c r="AM65" s="1527"/>
      <c r="AN65" s="1527"/>
      <c r="AO65" s="1527"/>
      <c r="AP65" s="1527"/>
      <c r="AQ65" s="1527"/>
      <c r="AR65" s="1527"/>
      <c r="AS65" s="1527"/>
      <c r="AT65" s="1527"/>
      <c r="AU65" s="1527"/>
      <c r="AV65" s="1527"/>
      <c r="AW65" s="1527"/>
      <c r="AX65" s="1527"/>
      <c r="AY65" s="1525"/>
      <c r="AZ65" s="1525"/>
      <c r="BA65" s="1528"/>
      <c r="BB65" s="1528"/>
      <c r="BC65" s="1527"/>
      <c r="BD65" s="1527"/>
      <c r="BE65" s="1527"/>
      <c r="BF65" s="1527"/>
      <c r="BG65" s="1527"/>
      <c r="BH65" s="1527"/>
      <c r="BI65" s="1527"/>
      <c r="BJ65" s="1527"/>
      <c r="BK65" s="1527"/>
      <c r="BL65" s="1527"/>
      <c r="BM65" s="1527"/>
      <c r="BN65" s="1527"/>
      <c r="BO65" s="1527"/>
      <c r="BP65" s="1527"/>
      <c r="BQ65" s="1527"/>
      <c r="BR65" s="1528"/>
      <c r="BS65" s="1527"/>
      <c r="BT65" s="1527"/>
      <c r="BU65" s="1527"/>
      <c r="BV65" s="1527"/>
      <c r="BW65" s="1527"/>
      <c r="BX65" s="1527"/>
      <c r="BY65" s="1527"/>
      <c r="BZ65" s="1527"/>
      <c r="CA65" s="1527"/>
      <c r="CB65" s="1527"/>
      <c r="CC65" s="1527"/>
      <c r="CD65" s="1527"/>
      <c r="CE65" s="1527"/>
      <c r="CF65" s="1527"/>
      <c r="CG65" s="1525"/>
      <c r="CH65" s="1525"/>
      <c r="CI65" s="1525"/>
      <c r="CJ65" s="1525"/>
      <c r="CK65" s="1525"/>
      <c r="CL65" s="1525"/>
      <c r="CM65" s="1525"/>
      <c r="CN65" s="1525"/>
      <c r="CO65" s="1525"/>
      <c r="CP65" s="1525"/>
      <c r="CQ65" s="1525"/>
      <c r="CR65" s="1525"/>
      <c r="CS65" s="1525"/>
      <c r="CT65" s="1525"/>
      <c r="CU65" s="1525"/>
      <c r="CV65" s="1525"/>
      <c r="CW65" s="1525"/>
      <c r="CX65" s="1525"/>
      <c r="CY65" s="1525"/>
      <c r="CZ65" s="1525"/>
      <c r="DA65" s="1525"/>
      <c r="DB65" s="1525"/>
      <c r="DC65" s="1525"/>
      <c r="DD65" s="1525"/>
      <c r="DE65" s="1525"/>
      <c r="DF65" s="1525"/>
      <c r="DG65" s="1525"/>
      <c r="DH65" s="1525"/>
      <c r="DI65" s="1525"/>
      <c r="DJ65" s="1525"/>
      <c r="DK65" s="1525"/>
      <c r="DL65" s="1525"/>
      <c r="DM65" s="1525"/>
      <c r="DN65" s="1525"/>
      <c r="DO65" s="1525"/>
      <c r="DP65" s="1525"/>
      <c r="DQ65" s="1525"/>
      <c r="DR65" s="1525"/>
      <c r="DS65" s="1525"/>
      <c r="DT65" s="1525"/>
      <c r="DU65" s="1525"/>
      <c r="DV65" s="1525"/>
      <c r="DW65" s="1525"/>
      <c r="DX65" s="1525"/>
    </row>
    <row r="66" spans="1:128" ht="18.75" customHeight="1">
      <c r="A66" s="1497"/>
      <c r="B66" s="1498" t="s">
        <v>626</v>
      </c>
      <c r="C66" s="1508" t="s">
        <v>585</v>
      </c>
      <c r="D66" s="1500" t="str">
        <f>IF($D$2=40.5,CW31,IF($D$2=41.5,CW32,IF($D$2=42.5,CW33,IF($D$2=43.5,CW34,IF($D$2=44.5,CW35,IF($D$2=45.5,CW36,IF($D$2=46.5,CW37,)))))))&amp;
IF($D$2=47.5,CW38,IF($D$2=48.5,CW39,IF($D$2=49.5,CW40,IF($D$2=50.5,CW41,IF($D$2=51.5,CW42,IF($D$2=52.5,CW43,IF($D$2=53.5,CW44,)))))))&amp;
IF($D$2=54.5,CW45,IF($D$2=55.5,CW46,IF($D$2=56.5,CW47,IF($D$2=57.5,CW48,IF($D$2=15.5,CW6,IF($D$2=16.5,CW7,IF($D$2=17.5,CW8,)))))))&amp;
IF($D$2=18.5,CW9,IF($D$2=19.5,CW10,IF($D$2=20.5,CW11,IF($D$2=21.5,CW12,IF($D$2=22.5,CW13,IF($D$2=23.5,CW14,IF($D$2=24.5,CW15,)))))))&amp;IF($D$2=25.5,CW16,IF($D$2=26.5,CW17,IF($D$2=39.5,CW30,)))&amp;IF($D$2=31.5,CW22,IF($D$2=32.5,CW23,IF($D$2=33.5,CW24,IF($D$2=34.5,CW25,IF($D$2=35.5,CW26,IF($D$2=36.5,CW27,IF($D$2=37.5,CW28,IF($C$2=38.5,CW29,))))))))&amp;IF($D$2=27.5,CW18,IF($D$2=28.5,CW19,IF($D$2=29.5,CW20,IF($D$2=30.5,CW21,))))</f>
        <v>38.66</v>
      </c>
      <c r="E66" s="1500" t="str">
        <f>IF($D$2=40.5,CX31,IF($D$2=41.5,CX32,IF($D$2=42.5,CX33,IF($D$2=43.5,CX34,IF($D$2=44.5,CX35,IF($D$2=45.5,CX36,IF($D$2=46.5,CX37,)))))))&amp;
IF($D$2=47.5,CX38,IF($D$2=48.5,CX39,IF($D$2=49.5,CX40,IF($D$2=50.5,CX41,IF($D$2=51.5,CX42,IF($D$2=52.5,CX43,IF($D$2=53.5,CX44,)))))))&amp;
IF($D$2=54.5,CX45,IF($D$2=55.5,CX46,IF($D$2=56.5,CX47,IF($D$2=57.5,CX48,IF($D$2=15.5,CX6,IF($D$2=16.5,CX7,IF($D$2=17.5,CX8,)))))))&amp;
IF($D$2=18.5,CX9,IF($D$2=19.5,CX10,IF($D$2=20.5,CX11,IF($D$2=21.5,CX12,IF($D$2=22.5,CX13,IF($D$2=23.5,CX14,IF($D$2=24.5,CX15,)))))))&amp;IF($D$2=25.5,CX16,IF($D$2=26.5,CX17,IF($D$2=39.5,CX30,)))&amp;IF($D$2=31.5,CX22,IF($D$2=32.5,CX23,IF($D$2=33.5,CX24,IF($D$2=34.5,CX25,IF($D$2=35.5,CX26,IF($D$2=36.5,CX27,IF($D$2=37.5,CX28,IF($C$2=38.5,CX29,))))))))&amp;IF($D$2=27.5,CX18,IF($D$2=28.5,CX19,IF($D$2=29.5,CX20,IF($D$2=30.5,CX21,))))</f>
        <v>11.03</v>
      </c>
      <c r="F66" s="1501">
        <f t="shared" si="6"/>
        <v>13.7875</v>
      </c>
      <c r="G66" s="1501">
        <f t="shared" si="10"/>
        <v>49.69</v>
      </c>
      <c r="H66" s="1501">
        <f t="shared" si="11"/>
        <v>52.447499999999998</v>
      </c>
      <c r="I66" s="1367"/>
      <c r="J66" s="1367"/>
      <c r="K66" s="1367"/>
      <c r="L66" s="1526"/>
      <c r="M66" s="1526"/>
      <c r="N66" s="1526"/>
      <c r="O66" s="1527"/>
      <c r="P66" s="1527"/>
      <c r="Q66" s="1527"/>
      <c r="R66" s="1527"/>
      <c r="S66" s="1527"/>
      <c r="T66" s="1527"/>
      <c r="U66" s="1527"/>
      <c r="V66" s="1527"/>
      <c r="W66" s="1527"/>
      <c r="X66" s="1527"/>
      <c r="Y66" s="1527"/>
      <c r="Z66" s="1527"/>
      <c r="AA66" s="1527"/>
      <c r="AB66" s="1527"/>
      <c r="AC66" s="1527"/>
      <c r="AD66" s="1527"/>
      <c r="AE66" s="1527"/>
      <c r="AF66" s="1527"/>
      <c r="AG66" s="1527"/>
      <c r="AH66" s="1527"/>
      <c r="AI66" s="1525"/>
      <c r="AJ66" s="1525"/>
      <c r="AK66" s="1525"/>
      <c r="AL66" s="1525"/>
      <c r="AM66" s="1527"/>
      <c r="AN66" s="1527"/>
      <c r="AO66" s="1527"/>
      <c r="AP66" s="1527"/>
      <c r="AQ66" s="1527"/>
      <c r="AR66" s="1527"/>
      <c r="AS66" s="1527"/>
      <c r="AT66" s="1527"/>
      <c r="AU66" s="1527"/>
      <c r="AV66" s="1527"/>
      <c r="AW66" s="1527"/>
      <c r="AX66" s="1527"/>
      <c r="AY66" s="1525"/>
      <c r="AZ66" s="1525"/>
      <c r="BA66" s="1528"/>
      <c r="BB66" s="1528"/>
      <c r="BC66" s="1527"/>
      <c r="BD66" s="1527"/>
      <c r="BE66" s="1527"/>
      <c r="BF66" s="1527"/>
      <c r="BG66" s="1527"/>
      <c r="BH66" s="1527"/>
      <c r="BI66" s="1527"/>
      <c r="BJ66" s="1527"/>
      <c r="BK66" s="1527"/>
      <c r="BL66" s="1527"/>
      <c r="BM66" s="1527"/>
      <c r="BN66" s="1527"/>
      <c r="BO66" s="1527"/>
      <c r="BP66" s="1527"/>
      <c r="BQ66" s="1527"/>
      <c r="BR66" s="1528"/>
      <c r="BS66" s="1527"/>
      <c r="BT66" s="1527"/>
      <c r="BU66" s="1527"/>
      <c r="BV66" s="1527"/>
      <c r="BW66" s="1527"/>
      <c r="BX66" s="1527"/>
      <c r="BY66" s="1527"/>
      <c r="BZ66" s="1527"/>
      <c r="CA66" s="1527"/>
      <c r="CB66" s="1527"/>
      <c r="CC66" s="1527"/>
      <c r="CD66" s="1527"/>
      <c r="CE66" s="1527"/>
      <c r="CF66" s="1527"/>
      <c r="CG66" s="1525"/>
      <c r="CH66" s="1525"/>
      <c r="CI66" s="1525"/>
      <c r="CJ66" s="1525"/>
      <c r="CK66" s="1525"/>
      <c r="CL66" s="1525"/>
      <c r="CM66" s="1525"/>
      <c r="CN66" s="1525"/>
      <c r="CO66" s="1525"/>
      <c r="CP66" s="1525"/>
      <c r="CQ66" s="1525"/>
      <c r="CR66" s="1525"/>
      <c r="CS66" s="1525"/>
      <c r="CT66" s="1525"/>
      <c r="CU66" s="1525"/>
      <c r="CV66" s="1525"/>
      <c r="CW66" s="1525"/>
      <c r="CX66" s="1525"/>
      <c r="CY66" s="1525"/>
      <c r="CZ66" s="1525"/>
      <c r="DA66" s="1525"/>
      <c r="DB66" s="1525"/>
      <c r="DC66" s="1525"/>
      <c r="DD66" s="1525"/>
      <c r="DE66" s="1525"/>
      <c r="DF66" s="1525"/>
      <c r="DG66" s="1525"/>
      <c r="DH66" s="1525"/>
      <c r="DI66" s="1525"/>
      <c r="DJ66" s="1525"/>
      <c r="DK66" s="1525"/>
      <c r="DL66" s="1525"/>
      <c r="DM66" s="1525"/>
      <c r="DN66" s="1525"/>
      <c r="DO66" s="1525"/>
      <c r="DP66" s="1525"/>
      <c r="DQ66" s="1525"/>
      <c r="DR66" s="1525"/>
      <c r="DS66" s="1525"/>
      <c r="DT66" s="1525"/>
      <c r="DU66" s="1525"/>
      <c r="DV66" s="1525"/>
      <c r="DW66" s="1525"/>
      <c r="DX66" s="1525"/>
    </row>
    <row r="67" spans="1:128" ht="18.75" customHeight="1">
      <c r="A67" s="1497"/>
      <c r="B67" s="1498" t="s">
        <v>125</v>
      </c>
      <c r="C67" s="1508" t="s">
        <v>585</v>
      </c>
      <c r="D67" s="1500" t="str">
        <f>IF($D$2=40.5,CY31,IF($D$2=41.5,CY32,IF($D$2=42.5,CY33,IF($D$2=43.5,CY34,IF($D$2=44.5,CY35,IF($D$2=45.5,CY36,IF($D$2=46.5,CY37,)))))))&amp;
IF($D$2=47.5,CY38,IF($D$2=48.5,CY39,IF($D$2=49.5,CY40,IF($D$2=50.5,CY41,IF($D$2=51.5,CY42,IF($D$2=52.5,CY43,IF($D$2=53.5,CY44,)))))))&amp;
IF($D$2=54.5,CY45,IF($D$2=55.5,CY46,IF($D$2=56.5,CY47,IF($D$2=57.5,CY48,IF($D$2=15.5,CY6,IF($D$2=16.5,CY7,IF($D$2=17.5,CY8,)))))))&amp;
IF($D$2=18.5,CY9,IF($D$2=19.5,CY10,IF($D$2=20.5,CY11,IF($D$2=21.5,CY12,IF($D$2=22.5,CY13,IF($D$2=23.5,CY14,IF($D$2=24.5,CY15,)))))))&amp;IF($D$2=25.5,CY16,IF($D$2=26.5,CY17,IF($D$2=39.5,CY30,)))&amp;IF($D$2=31.5,CY22,IF($D$2=32.5,CY23,IF($D$2=33.5,CY24,IF($D$2=34.5,CY25,IF($D$2=35.5,CY26,IF($D$2=36.5,CY27,IF($D$2=37.5,CY28,IF($C$2=38.5,CY29,))))))))&amp;IF($D$2=27.5,CY18,IF($D$2=28.5,CY19,IF($D$2=29.5,CY20,IF($D$2=30.5,CY21,))))</f>
        <v>45.13</v>
      </c>
      <c r="E67" s="1500" t="str">
        <f>IF($D$2=40.5,CZ31,IF($D$2=41.5,CZ32,IF($D$2=42.5,CZ33,IF($D$2=43.5,CZ34,IF($D$2=44.5,CZ35,IF($D$2=45.5,CZ36,IF($D$2=46.5,CZ37,)))))))&amp;
IF($D$2=47.5,CZ38,IF($D$2=48.5,CZ39,IF($D$2=49.5,CZ40,IF($D$2=50.5,CZ41,IF($D$2=51.5,CZ42,IF($D$2=52.5,CZ43,IF($D$2=53.5,CZ44,)))))))&amp;
IF($D$2=54.5,CZ45,IF($D$2=55.5,CZ46,IF($D$2=56.5,CZ47,IF($D$2=57.5,CZ48,IF($D$2=15.5,CZ6,IF($D$2=16.5,CZ7,IF($D$2=17.5,CZ8,)))))))&amp;
IF($D$2=18.5,CZ9,IF($D$2=19.5,CZ10,IF($D$2=20.5,CZ11,IF($D$2=21.5,CZ12,IF($D$2=22.5,CZ13,IF($D$2=23.5,CZ14,IF($D$2=24.5,CZ15,)))))))&amp;IF($D$2=25.5,CZ16,IF($D$2=26.5,CZ17,IF($D$2=39.5,CZ30,)))&amp;IF($D$2=31.5,CZ22,IF($D$2=32.5,CZ23,IF($D$2=33.5,CZ24,IF($D$2=34.5,CZ25,IF($D$2=35.5,CZ26,IF($D$2=36.5,CZ27,IF($D$2=37.5,CZ28,IF($C$2=38.5,CZ29,))))))))&amp;IF($D$2=27.5,CZ18,IF($D$2=28.5,CZ19,IF($D$2=29.5,CZ20,IF($D$2=30.5,CZ21,))))</f>
        <v>5.29</v>
      </c>
      <c r="F67" s="1501">
        <f t="shared" si="6"/>
        <v>6.6124999999999998</v>
      </c>
      <c r="G67" s="1501">
        <f t="shared" si="10"/>
        <v>50.42</v>
      </c>
      <c r="H67" s="1501">
        <f t="shared" si="11"/>
        <v>51.7425</v>
      </c>
      <c r="I67" s="1367"/>
      <c r="J67" s="1367"/>
      <c r="K67" s="1367"/>
      <c r="L67" s="1526"/>
      <c r="M67" s="1526"/>
      <c r="N67" s="1526"/>
      <c r="O67" s="1527"/>
      <c r="P67" s="1527"/>
      <c r="Q67" s="1527"/>
      <c r="R67" s="1527"/>
      <c r="S67" s="1527"/>
      <c r="T67" s="1527"/>
      <c r="U67" s="1527"/>
      <c r="V67" s="1527"/>
      <c r="W67" s="1527"/>
      <c r="X67" s="1527"/>
      <c r="Y67" s="1527"/>
      <c r="Z67" s="1527"/>
      <c r="AA67" s="1527"/>
      <c r="AB67" s="1527"/>
      <c r="AC67" s="1527"/>
      <c r="AD67" s="1527"/>
      <c r="AE67" s="1527"/>
      <c r="AF67" s="1527"/>
      <c r="AG67" s="1527"/>
      <c r="AH67" s="1527"/>
      <c r="AI67" s="1525"/>
      <c r="AJ67" s="1525"/>
      <c r="AK67" s="1525"/>
      <c r="AL67" s="1525"/>
      <c r="AM67" s="1527"/>
      <c r="AN67" s="1527"/>
      <c r="AO67" s="1527"/>
      <c r="AP67" s="1527"/>
      <c r="AQ67" s="1527"/>
      <c r="AR67" s="1527"/>
      <c r="AS67" s="1527"/>
      <c r="AT67" s="1527"/>
      <c r="AU67" s="1527"/>
      <c r="AV67" s="1527"/>
      <c r="AW67" s="1527"/>
      <c r="AX67" s="1527"/>
      <c r="AY67" s="1525"/>
      <c r="AZ67" s="1525"/>
      <c r="BA67" s="1528"/>
      <c r="BB67" s="1528"/>
      <c r="BC67" s="1527"/>
      <c r="BD67" s="1527"/>
      <c r="BE67" s="1527"/>
      <c r="BF67" s="1527"/>
      <c r="BG67" s="1527"/>
      <c r="BH67" s="1527"/>
      <c r="BI67" s="1527"/>
      <c r="BJ67" s="1527"/>
      <c r="BK67" s="1527"/>
      <c r="BL67" s="1527"/>
      <c r="BM67" s="1527"/>
      <c r="BN67" s="1527"/>
      <c r="BO67" s="1527"/>
      <c r="BP67" s="1527"/>
      <c r="BQ67" s="1527"/>
      <c r="BR67" s="1528"/>
      <c r="BS67" s="1527"/>
      <c r="BT67" s="1527"/>
      <c r="BU67" s="1527"/>
      <c r="BV67" s="1527"/>
      <c r="BW67" s="1527"/>
      <c r="BX67" s="1527"/>
      <c r="BY67" s="1527"/>
      <c r="BZ67" s="1527"/>
      <c r="CA67" s="1527"/>
      <c r="CB67" s="1527"/>
      <c r="CC67" s="1527"/>
      <c r="CD67" s="1527"/>
      <c r="CE67" s="1527"/>
      <c r="CF67" s="1527"/>
      <c r="CG67" s="1525"/>
      <c r="CH67" s="1525"/>
      <c r="CI67" s="1525"/>
      <c r="CJ67" s="1525"/>
      <c r="CK67" s="1525"/>
      <c r="CL67" s="1525"/>
      <c r="CM67" s="1525"/>
      <c r="CN67" s="1525"/>
      <c r="CO67" s="1525"/>
      <c r="CP67" s="1525"/>
      <c r="CQ67" s="1525"/>
      <c r="CR67" s="1525"/>
      <c r="CS67" s="1525"/>
      <c r="CT67" s="1525"/>
      <c r="CU67" s="1525"/>
      <c r="CV67" s="1525"/>
      <c r="CW67" s="1525"/>
      <c r="CX67" s="1525"/>
      <c r="CY67" s="1525"/>
      <c r="CZ67" s="1525"/>
      <c r="DA67" s="1525"/>
      <c r="DB67" s="1525"/>
      <c r="DC67" s="1525"/>
      <c r="DD67" s="1525"/>
      <c r="DE67" s="1525"/>
      <c r="DF67" s="1525"/>
      <c r="DG67" s="1525"/>
      <c r="DH67" s="1525"/>
      <c r="DI67" s="1525"/>
      <c r="DJ67" s="1525"/>
      <c r="DK67" s="1525"/>
      <c r="DL67" s="1525"/>
      <c r="DM67" s="1525"/>
      <c r="DN67" s="1525"/>
      <c r="DO67" s="1525"/>
      <c r="DP67" s="1525"/>
      <c r="DQ67" s="1525"/>
      <c r="DR67" s="1525"/>
      <c r="DS67" s="1525"/>
      <c r="DT67" s="1525"/>
      <c r="DU67" s="1525"/>
      <c r="DV67" s="1525"/>
      <c r="DW67" s="1525"/>
      <c r="DX67" s="1525"/>
    </row>
    <row r="68" spans="1:128" ht="18.75" customHeight="1">
      <c r="A68" s="1497">
        <v>16</v>
      </c>
      <c r="B68" s="1498" t="s">
        <v>605</v>
      </c>
      <c r="C68" s="1508"/>
      <c r="D68" s="1509"/>
      <c r="E68" s="1509"/>
      <c r="F68" s="1501"/>
      <c r="G68" s="1501"/>
      <c r="H68" s="1501"/>
      <c r="I68" s="1367"/>
      <c r="J68" s="1367"/>
      <c r="K68" s="1367"/>
      <c r="L68" s="1526"/>
      <c r="M68" s="1526"/>
      <c r="N68" s="1526"/>
      <c r="O68" s="1527"/>
      <c r="P68" s="1527"/>
      <c r="Q68" s="1527"/>
      <c r="R68" s="1527"/>
      <c r="S68" s="1527"/>
      <c r="T68" s="1527"/>
      <c r="U68" s="1527"/>
      <c r="V68" s="1527"/>
      <c r="W68" s="1527"/>
      <c r="X68" s="1527"/>
      <c r="Y68" s="1527"/>
      <c r="Z68" s="1527"/>
      <c r="AA68" s="1527"/>
      <c r="AB68" s="1527"/>
      <c r="AC68" s="1527"/>
      <c r="AD68" s="1527"/>
      <c r="AE68" s="1527"/>
      <c r="AF68" s="1527"/>
      <c r="AG68" s="1527"/>
      <c r="AH68" s="1527"/>
      <c r="AI68" s="1525"/>
      <c r="AJ68" s="1525"/>
      <c r="AK68" s="1525"/>
      <c r="AL68" s="1525"/>
      <c r="AM68" s="1527"/>
      <c r="AN68" s="1527"/>
      <c r="AO68" s="1527"/>
      <c r="AP68" s="1527"/>
      <c r="AQ68" s="1527"/>
      <c r="AR68" s="1527"/>
      <c r="AS68" s="1527"/>
      <c r="AT68" s="1527"/>
      <c r="AU68" s="1527"/>
      <c r="AV68" s="1527"/>
      <c r="AW68" s="1527"/>
      <c r="AX68" s="1527"/>
      <c r="AY68" s="1525"/>
      <c r="AZ68" s="1525"/>
      <c r="BA68" s="1528"/>
      <c r="BB68" s="1528"/>
      <c r="BC68" s="1527"/>
      <c r="BD68" s="1527"/>
      <c r="BE68" s="1527"/>
      <c r="BF68" s="1527"/>
      <c r="BG68" s="1527"/>
      <c r="BH68" s="1527"/>
      <c r="BI68" s="1526"/>
      <c r="BJ68" s="1526"/>
      <c r="BK68" s="1526"/>
      <c r="BL68" s="1526"/>
      <c r="BM68" s="1526"/>
      <c r="BN68" s="1526"/>
      <c r="BO68" s="1526"/>
      <c r="BP68" s="1526"/>
      <c r="BQ68" s="1526"/>
      <c r="BR68" s="1526"/>
      <c r="BS68" s="1526"/>
      <c r="BT68" s="1526"/>
      <c r="BU68" s="1526"/>
      <c r="BV68" s="1526"/>
      <c r="BW68" s="1526"/>
      <c r="BX68" s="1526"/>
      <c r="BY68" s="1526"/>
      <c r="BZ68" s="1526"/>
      <c r="CA68" s="1526"/>
      <c r="CB68" s="1526"/>
      <c r="CC68" s="1526"/>
      <c r="CD68" s="1526"/>
      <c r="CE68" s="1526"/>
      <c r="CF68" s="1526"/>
      <c r="CG68" s="1526"/>
      <c r="CH68" s="1526"/>
      <c r="CI68" s="1526"/>
      <c r="CJ68" s="1526"/>
      <c r="CK68" s="1526"/>
      <c r="CL68" s="1526"/>
      <c r="CM68" s="1526"/>
      <c r="CN68" s="1526"/>
      <c r="CO68" s="1526"/>
      <c r="CP68" s="1526"/>
      <c r="CQ68" s="1526"/>
      <c r="CR68" s="1526"/>
      <c r="CS68" s="1526"/>
      <c r="CT68" s="1526"/>
      <c r="CU68" s="1526"/>
      <c r="CV68" s="1526"/>
      <c r="CW68" s="1526"/>
      <c r="CX68" s="1526"/>
      <c r="CY68" s="1526"/>
      <c r="CZ68" s="1526"/>
      <c r="DA68" s="1526"/>
      <c r="DB68" s="1526"/>
      <c r="DC68" s="1526"/>
      <c r="DD68" s="1526"/>
      <c r="DE68" s="1526"/>
      <c r="DF68" s="1526"/>
      <c r="DG68" s="1526"/>
      <c r="DH68" s="1526"/>
      <c r="DI68" s="1526"/>
      <c r="DJ68" s="1526"/>
      <c r="DK68" s="1526"/>
      <c r="DL68" s="1526"/>
      <c r="DM68" s="1526"/>
      <c r="DN68" s="1526"/>
      <c r="DO68" s="1526"/>
      <c r="DP68" s="1526"/>
      <c r="DQ68" s="1526"/>
      <c r="DR68" s="1526"/>
      <c r="DS68" s="1526"/>
      <c r="DT68" s="1526"/>
      <c r="DU68" s="1526"/>
      <c r="DV68" s="1526"/>
      <c r="DW68" s="1526"/>
      <c r="DX68" s="1526"/>
    </row>
    <row r="69" spans="1:128" ht="18.75" customHeight="1">
      <c r="A69" s="1497"/>
      <c r="B69" s="1498" t="s">
        <v>606</v>
      </c>
      <c r="C69" s="1508" t="s">
        <v>890</v>
      </c>
      <c r="D69" s="1500" t="str">
        <f>IF($D$2=40.5,DA31,IF($D$2=41.5,DA32,IF($D$2=42.5,DA33,IF($D$2=43.5,DA34,IF($D$2=44.5,DA35,IF($D$2=45.5,DA36,IF($D$2=46.5,DA37,)))))))&amp;
IF($D$2=47.5,DA38,IF($D$2=48.5,DA39,IF($D$2=49.5,DA40,IF($D$2=50.5,DA41,IF($D$2=51.5,DA42,IF($D$2=52.5,DA43,IF($D$2=53.5,DA44,)))))))&amp;
IF($D$2=54.5,DA45,IF($D$2=55.5,DA46,IF($D$2=56.5,DA47,IF($D$2=57.5,DA48,IF($D$2=15.5,DA6,IF($D$2=16.5,DA7,IF($D$2=17.5,DA8,)))))))&amp;
IF($D$2=18.5,DA9,IF($D$2=19.5,DA10,IF($D$2=20.5,DA11,IF($D$2=21.5,DA12,IF($D$2=22.5,DA13,IF($D$2=23.5,DA14,IF($D$2=24.5,DA15,)))))))&amp;IF($D$2=25.5,DA16,IF($D$2=26.5,DA17,IF($D$2=39.5,DA30,)))&amp;IF($D$2=31.5,DA22,IF($D$2=32.5,DA23,IF($D$2=33.5,DA24,IF($D$2=34.5,DA25,IF($D$2=35.5,DA26,IF($D$2=36.5,DA27,IF($D$2=37.5,DA28,IF($C$2=38.5,DA29,))))))))&amp;IF($D$2=27.5,DA18,IF($D$2=28.5,DA19,IF($D$2=29.5,DA20,IF($D$2=30.5,DA21,))))</f>
        <v>23.74</v>
      </c>
      <c r="E69" s="1500" t="str">
        <f>IF($D$2=40.5,DB31,IF($D$2=41.5,DB32,IF($D$2=42.5,DB33,IF($D$2=43.5,DB34,IF($D$2=44.5,DB35,IF($D$2=45.5,DB36,IF($D$2=46.5,DB37,)))))))&amp;
IF($D$2=47.5,DB38,IF($D$2=48.5,DB39,IF($D$2=49.5,DB40,IF($D$2=50.5,DB41,IF($D$2=51.5,DB42,IF($D$2=52.5,DB43,IF($D$2=53.5,DB44,)))))))&amp;
IF($D$2=54.5,DB45,IF($D$2=55.5,DB46,IF($D$2=56.5,DB47,IF($D$2=57.5,DB48,IF($D$2=15.5,DB6,IF($D$2=16.5,DB7,IF($D$2=17.5,DB8,)))))))&amp;
IF($D$2=18.5,DB9,IF($D$2=19.5,DB10,IF($D$2=20.5,DB11,IF($D$2=21.5,DB12,IF($D$2=22.5,DB13,IF($D$2=23.5,DB14,IF($D$2=24.5,DB15,)))))))&amp;IF($D$2=25.5,DB16,IF($D$2=26.5,DB17,IF($D$2=39.5,DB30,)))&amp;IF($D$2=31.5,DB22,IF($D$2=32.5,DB23,IF($D$2=33.5,DB24,IF($D$2=34.5,DB25,IF($D$2=35.5,DB26,IF($D$2=36.5,DB27,IF($D$2=37.5,DB28,IF($C$2=38.5,DB29,))))))))&amp;IF($D$2=27.5,DB18,IF($D$2=28.5,DB19,IF($D$2=29.5,DB20,IF($D$2=30.5,DB21,))))</f>
        <v>5.92</v>
      </c>
      <c r="F69" s="1501">
        <f t="shared" si="6"/>
        <v>7.4</v>
      </c>
      <c r="G69" s="1501">
        <f t="shared" si="10"/>
        <v>29.659999999999997</v>
      </c>
      <c r="H69" s="1501">
        <f t="shared" si="11"/>
        <v>31.14</v>
      </c>
      <c r="I69" s="1367"/>
      <c r="J69" s="1367"/>
      <c r="K69" s="1367"/>
      <c r="L69" s="1526"/>
      <c r="M69" s="1526"/>
      <c r="N69" s="1526"/>
      <c r="O69" s="1527"/>
      <c r="P69" s="1527"/>
      <c r="Q69" s="1527"/>
      <c r="R69" s="1527"/>
      <c r="S69" s="1527"/>
      <c r="T69" s="1527"/>
      <c r="U69" s="1527"/>
      <c r="V69" s="1527"/>
      <c r="W69" s="1527"/>
      <c r="X69" s="1527"/>
      <c r="Y69" s="1527"/>
      <c r="Z69" s="1527"/>
      <c r="AA69" s="1527"/>
      <c r="AB69" s="1527"/>
      <c r="AC69" s="1527"/>
      <c r="AD69" s="1527"/>
      <c r="AE69" s="1527"/>
      <c r="AF69" s="1527"/>
      <c r="AG69" s="1527"/>
      <c r="AH69" s="1527"/>
      <c r="AI69" s="1525"/>
      <c r="AJ69" s="1525"/>
      <c r="AK69" s="1525"/>
      <c r="AL69" s="1525"/>
      <c r="AM69" s="1527"/>
      <c r="AN69" s="1527"/>
      <c r="AO69" s="1527"/>
      <c r="AP69" s="1527"/>
      <c r="AQ69" s="1527"/>
      <c r="AR69" s="1527"/>
      <c r="AS69" s="1527"/>
      <c r="AT69" s="1527"/>
      <c r="AU69" s="1527"/>
      <c r="AV69" s="1527"/>
      <c r="AW69" s="1527"/>
      <c r="AX69" s="1527"/>
      <c r="AY69" s="1525"/>
      <c r="AZ69" s="1525"/>
      <c r="BA69" s="1528"/>
      <c r="BB69" s="1528"/>
      <c r="BC69" s="1527"/>
      <c r="BD69" s="1527"/>
      <c r="BE69" s="1527"/>
      <c r="BF69" s="1527"/>
      <c r="BG69" s="1527"/>
      <c r="BH69" s="1527"/>
      <c r="BI69" s="1526"/>
      <c r="BJ69" s="1526"/>
      <c r="BK69" s="1526"/>
      <c r="BL69" s="1526"/>
      <c r="BM69" s="1526"/>
      <c r="BN69" s="1526"/>
      <c r="BO69" s="1526"/>
      <c r="BP69" s="1526"/>
      <c r="BQ69" s="1526"/>
      <c r="BR69" s="1526"/>
      <c r="BS69" s="1526"/>
      <c r="BT69" s="1526"/>
      <c r="BU69" s="1526"/>
      <c r="BV69" s="1526"/>
      <c r="BW69" s="1526"/>
      <c r="BX69" s="1526"/>
      <c r="BY69" s="1526"/>
      <c r="BZ69" s="1526"/>
      <c r="CA69" s="1526"/>
      <c r="CB69" s="1526"/>
      <c r="CC69" s="1526"/>
      <c r="CD69" s="1526"/>
      <c r="CE69" s="1526"/>
      <c r="CF69" s="1526"/>
      <c r="CG69" s="1526"/>
      <c r="CH69" s="1526"/>
      <c r="CI69" s="1526"/>
      <c r="CJ69" s="1526"/>
      <c r="CK69" s="1526"/>
      <c r="CL69" s="1526"/>
      <c r="CM69" s="1526"/>
      <c r="CN69" s="1526"/>
      <c r="CO69" s="1526"/>
      <c r="CP69" s="1526"/>
      <c r="CQ69" s="1526"/>
      <c r="CR69" s="1526"/>
      <c r="CS69" s="1526"/>
      <c r="CT69" s="1526"/>
      <c r="CU69" s="1526"/>
      <c r="CV69" s="1526"/>
      <c r="CW69" s="1526"/>
      <c r="CX69" s="1526"/>
      <c r="CY69" s="1526"/>
      <c r="CZ69" s="1526"/>
      <c r="DA69" s="1526"/>
      <c r="DB69" s="1526"/>
      <c r="DC69" s="1526"/>
      <c r="DD69" s="1526"/>
      <c r="DE69" s="1526"/>
      <c r="DF69" s="1526"/>
      <c r="DG69" s="1526"/>
      <c r="DH69" s="1526"/>
      <c r="DI69" s="1526"/>
      <c r="DJ69" s="1526"/>
      <c r="DK69" s="1526"/>
      <c r="DL69" s="1526"/>
      <c r="DM69" s="1526"/>
      <c r="DN69" s="1526"/>
      <c r="DO69" s="1526"/>
      <c r="DP69" s="1526"/>
      <c r="DQ69" s="1526"/>
      <c r="DR69" s="1526"/>
      <c r="DS69" s="1526"/>
      <c r="DT69" s="1526"/>
      <c r="DU69" s="1526"/>
      <c r="DV69" s="1526"/>
      <c r="DW69" s="1526"/>
      <c r="DX69" s="1526"/>
    </row>
    <row r="70" spans="1:128" ht="18.75" customHeight="1">
      <c r="A70" s="1497"/>
      <c r="B70" s="1498" t="s">
        <v>607</v>
      </c>
      <c r="C70" s="1508" t="s">
        <v>890</v>
      </c>
      <c r="D70" s="1500" t="str">
        <f>IF($D$2=40.5,DC31,IF($D$2=41.5,DC32,IF($D$2=42.5,DC33,IF($D$2=43.5,DC34,IF($D$2=44.5,DC35,IF($D$2=45.5,DC36,IF($D$2=46.5,DC37,)))))))&amp;
IF($D$2=47.5,DC38,IF($D$2=48.5,DC39,IF($D$2=49.5,DC40,IF($D$2=50.5,DC41,IF($D$2=51.5,DC42,IF($D$2=52.5,DC43,IF($D$2=53.5,DC44,)))))))&amp;
IF($D$2=54.5,DC45,IF($D$2=55.5,DC46,IF($D$2=56.5,DC47,IF($D$2=57.5,DC48,IF($D$2=15.5,DC6,IF($D$2=16.5,DC7,IF($D$2=17.5,DC8,)))))))&amp;
IF($D$2=18.5,DC9,IF($D$2=19.5,DC10,IF($D$2=20.5,DC11,IF($D$2=21.5,DC12,IF($D$2=22.5,DC13,IF($D$2=23.5,DC14,IF($D$2=24.5,DC15,)))))))&amp;IF($D$2=25.5,DC16,IF($D$2=26.5,DC17,IF($D$2=39.5,DC30,)))&amp;IF($D$2=31.5,DC22,IF($D$2=32.5,DC23,IF($D$2=33.5,DC24,IF($D$2=34.5,DC25,IF($D$2=35.5,DC26,IF($D$2=36.5,DC27,IF($D$2=37.5,DC28,IF($C$2=38.5,DC29,))))))))&amp;IF($D$2=27.5,DC18,IF($D$2=28.5,DC19,IF($D$2=29.5,DC20,IF($D$2=30.5,DC21,))))</f>
        <v>29.67</v>
      </c>
      <c r="E70" s="1500" t="str">
        <f>IF($D$2=40.5,DD31,IF($D$2=41.5,DD32,IF($D$2=42.5,DD33,IF($D$2=43.5,DD34,IF($D$2=44.5,DD35,IF($D$2=45.5,DD36,IF($D$2=46.5,DD37,)))))))&amp;
IF($D$2=47.5,DD38,IF($D$2=48.5,DD39,IF($D$2=49.5,DD40,IF($D$2=50.5,DD41,IF($D$2=51.5,DD42,IF($D$2=52.5,DD43,IF($D$2=53.5,DD44,)))))))&amp;
IF($D$2=54.5,DD45,IF($D$2=55.5,DD46,IF($D$2=56.5,DD47,IF($D$2=57.5,DD48,IF($D$2=15.5,DD6,IF($D$2=16.5,DD7,IF($D$2=17.5,DD8,)))))))&amp;
IF($D$2=18.5,DD9,IF($D$2=19.5,DD10,IF($D$2=20.5,DD11,IF($D$2=21.5,DD12,IF($D$2=22.5,DD13,IF($D$2=23.5,DD14,IF($D$2=24.5,DD15,)))))))&amp;IF($D$2=25.5,DD16,IF($D$2=26.5,DD17,IF($D$2=39.5,DD30,)))&amp;IF($D$2=31.5,DD22,IF($D$2=32.5,DD23,IF($D$2=33.5,DD24,IF($D$2=34.5,DD25,IF($D$2=35.5,DD26,IF($D$2=36.5,DD27,IF($D$2=37.5,DD28,IF($C$2=38.5,DD29,))))))))&amp;IF($D$2=27.5,DD18,IF($D$2=28.5,DD19,IF($D$2=29.5,DD20,IF($D$2=30.5,DD21,))))</f>
        <v>7.39</v>
      </c>
      <c r="F70" s="1501">
        <f t="shared" si="6"/>
        <v>9.2374999999999989</v>
      </c>
      <c r="G70" s="1501">
        <f t="shared" si="10"/>
        <v>37.06</v>
      </c>
      <c r="H70" s="1501">
        <f t="shared" si="11"/>
        <v>38.907499999999999</v>
      </c>
      <c r="I70" s="1367"/>
      <c r="J70" s="1367"/>
      <c r="K70" s="1367"/>
      <c r="L70" s="1526"/>
      <c r="M70" s="1526"/>
      <c r="N70" s="1526"/>
      <c r="O70" s="1527"/>
      <c r="P70" s="1527"/>
      <c r="Q70" s="1527"/>
      <c r="R70" s="1527"/>
      <c r="S70" s="1527"/>
      <c r="T70" s="1527"/>
      <c r="U70" s="1527"/>
      <c r="V70" s="1527"/>
      <c r="W70" s="1527"/>
      <c r="X70" s="1527"/>
      <c r="Y70" s="1527"/>
      <c r="Z70" s="1527"/>
      <c r="AA70" s="1527"/>
      <c r="AB70" s="1527"/>
      <c r="AC70" s="1527"/>
      <c r="AD70" s="1527"/>
      <c r="AE70" s="1527"/>
      <c r="AF70" s="1527"/>
      <c r="AG70" s="1527"/>
      <c r="AH70" s="1527"/>
      <c r="AI70" s="1525"/>
      <c r="AJ70" s="1525"/>
      <c r="AK70" s="1525"/>
      <c r="AL70" s="1525"/>
      <c r="AM70" s="1527"/>
      <c r="AN70" s="1527"/>
      <c r="AO70" s="1527"/>
      <c r="AP70" s="1527"/>
      <c r="AQ70" s="1527"/>
      <c r="AR70" s="1527"/>
      <c r="AS70" s="1527"/>
      <c r="AT70" s="1527"/>
      <c r="AU70" s="1527"/>
      <c r="AV70" s="1527"/>
      <c r="AW70" s="1527"/>
      <c r="AX70" s="1527"/>
      <c r="AY70" s="1525"/>
      <c r="AZ70" s="1525"/>
      <c r="BA70" s="1528"/>
      <c r="BB70" s="1528"/>
      <c r="BC70" s="1527"/>
      <c r="BD70" s="1527"/>
      <c r="BE70" s="1527"/>
      <c r="BF70" s="1527"/>
      <c r="BG70" s="1527"/>
      <c r="BH70" s="1527"/>
      <c r="BI70" s="1526"/>
      <c r="BJ70" s="1526"/>
      <c r="BK70" s="1526"/>
      <c r="BL70" s="1526"/>
      <c r="BM70" s="1526"/>
      <c r="BN70" s="1526"/>
      <c r="BO70" s="1526"/>
      <c r="BP70" s="1526"/>
      <c r="BQ70" s="1526"/>
      <c r="BR70" s="1526"/>
      <c r="BS70" s="1526"/>
      <c r="BT70" s="1526"/>
      <c r="BU70" s="1526"/>
      <c r="BV70" s="1526"/>
      <c r="BW70" s="1526"/>
      <c r="BX70" s="1526"/>
      <c r="BY70" s="1526"/>
      <c r="BZ70" s="1526"/>
      <c r="CA70" s="1526"/>
      <c r="CB70" s="1526"/>
      <c r="CC70" s="1526"/>
      <c r="CD70" s="1526"/>
      <c r="CE70" s="1526"/>
      <c r="CF70" s="1526"/>
      <c r="CG70" s="1526"/>
      <c r="CH70" s="1526"/>
      <c r="CI70" s="1526"/>
      <c r="CJ70" s="1526"/>
      <c r="CK70" s="1526"/>
      <c r="CL70" s="1526"/>
      <c r="CM70" s="1526"/>
      <c r="CN70" s="1526"/>
      <c r="CO70" s="1526"/>
      <c r="CP70" s="1526"/>
      <c r="CQ70" s="1526"/>
      <c r="CR70" s="1526"/>
      <c r="CS70" s="1526"/>
      <c r="CT70" s="1526"/>
      <c r="CU70" s="1526"/>
      <c r="CV70" s="1526"/>
      <c r="CW70" s="1526"/>
      <c r="CX70" s="1526"/>
      <c r="CY70" s="1526"/>
      <c r="CZ70" s="1526"/>
      <c r="DA70" s="1526"/>
      <c r="DB70" s="1526"/>
      <c r="DC70" s="1526"/>
      <c r="DD70" s="1526"/>
      <c r="DE70" s="1526"/>
      <c r="DF70" s="1526"/>
      <c r="DG70" s="1526"/>
      <c r="DH70" s="1526"/>
      <c r="DI70" s="1526"/>
      <c r="DJ70" s="1526"/>
      <c r="DK70" s="1526"/>
      <c r="DL70" s="1526"/>
      <c r="DM70" s="1526"/>
      <c r="DN70" s="1526"/>
      <c r="DO70" s="1526"/>
      <c r="DP70" s="1526"/>
      <c r="DQ70" s="1526"/>
      <c r="DR70" s="1526"/>
      <c r="DS70" s="1526"/>
      <c r="DT70" s="1526"/>
      <c r="DU70" s="1526"/>
      <c r="DV70" s="1526"/>
      <c r="DW70" s="1526"/>
      <c r="DX70" s="1526"/>
    </row>
    <row r="71" spans="1:128" ht="18.75" customHeight="1">
      <c r="A71" s="1497"/>
      <c r="B71" s="1498" t="s">
        <v>608</v>
      </c>
      <c r="C71" s="1508" t="s">
        <v>890</v>
      </c>
      <c r="D71" s="1500" t="str">
        <f>IF($D$2=40.5,DE31,IF($D$2=41.5,DE32,IF($D$2=42.5,DE33,IF($D$2=43.5,DE34,IF($D$2=44.5,DE35,IF($D$2=45.5,DE36,IF($D$2=46.5,DE37,)))))))&amp;
IF($D$2=47.5,DE38,IF($D$2=48.5,DE39,IF($D$2=49.5,DE40,IF($D$2=50.5,DE41,IF($D$2=51.5,DE42,IF($D$2=52.5,DE43,IF($D$2=53.5,DE44,)))))))&amp;
IF($D$2=54.5,DE45,IF($D$2=55.5,DE46,IF($D$2=56.5,DE47,IF($D$2=57.5,DE48,IF($D$2=15.5,DE6,IF($D$2=16.5,DE7,IF($D$2=17.5,DE8,)))))))&amp;
IF($D$2=18.5,DE9,IF($D$2=19.5,DE10,IF($D$2=20.5,DE11,IF($D$2=21.5,DE12,IF($D$2=22.5,DE13,IF($D$2=23.5,DE14,IF($D$2=24.5,DE15,)))))))&amp;IF($D$2=25.5,DE16,IF($D$2=26.5,DE17,IF($D$2=39.5,DE30,)))&amp;IF($D$2=31.5,DE22,IF($D$2=32.5,DE23,IF($D$2=33.5,DE24,IF($D$2=34.5,DE25,IF($D$2=35.5,DE26,IF($D$2=36.5,DE27,IF($D$2=37.5,DE28,IF($C$2=38.5,DE29,))))))))&amp;IF($D$2=27.5,DE18,IF($D$2=28.5,DE19,IF($D$2=29.5,DE20,IF($D$2=30.5,DE21,))))</f>
        <v>39.57</v>
      </c>
      <c r="E71" s="1500" t="str">
        <f>IF($D$2=40.5,DF31,IF($D$2=41.5,DF32,IF($D$2=42.5,DF33,IF($D$2=43.5,DF34,IF($D$2=44.5,DF35,IF($D$2=45.5,DF36,IF($D$2=46.5,DF37,)))))))&amp;
IF($D$2=47.5,DF38,IF($D$2=48.5,DF39,IF($D$2=49.5,DF40,IF($D$2=50.5,DF41,IF($D$2=51.5,DF42,IF($D$2=52.5,DF43,IF($D$2=53.5,DF44,)))))))&amp;
IF($D$2=54.5,DF45,IF($D$2=55.5,DF46,IF($D$2=56.5,DF47,IF($D$2=57.5,DF48,IF($D$2=15.5,DF6,IF($D$2=16.5,DF7,IF($D$2=17.5,DF8,)))))))&amp;
IF($D$2=18.5,DF9,IF($D$2=19.5,DF10,IF($D$2=20.5,DF11,IF($D$2=21.5,DF12,IF($D$2=22.5,DF13,IF($D$2=23.5,DF14,IF($D$2=24.5,DF15,)))))))&amp;IF($D$2=25.5,DF16,IF($D$2=26.5,DF17,IF($D$2=39.5,DF30,)))&amp;IF($D$2=31.5,DF22,IF($D$2=32.5,DF23,IF($D$2=33.5,DF24,IF($D$2=34.5,DF25,IF($D$2=35.5,DF26,IF($D$2=36.5,DF27,IF($D$2=37.5,DF28,IF($C$2=38.5,DF29,))))))))&amp;IF($D$2=27.5,DF18,IF($D$2=28.5,DF19,IF($D$2=29.5,DF20,IF($D$2=30.5,DF21,))))</f>
        <v>9.86</v>
      </c>
      <c r="F71" s="1501">
        <f t="shared" si="6"/>
        <v>12.324999999999999</v>
      </c>
      <c r="G71" s="1501">
        <f t="shared" si="10"/>
        <v>49.43</v>
      </c>
      <c r="H71" s="1501">
        <f t="shared" si="11"/>
        <v>51.894999999999996</v>
      </c>
      <c r="I71" s="1367"/>
      <c r="J71" s="1367"/>
      <c r="K71" s="1367"/>
      <c r="L71" s="1526"/>
      <c r="M71" s="1526"/>
      <c r="N71" s="1526"/>
      <c r="O71" s="1526"/>
      <c r="P71" s="1526"/>
      <c r="Q71" s="1526"/>
      <c r="R71" s="1526"/>
      <c r="S71" s="1526"/>
      <c r="T71" s="1526"/>
      <c r="U71" s="1526"/>
      <c r="V71" s="1526"/>
      <c r="W71" s="1526"/>
      <c r="X71" s="1526"/>
      <c r="Y71" s="1526"/>
      <c r="Z71" s="1526"/>
      <c r="AA71" s="1526"/>
      <c r="AB71" s="1526"/>
      <c r="AC71" s="1526"/>
      <c r="AD71" s="1526"/>
      <c r="AE71" s="1526"/>
      <c r="AF71" s="1526"/>
      <c r="AG71" s="1526"/>
      <c r="AH71" s="1526"/>
      <c r="AI71" s="1526"/>
      <c r="AJ71" s="1526"/>
      <c r="AK71" s="1526"/>
      <c r="AL71" s="1526"/>
      <c r="AM71" s="1526"/>
      <c r="AN71" s="1526"/>
      <c r="AO71" s="1526"/>
      <c r="AP71" s="1526"/>
      <c r="AQ71" s="1526"/>
      <c r="AR71" s="1526"/>
      <c r="AS71" s="1526"/>
      <c r="AT71" s="1526"/>
      <c r="AU71" s="1526"/>
      <c r="AV71" s="1526"/>
      <c r="AW71" s="1526"/>
      <c r="AX71" s="1526"/>
      <c r="AY71" s="1526"/>
      <c r="AZ71" s="1526"/>
      <c r="BA71" s="1526"/>
      <c r="BB71" s="1526"/>
      <c r="BC71" s="1526"/>
      <c r="BD71" s="1526"/>
      <c r="BE71" s="1526"/>
      <c r="BF71" s="1526"/>
      <c r="BG71" s="1526"/>
      <c r="BH71" s="1526"/>
      <c r="BI71" s="1526"/>
      <c r="BJ71" s="1526"/>
      <c r="BK71" s="1526"/>
      <c r="BL71" s="1526"/>
      <c r="BM71" s="1526"/>
      <c r="BN71" s="1526"/>
      <c r="BO71" s="1526"/>
      <c r="BP71" s="1526"/>
      <c r="BQ71" s="1526"/>
      <c r="BR71" s="1526"/>
      <c r="BS71" s="1526"/>
      <c r="BT71" s="1526"/>
      <c r="BU71" s="1526"/>
      <c r="BV71" s="1526"/>
      <c r="BW71" s="1526"/>
      <c r="BX71" s="1526"/>
      <c r="BY71" s="1526"/>
      <c r="BZ71" s="1526"/>
      <c r="CA71" s="1526"/>
      <c r="CB71" s="1526"/>
      <c r="CC71" s="1526"/>
      <c r="CD71" s="1526"/>
      <c r="CE71" s="1526"/>
      <c r="CF71" s="1526"/>
      <c r="CG71" s="1526"/>
      <c r="CH71" s="1526"/>
      <c r="CI71" s="1526"/>
      <c r="CJ71" s="1526"/>
      <c r="CK71" s="1526"/>
      <c r="CL71" s="1526"/>
      <c r="CM71" s="1526"/>
      <c r="CN71" s="1526"/>
      <c r="CO71" s="1526"/>
      <c r="CP71" s="1526"/>
      <c r="CQ71" s="1526"/>
      <c r="CR71" s="1526"/>
      <c r="CS71" s="1526"/>
      <c r="CT71" s="1526"/>
      <c r="CU71" s="1526"/>
      <c r="CV71" s="1526"/>
      <c r="CW71" s="1526"/>
      <c r="CX71" s="1526"/>
      <c r="CY71" s="1526"/>
      <c r="CZ71" s="1526"/>
      <c r="DA71" s="1526"/>
      <c r="DB71" s="1526"/>
      <c r="DC71" s="1526"/>
      <c r="DD71" s="1526"/>
      <c r="DE71" s="1526"/>
      <c r="DF71" s="1526"/>
      <c r="DG71" s="1526"/>
      <c r="DH71" s="1526"/>
      <c r="DI71" s="1526"/>
      <c r="DJ71" s="1526"/>
      <c r="DK71" s="1526"/>
      <c r="DL71" s="1526"/>
      <c r="DM71" s="1526"/>
      <c r="DN71" s="1526"/>
      <c r="DO71" s="1526"/>
      <c r="DP71" s="1526"/>
      <c r="DQ71" s="1526"/>
      <c r="DR71" s="1526"/>
      <c r="DS71" s="1526"/>
      <c r="DT71" s="1526"/>
      <c r="DU71" s="1526"/>
      <c r="DV71" s="1526"/>
      <c r="DW71" s="1526"/>
      <c r="DX71" s="1526"/>
    </row>
    <row r="72" spans="1:128" ht="18.75" customHeight="1">
      <c r="A72" s="1497">
        <v>17</v>
      </c>
      <c r="B72" s="1498" t="s">
        <v>219</v>
      </c>
      <c r="C72" s="1508" t="s">
        <v>890</v>
      </c>
      <c r="D72" s="1500" t="str">
        <f>IF($D$2=40.5,DI31,IF($D$2=41.5,DI32,IF($D$2=42.5,DI33,IF($D$2=43.5,DI34,IF($D$2=44.5,DI35,IF($D$2=45.5,DI36,IF($D$2=46.5,DI37,)))))))&amp;
IF($D$2=47.5,DI38,IF($D$2=48.5,DI39,IF($D$2=49.5,DI40,IF($D$2=50.5,DI41,IF($D$2=51.5,DI42,IF($D$2=52.5,DI43,IF($D$2=53.5,DI44,)))))))&amp;
IF($D$2=54.5,DI45,IF($D$2=55.5,DI46,IF($D$2=56.5,DI47,IF($D$2=57.5,DI48,IF($D$2=15.5,DI6,IF($D$2=16.5,DI7,IF($D$2=17.5,DI8,)))))))&amp;
IF($D$2=18.5,DI9,IF($D$2=19.5,DI10,IF($D$2=20.5,DI11,IF($D$2=21.5,DI12,IF($D$2=22.5,DI13,IF($D$2=23.5,DI14,IF($D$2=24.5,DI15,)))))))&amp;IF($D$2=25.5,DI16,IF($D$2=26.5,DI17,IF($D$2=39.5,DI30,)))&amp;IF($D$2=31.5,DI22,IF($D$2=32.5,DI23,IF($D$2=33.5,DI24,IF($D$2=34.5,DI25,IF($D$2=35.5,DI26,IF($D$2=36.5,DI27,IF($D$2=37.5,DI28,IF($C$2=38.5,DI29,))))))))&amp;IF($D$2=27.5,DI18,IF($D$2=28.5,DI19,IF($D$2=29.5,DI20,IF($D$2=30.5,DI21,))))</f>
        <v>11.31</v>
      </c>
      <c r="E72" s="1500" t="str">
        <f>IF($D$2=40.5,DJ31,IF($D$2=41.5,DJ32,IF($D$2=42.5,DJ33,IF($D$2=43.5,DJ34,IF($D$2=44.5,DJ35,IF($D$2=45.5,DJ36,IF($D$2=46.5,DJ37,)))))))&amp;
IF($D$2=47.5,DJ38,IF($D$2=48.5,DJ39,IF($D$2=49.5,DJ40,IF($D$2=50.5,DJ41,IF($D$2=51.5,DJ42,IF($D$2=52.5,DJ43,IF($D$2=53.5,DJ44,)))))))&amp;
IF($D$2=54.5,DJ45,IF($D$2=55.5,DJ46,IF($D$2=56.5,DJ47,IF($D$2=57.5,DJ48,IF($D$2=15.5,DJ6,IF($D$2=16.5,DJ7,IF($D$2=17.5,DJ8,)))))))&amp;
IF($D$2=18.5,DJ9,IF($D$2=19.5,DJ10,IF($D$2=20.5,DJ11,IF($D$2=21.5,DJ12,IF($D$2=22.5,DJ13,IF($D$2=23.5,DJ14,IF($D$2=24.5,DJ15,)))))))&amp;IF($D$2=25.5,DJ16,IF($D$2=26.5,DJ17,IF($D$2=39.5,DJ30,)))&amp;IF($D$2=31.5,DJ22,IF($D$2=32.5,DJ23,IF($D$2=33.5,DJ24,IF($D$2=34.5,DJ25,IF($D$2=35.5,DJ26,IF($D$2=36.5,DJ27,IF($D$2=37.5,DJ28,IF($C$2=38.5,DJ29,))))))))&amp;IF($D$2=27.5,DJ18,IF($D$2=28.5,DJ19,IF($D$2=29.5,DJ20,IF($D$2=30.5,DJ21,))))</f>
        <v>2.07</v>
      </c>
      <c r="F72" s="1501">
        <f t="shared" si="6"/>
        <v>2.5874999999999999</v>
      </c>
      <c r="G72" s="1501">
        <f t="shared" si="10"/>
        <v>13.38</v>
      </c>
      <c r="H72" s="1501">
        <f t="shared" si="11"/>
        <v>13.897500000000001</v>
      </c>
      <c r="I72" s="1367"/>
      <c r="J72" s="1367"/>
      <c r="K72" s="1367"/>
      <c r="L72" s="1526"/>
      <c r="M72" s="1526"/>
      <c r="N72" s="1526"/>
      <c r="O72" s="1526"/>
      <c r="P72" s="1526"/>
      <c r="Q72" s="1526"/>
      <c r="R72" s="1526"/>
      <c r="S72" s="1526"/>
      <c r="T72" s="1526"/>
      <c r="U72" s="1526"/>
      <c r="V72" s="1526"/>
      <c r="W72" s="1526"/>
      <c r="X72" s="1526"/>
      <c r="Y72" s="1526"/>
      <c r="Z72" s="1526"/>
      <c r="AA72" s="1526"/>
      <c r="AB72" s="1526"/>
      <c r="AC72" s="1526"/>
      <c r="AD72" s="1526"/>
      <c r="AE72" s="1526"/>
      <c r="AF72" s="1526"/>
      <c r="AG72" s="1526"/>
      <c r="AH72" s="1526"/>
      <c r="AI72" s="1526"/>
      <c r="AJ72" s="1526"/>
      <c r="AK72" s="1526"/>
      <c r="AL72" s="1526"/>
      <c r="AM72" s="1526"/>
      <c r="AN72" s="1526"/>
      <c r="AO72" s="1526"/>
      <c r="AP72" s="1526"/>
      <c r="AQ72" s="1526"/>
      <c r="AR72" s="1526"/>
      <c r="AS72" s="1526"/>
      <c r="AT72" s="1526"/>
      <c r="AU72" s="1526"/>
      <c r="AV72" s="1526"/>
      <c r="AW72" s="1526"/>
      <c r="AX72" s="1526"/>
      <c r="AY72" s="1526"/>
      <c r="AZ72" s="1526"/>
      <c r="BA72" s="1526"/>
      <c r="BB72" s="1526"/>
      <c r="BC72" s="1526"/>
      <c r="BD72" s="1526"/>
      <c r="BE72" s="1526"/>
      <c r="BF72" s="1526"/>
      <c r="BG72" s="1526"/>
      <c r="BH72" s="1526"/>
      <c r="BI72" s="1526"/>
      <c r="BJ72" s="1526"/>
      <c r="BK72" s="1526"/>
      <c r="BL72" s="1526"/>
      <c r="BM72" s="1526"/>
      <c r="BN72" s="1526"/>
      <c r="BO72" s="1526"/>
      <c r="BP72" s="1526"/>
      <c r="BQ72" s="1526"/>
      <c r="BR72" s="1526"/>
      <c r="BS72" s="1526"/>
      <c r="BT72" s="1526"/>
      <c r="BU72" s="1526"/>
      <c r="BV72" s="1526"/>
      <c r="BW72" s="1526"/>
      <c r="BX72" s="1526"/>
      <c r="BY72" s="1526"/>
      <c r="BZ72" s="1526"/>
      <c r="CA72" s="1526"/>
      <c r="CB72" s="1526"/>
      <c r="CC72" s="1526"/>
      <c r="CD72" s="1526"/>
      <c r="CE72" s="1526"/>
      <c r="CF72" s="1526"/>
      <c r="CG72" s="1526"/>
      <c r="CH72" s="1526"/>
      <c r="CI72" s="1526"/>
      <c r="CJ72" s="1526"/>
      <c r="CK72" s="1526"/>
      <c r="CL72" s="1526"/>
      <c r="CM72" s="1526"/>
      <c r="CN72" s="1526"/>
      <c r="CO72" s="1526"/>
      <c r="CP72" s="1526"/>
      <c r="CQ72" s="1526"/>
      <c r="CR72" s="1526"/>
      <c r="CS72" s="1526"/>
      <c r="CT72" s="1526"/>
      <c r="CU72" s="1526"/>
      <c r="CV72" s="1526"/>
      <c r="CW72" s="1526"/>
      <c r="CX72" s="1526"/>
      <c r="CY72" s="1526"/>
      <c r="CZ72" s="1526"/>
      <c r="DA72" s="1526"/>
      <c r="DB72" s="1526"/>
      <c r="DC72" s="1526"/>
      <c r="DD72" s="1526"/>
      <c r="DE72" s="1526"/>
      <c r="DF72" s="1526"/>
      <c r="DG72" s="1526"/>
      <c r="DH72" s="1526"/>
      <c r="DI72" s="1526"/>
      <c r="DJ72" s="1526"/>
      <c r="DK72" s="1526"/>
      <c r="DL72" s="1526"/>
      <c r="DM72" s="1526"/>
      <c r="DN72" s="1526"/>
      <c r="DO72" s="1526"/>
      <c r="DP72" s="1526"/>
      <c r="DQ72" s="1526"/>
      <c r="DR72" s="1526"/>
      <c r="DS72" s="1526"/>
      <c r="DT72" s="1526"/>
      <c r="DU72" s="1526"/>
      <c r="DV72" s="1526"/>
      <c r="DW72" s="1526"/>
      <c r="DX72" s="1526"/>
    </row>
    <row r="73" spans="1:128" ht="18.75" customHeight="1">
      <c r="A73" s="1497">
        <v>18</v>
      </c>
      <c r="B73" s="1498" t="s">
        <v>220</v>
      </c>
      <c r="C73" s="1508" t="s">
        <v>890</v>
      </c>
      <c r="D73" s="1500" t="str">
        <f>IF($D$2=40.5,DK31,IF($D$2=41.5,DK32,IF($D$2=42.5,DK33,IF($D$2=43.5,DK34,IF($D$2=44.5,DK35,IF($D$2=45.5,DK36,IF($D$2=46.5,DK37,)))))))&amp;
IF($D$2=47.5,DK38,IF($D$2=48.5,DK39,IF($D$2=49.5,DK40,IF($D$2=50.5,DK41,IF($D$2=51.5,DK42,IF($D$2=52.5,DK43,IF($D$2=53.5,DK44,)))))))&amp;
IF($D$2=54.5,DK45,IF($D$2=55.5,DK46,IF($D$2=56.5,DK47,IF($D$2=57.5,DK48,IF($D$2=15.5,DK6,IF($D$2=16.5,DK7,IF($D$2=17.5,DK8,)))))))&amp;
IF($D$2=18.5,DK9,IF($D$2=19.5,DK10,IF($D$2=20.5,DK11,IF($D$2=21.5,DK12,IF($D$2=22.5,DK13,IF($D$2=23.5,DK14,IF($D$2=24.5,DK15,)))))))&amp;IF($D$2=25.5,DK16,IF($D$2=26.5,DK17,IF($D$2=39.5,DK30,)))&amp;IF($D$2=31.5,DK22,IF($D$2=32.5,DK23,IF($D$2=33.5,DK24,IF($D$2=34.5,DK25,IF($D$2=35.5,DK26,IF($D$2=36.5,DK27,IF($D$2=37.5,DK28,IF($C$2=38.5,DK29,))))))))&amp;IF($D$2=27.5,DK18,IF($D$2=28.5,DK19,IF($D$2=29.5,DK20,IF($D$2=30.5,DK21,))))</f>
        <v>2.62</v>
      </c>
      <c r="E73" s="1500" t="str">
        <f>IF($D$2=40.5,DL31,IF($D$2=41.5,DL32,IF($D$2=42.5,DL33,IF($D$2=43.5,DL34,IF($D$2=44.5,DL35,IF($D$2=45.5,DL36,IF($D$2=46.5,DL37,)))))))&amp;
IF($D$2=47.5,DL38,IF($D$2=48.5,DL39,IF($D$2=49.5,DL40,IF($D$2=50.5,DL41,IF($D$2=51.5,DL42,IF($D$2=52.5,DL43,IF($D$2=53.5,DL44,)))))))&amp;
IF($D$2=54.5,DL45,IF($D$2=55.5,DL46,IF($D$2=56.5,DL47,IF($D$2=57.5,DL48,IF($D$2=15.5,DL6,IF($D$2=16.5,DL7,IF($D$2=17.5,DL8,)))))))&amp;
IF($D$2=18.5,DL9,IF($D$2=19.5,DL10,IF($D$2=20.5,DL11,IF($D$2=21.5,DL12,IF($D$2=22.5,DL13,IF($D$2=23.5,DL14,IF($D$2=24.5,DL15,)))))))&amp;IF($D$2=25.5,DL16,IF($D$2=26.5,DL17,IF($D$2=39.5,DL30,)))&amp;IF($D$2=31.5,DL22,IF($D$2=32.5,DL23,IF($D$2=33.5,DL24,IF($D$2=34.5,DL25,IF($D$2=35.5,DL26,IF($D$2=36.5,DL27,IF($D$2=37.5,DL28,IF($C$2=38.5,DL29,))))))))&amp;IF($D$2=27.5,DL18,IF($D$2=28.5,DL19,IF($D$2=29.5,DL20,IF($D$2=30.5,DL21,))))</f>
        <v>0.39</v>
      </c>
      <c r="F73" s="1501">
        <f t="shared" si="6"/>
        <v>0.48750000000000004</v>
      </c>
      <c r="G73" s="1501">
        <f t="shared" si="10"/>
        <v>3.0100000000000002</v>
      </c>
      <c r="H73" s="1501">
        <f t="shared" si="11"/>
        <v>3.1074999999999999</v>
      </c>
      <c r="I73" s="1367"/>
      <c r="J73" s="1367"/>
      <c r="K73" s="1367"/>
      <c r="L73" s="1526"/>
      <c r="M73" s="1526"/>
      <c r="N73" s="1526"/>
      <c r="O73" s="1526"/>
      <c r="P73" s="1526"/>
      <c r="Q73" s="1526"/>
      <c r="R73" s="1526"/>
      <c r="S73" s="1526"/>
      <c r="T73" s="1526"/>
      <c r="U73" s="1526"/>
      <c r="V73" s="1526"/>
      <c r="W73" s="1526"/>
      <c r="X73" s="1526"/>
      <c r="Y73" s="1526"/>
      <c r="Z73" s="1526"/>
      <c r="AA73" s="1526"/>
      <c r="AB73" s="1526"/>
      <c r="AC73" s="1526"/>
      <c r="AD73" s="1526"/>
      <c r="AE73" s="1526"/>
      <c r="AF73" s="1526"/>
      <c r="AG73" s="1526"/>
      <c r="AH73" s="1526"/>
      <c r="AI73" s="1526"/>
      <c r="AJ73" s="1526"/>
      <c r="AK73" s="1526"/>
      <c r="AL73" s="1526"/>
      <c r="AM73" s="1526"/>
      <c r="AN73" s="1526"/>
      <c r="AO73" s="1526"/>
      <c r="AP73" s="1526"/>
      <c r="AQ73" s="1526"/>
      <c r="AR73" s="1526"/>
      <c r="AS73" s="1526"/>
      <c r="AT73" s="1526"/>
      <c r="AU73" s="1526"/>
      <c r="AV73" s="1526"/>
      <c r="AW73" s="1526"/>
      <c r="AX73" s="1526"/>
      <c r="AY73" s="1526"/>
      <c r="AZ73" s="1526"/>
      <c r="BA73" s="1526"/>
      <c r="BB73" s="1526"/>
      <c r="BC73" s="1526"/>
      <c r="BD73" s="1526"/>
      <c r="BE73" s="1526"/>
      <c r="BF73" s="1526"/>
      <c r="BG73" s="1526"/>
      <c r="BH73" s="1526"/>
      <c r="BI73" s="1526"/>
      <c r="BJ73" s="1526"/>
      <c r="BK73" s="1526"/>
      <c r="BL73" s="1526"/>
      <c r="BM73" s="1526"/>
      <c r="BN73" s="1526"/>
      <c r="BO73" s="1526"/>
      <c r="BP73" s="1526"/>
      <c r="BQ73" s="1526"/>
      <c r="BR73" s="1526"/>
      <c r="BS73" s="1526"/>
      <c r="BT73" s="1526"/>
      <c r="BU73" s="1526"/>
      <c r="BV73" s="1526"/>
      <c r="BW73" s="1526"/>
      <c r="BX73" s="1526"/>
      <c r="BY73" s="1526"/>
      <c r="BZ73" s="1526"/>
      <c r="CA73" s="1526"/>
      <c r="CB73" s="1526"/>
      <c r="CC73" s="1526"/>
      <c r="CD73" s="1526"/>
      <c r="CE73" s="1526"/>
      <c r="CF73" s="1526"/>
      <c r="CG73" s="1526"/>
      <c r="CH73" s="1526"/>
      <c r="CI73" s="1526"/>
      <c r="CJ73" s="1526"/>
      <c r="CK73" s="1526"/>
      <c r="CL73" s="1526"/>
      <c r="CM73" s="1526"/>
      <c r="CN73" s="1526"/>
      <c r="CO73" s="1526"/>
      <c r="CP73" s="1526"/>
      <c r="CQ73" s="1526"/>
      <c r="CR73" s="1526"/>
      <c r="CS73" s="1526"/>
      <c r="CT73" s="1526"/>
      <c r="CU73" s="1526"/>
      <c r="CV73" s="1526"/>
      <c r="CW73" s="1526"/>
      <c r="CX73" s="1526"/>
      <c r="CY73" s="1526"/>
      <c r="CZ73" s="1526"/>
      <c r="DA73" s="1526"/>
      <c r="DB73" s="1526"/>
      <c r="DC73" s="1526"/>
      <c r="DD73" s="1526"/>
      <c r="DE73" s="1526"/>
      <c r="DF73" s="1526"/>
      <c r="DG73" s="1526"/>
      <c r="DH73" s="1526"/>
      <c r="DI73" s="1526"/>
      <c r="DJ73" s="1526"/>
      <c r="DK73" s="1526"/>
      <c r="DL73" s="1526"/>
      <c r="DM73" s="1526"/>
      <c r="DN73" s="1526"/>
      <c r="DO73" s="1526"/>
      <c r="DP73" s="1526"/>
      <c r="DQ73" s="1526"/>
      <c r="DR73" s="1526"/>
      <c r="DS73" s="1526"/>
      <c r="DT73" s="1526"/>
      <c r="DU73" s="1526"/>
      <c r="DV73" s="1526"/>
      <c r="DW73" s="1526"/>
      <c r="DX73" s="1526"/>
    </row>
    <row r="74" spans="1:128" ht="18.75" customHeight="1">
      <c r="A74" s="1497">
        <v>19</v>
      </c>
      <c r="B74" s="1498" t="s">
        <v>221</v>
      </c>
      <c r="C74" s="1508"/>
      <c r="D74" s="1509"/>
      <c r="E74" s="1509"/>
      <c r="F74" s="1501"/>
      <c r="G74" s="1501"/>
      <c r="H74" s="1501"/>
      <c r="I74" s="1367"/>
      <c r="J74" s="1367"/>
      <c r="K74" s="1367"/>
      <c r="L74" s="1526"/>
      <c r="M74" s="1526"/>
      <c r="N74" s="1526"/>
      <c r="O74" s="1526"/>
      <c r="P74" s="1526"/>
      <c r="Q74" s="1526"/>
      <c r="R74" s="1526"/>
      <c r="S74" s="1526"/>
      <c r="T74" s="1526"/>
      <c r="U74" s="1526"/>
      <c r="V74" s="1526"/>
      <c r="W74" s="1526"/>
      <c r="X74" s="1526"/>
      <c r="Y74" s="1526"/>
      <c r="Z74" s="1526"/>
      <c r="AA74" s="1526"/>
      <c r="AB74" s="1526"/>
      <c r="AC74" s="1526"/>
      <c r="AD74" s="1526"/>
      <c r="AE74" s="1526"/>
      <c r="AF74" s="1526"/>
      <c r="AG74" s="1526"/>
      <c r="AH74" s="1526"/>
      <c r="AI74" s="1526"/>
      <c r="AJ74" s="1526"/>
      <c r="AK74" s="1526"/>
      <c r="AL74" s="1526"/>
      <c r="AM74" s="1526"/>
      <c r="AN74" s="1526"/>
      <c r="AO74" s="1526"/>
      <c r="AP74" s="1526"/>
      <c r="AQ74" s="1526"/>
      <c r="AR74" s="1526"/>
      <c r="AS74" s="1526"/>
      <c r="AT74" s="1526"/>
      <c r="AU74" s="1526"/>
      <c r="AV74" s="1526"/>
      <c r="AW74" s="1526"/>
      <c r="AX74" s="1526"/>
      <c r="AY74" s="1526"/>
      <c r="AZ74" s="1526"/>
      <c r="BA74" s="1526"/>
      <c r="BB74" s="1526"/>
      <c r="BC74" s="1526"/>
      <c r="BD74" s="1526"/>
      <c r="BE74" s="1526"/>
      <c r="BF74" s="1526"/>
      <c r="BG74" s="1526"/>
      <c r="BH74" s="1526"/>
      <c r="BI74" s="1526"/>
      <c r="BJ74" s="1526"/>
      <c r="BK74" s="1526"/>
      <c r="BL74" s="1526"/>
      <c r="BM74" s="1526"/>
      <c r="BN74" s="1526"/>
      <c r="BO74" s="1526"/>
      <c r="BP74" s="1526"/>
      <c r="BQ74" s="1526"/>
      <c r="BR74" s="1526"/>
      <c r="BS74" s="1526"/>
      <c r="BT74" s="1526"/>
      <c r="BU74" s="1526"/>
      <c r="BV74" s="1526"/>
      <c r="BW74" s="1526"/>
      <c r="BX74" s="1526"/>
      <c r="BY74" s="1526"/>
      <c r="BZ74" s="1526"/>
      <c r="CA74" s="1526"/>
      <c r="CB74" s="1526"/>
      <c r="CC74" s="1526"/>
      <c r="CD74" s="1526"/>
      <c r="CE74" s="1526"/>
      <c r="CF74" s="1526"/>
      <c r="CG74" s="1526"/>
      <c r="CH74" s="1526"/>
      <c r="CI74" s="1526"/>
      <c r="CJ74" s="1526"/>
      <c r="CK74" s="1526"/>
      <c r="CL74" s="1526"/>
      <c r="CM74" s="1526"/>
      <c r="CN74" s="1526"/>
      <c r="CO74" s="1526"/>
      <c r="CP74" s="1526"/>
      <c r="CQ74" s="1526"/>
      <c r="CR74" s="1526"/>
      <c r="CS74" s="1526"/>
      <c r="CT74" s="1526"/>
      <c r="CU74" s="1526"/>
      <c r="CV74" s="1526"/>
      <c r="CW74" s="1526"/>
      <c r="CX74" s="1526"/>
      <c r="CY74" s="1526"/>
      <c r="CZ74" s="1526"/>
      <c r="DA74" s="1526"/>
      <c r="DB74" s="1526"/>
      <c r="DC74" s="1526"/>
      <c r="DD74" s="1526"/>
      <c r="DE74" s="1526"/>
      <c r="DF74" s="1526"/>
      <c r="DG74" s="1526"/>
      <c r="DH74" s="1526"/>
      <c r="DI74" s="1526"/>
      <c r="DJ74" s="1526"/>
      <c r="DK74" s="1526"/>
      <c r="DL74" s="1526"/>
      <c r="DM74" s="1526"/>
      <c r="DN74" s="1526"/>
      <c r="DO74" s="1526"/>
      <c r="DP74" s="1526"/>
      <c r="DQ74" s="1526"/>
      <c r="DR74" s="1526"/>
      <c r="DS74" s="1526"/>
      <c r="DT74" s="1526"/>
      <c r="DU74" s="1526"/>
      <c r="DV74" s="1526"/>
      <c r="DW74" s="1526"/>
      <c r="DX74" s="1526"/>
    </row>
    <row r="75" spans="1:128" ht="18.75" customHeight="1">
      <c r="A75" s="1497"/>
      <c r="B75" s="1498" t="s">
        <v>609</v>
      </c>
      <c r="C75" s="1508" t="s">
        <v>890</v>
      </c>
      <c r="D75" s="1500" t="str">
        <f>IF($D$2=40.5,DM31,IF($D$2=41.5,DM32,IF($D$2=42.5,DM33,IF($D$2=43.5,DM34,IF($D$2=44.5,DM35,IF($D$2=45.5,DM36,IF($D$2=46.5,DM37,)))))))&amp;
IF($D$2=47.5,DM38,IF($D$2=48.5,DM39,IF($D$2=49.5,DM40,IF($D$2=50.5,DM41,IF($D$2=51.5,DM42,IF($D$2=52.5,DM43,IF($D$2=53.5,DM44,)))))))&amp;
IF($D$2=54.5,DM45,IF($D$2=55.5,DM46,IF($D$2=56.5,DM47,IF($D$2=57.5,DM48,IF($D$2=15.5,DM6,IF($D$2=16.5,DM7,IF($D$2=17.5,DM8,)))))))&amp;
IF($D$2=18.5,DM9,IF($D$2=19.5,DM10,IF($D$2=20.5,DM11,IF($D$2=21.5,DM12,IF($D$2=22.5,DM13,IF($D$2=23.5,DM14,IF($D$2=24.5,DM15,)))))))&amp;IF($D$2=25.5,DM16,IF($D$2=26.5,DM17,IF($D$2=39.5,DM30,)))&amp;IF($D$2=31.5,DM22,IF($D$2=32.5,DM23,IF($D$2=33.5,DM24,IF($D$2=34.5,DM25,IF($D$2=35.5,DM26,IF($D$2=36.5,DM27,IF($D$2=37.5,DM28,IF($C$2=38.5,DM29,))))))))&amp;IF($D$2=27.5,DM18,IF($D$2=28.5,DM19,IF($D$2=29.5,DM20,IF($D$2=30.5,DM21,))))</f>
        <v>46.33</v>
      </c>
      <c r="E75" s="1500" t="str">
        <f>IF($D$2=40.5,DN31,IF($D$2=41.5,DN32,IF($D$2=42.5,DN33,IF($D$2=43.5,DN34,IF($D$2=44.5,DN35,IF($D$2=45.5,DN36,IF($D$2=46.5,DN37,)))))))&amp;
IF($D$2=47.5,DN38,IF($D$2=48.5,DN39,IF($D$2=49.5,DN40,IF($D$2=50.5,DN41,IF($D$2=51.5,DN42,IF($D$2=52.5,DN43,IF($D$2=53.5,DN44,)))))))&amp;
IF($D$2=54.5,DN45,IF($D$2=55.5,DN46,IF($D$2=56.5,DN47,IF($D$2=57.5,DN48,IF($D$2=15.5,DN6,IF($D$2=16.5,DN7,IF($D$2=17.5,DN8,)))))))&amp;
IF($D$2=18.5,DN9,IF($D$2=19.5,DN10,IF($D$2=20.5,DN11,IF($D$2=21.5,DN12,IF($D$2=22.5,DN13,IF($D$2=23.5,DN14,IF($D$2=24.5,DN15,)))))))&amp;IF($D$2=25.5,DN16,IF($D$2=26.5,DN17,IF($D$2=39.5,DN30,)))&amp;IF($D$2=31.5,DN22,IF($D$2=32.5,DN23,IF($D$2=33.5,DN24,IF($D$2=34.5,DN25,IF($D$2=35.5,DN26,IF($D$2=36.5,DN27,IF($D$2=37.5,DN28,IF($C$2=38.5,DN29,))))))))&amp;IF($D$2=27.5,DN18,IF($D$2=28.5,DN19,IF($D$2=29.5,DN20,IF($D$2=30.5,DN21,))))</f>
        <v>5.86</v>
      </c>
      <c r="F75" s="1501">
        <f t="shared" si="6"/>
        <v>7.3250000000000002</v>
      </c>
      <c r="G75" s="1501">
        <f t="shared" si="10"/>
        <v>52.19</v>
      </c>
      <c r="H75" s="1501">
        <f t="shared" si="11"/>
        <v>53.655000000000001</v>
      </c>
      <c r="I75" s="1367"/>
      <c r="J75" s="1367"/>
      <c r="K75" s="1367"/>
      <c r="L75" s="1526"/>
      <c r="M75" s="1526"/>
      <c r="N75" s="1526"/>
      <c r="O75" s="1526"/>
      <c r="P75" s="1526"/>
      <c r="Q75" s="1526"/>
      <c r="R75" s="1526"/>
      <c r="S75" s="1526"/>
      <c r="T75" s="1526"/>
      <c r="U75" s="1526"/>
      <c r="V75" s="1526"/>
      <c r="W75" s="1526"/>
      <c r="X75" s="1526"/>
      <c r="Y75" s="1526"/>
      <c r="Z75" s="1526"/>
      <c r="AA75" s="1526"/>
      <c r="AB75" s="1526"/>
      <c r="AC75" s="1526"/>
      <c r="AD75" s="1526"/>
      <c r="AE75" s="1526"/>
      <c r="AF75" s="1526"/>
      <c r="AG75" s="1526"/>
      <c r="AH75" s="1526"/>
      <c r="AI75" s="1526"/>
      <c r="AJ75" s="1526"/>
      <c r="AK75" s="1526"/>
      <c r="AL75" s="1526"/>
      <c r="AM75" s="1526"/>
      <c r="AN75" s="1526"/>
      <c r="AO75" s="1526"/>
      <c r="AP75" s="1526"/>
      <c r="AQ75" s="1526"/>
      <c r="AR75" s="1526"/>
      <c r="AS75" s="1526"/>
      <c r="AT75" s="1526"/>
      <c r="AU75" s="1526"/>
      <c r="AV75" s="1526"/>
      <c r="AW75" s="1526"/>
      <c r="AX75" s="1526"/>
      <c r="AY75" s="1526"/>
      <c r="AZ75" s="1526"/>
      <c r="BA75" s="1526"/>
      <c r="BB75" s="1526"/>
      <c r="BC75" s="1526"/>
      <c r="BD75" s="1526"/>
      <c r="BE75" s="1526"/>
      <c r="BF75" s="1526"/>
      <c r="BG75" s="1526"/>
      <c r="BH75" s="1526"/>
      <c r="BI75" s="1526"/>
      <c r="BJ75" s="1526"/>
      <c r="BK75" s="1526"/>
      <c r="BL75" s="1526"/>
      <c r="BM75" s="1526"/>
      <c r="BN75" s="1526"/>
      <c r="BO75" s="1526"/>
      <c r="BP75" s="1526"/>
      <c r="BQ75" s="1526"/>
      <c r="BR75" s="1526"/>
      <c r="BS75" s="1526"/>
      <c r="BT75" s="1526"/>
      <c r="BU75" s="1526"/>
      <c r="BV75" s="1526"/>
      <c r="BW75" s="1526"/>
      <c r="BX75" s="1526"/>
      <c r="BY75" s="1526"/>
      <c r="BZ75" s="1526"/>
      <c r="CA75" s="1526"/>
      <c r="CB75" s="1526"/>
      <c r="CC75" s="1526"/>
      <c r="CD75" s="1526"/>
      <c r="CE75" s="1526"/>
      <c r="CF75" s="1526"/>
      <c r="CG75" s="1526"/>
      <c r="CH75" s="1526"/>
      <c r="CI75" s="1526"/>
      <c r="CJ75" s="1526"/>
      <c r="CK75" s="1526"/>
      <c r="CL75" s="1526"/>
      <c r="CM75" s="1526"/>
      <c r="CN75" s="1526"/>
      <c r="CO75" s="1526"/>
      <c r="CP75" s="1526"/>
      <c r="CQ75" s="1526"/>
      <c r="CR75" s="1526"/>
      <c r="CS75" s="1526"/>
      <c r="CT75" s="1526"/>
      <c r="CU75" s="1526"/>
      <c r="CV75" s="1526"/>
      <c r="CW75" s="1526"/>
      <c r="CX75" s="1526"/>
      <c r="CY75" s="1526"/>
      <c r="CZ75" s="1526"/>
      <c r="DA75" s="1526"/>
      <c r="DB75" s="1526"/>
      <c r="DC75" s="1526"/>
      <c r="DD75" s="1526"/>
      <c r="DE75" s="1526"/>
      <c r="DF75" s="1526"/>
      <c r="DG75" s="1526"/>
      <c r="DH75" s="1526"/>
      <c r="DI75" s="1526"/>
      <c r="DJ75" s="1526"/>
      <c r="DK75" s="1526"/>
      <c r="DL75" s="1526"/>
      <c r="DM75" s="1526"/>
      <c r="DN75" s="1526"/>
      <c r="DO75" s="1526"/>
      <c r="DP75" s="1526"/>
      <c r="DQ75" s="1526"/>
      <c r="DR75" s="1526"/>
      <c r="DS75" s="1526"/>
      <c r="DT75" s="1526"/>
      <c r="DU75" s="1526"/>
      <c r="DV75" s="1526"/>
      <c r="DW75" s="1526"/>
      <c r="DX75" s="1526"/>
    </row>
    <row r="76" spans="1:128" ht="18.75" customHeight="1">
      <c r="A76" s="1497"/>
      <c r="B76" s="1498" t="s">
        <v>610</v>
      </c>
      <c r="C76" s="1508" t="s">
        <v>890</v>
      </c>
      <c r="D76" s="1500" t="str">
        <f>IF($D$2=40.5,DO31,IF($D$2=41.5,DO32,IF($D$2=42.5,DO33,IF($D$2=43.5,DO34,IF($D$2=44.5,DO35,IF($D$2=45.5,DO36,IF($D$2=46.5,DO37,)))))))&amp;
IF($D$2=47.5,DO38,IF($D$2=48.5,DO39,IF($D$2=49.5,DO40,IF($D$2=50.5,DO41,IF($D$2=51.5,DO42,IF($D$2=52.5,DO43,IF($D$2=53.5,DO44,)))))))&amp;
IF($D$2=54.5,DO45,IF($D$2=55.5,DO46,IF($D$2=56.5,DO47,IF($D$2=57.5,DO48,IF($D$2=15.5,DO6,IF($D$2=16.5,DO7,IF($D$2=17.5,DO8,)))))))&amp;
IF($D$2=18.5,DO9,IF($D$2=19.5,DO10,IF($D$2=20.5,DO11,IF($D$2=21.5,DO12,IF($D$2=22.5,DO13,IF($D$2=23.5,DO14,IF($D$2=24.5,DO15,)))))))&amp;IF($D$2=25.5,DO16,IF($D$2=26.5,DO17,IF($D$2=39.5,DO30,)))&amp;IF($D$2=31.5,DO22,IF($D$2=32.5,DO23,IF($D$2=33.5,DO24,IF($D$2=34.5,DO25,IF($D$2=35.5,DO26,IF($D$2=36.5,DO27,IF($D$2=37.5,DO28,IF($C$2=38.5,DO29,))))))))&amp;IF($D$2=27.5,DO18,IF($D$2=28.5,DO19,IF($D$2=29.5,DO20,IF($D$2=30.5,DO21,))))</f>
        <v>62.85</v>
      </c>
      <c r="E76" s="1500" t="str">
        <f>IF($D$2=40.5,DP31,IF($D$2=41.5,DP32,IF($D$2=42.5,DP33,IF($D$2=43.5,DP34,IF($D$2=44.5,DP35,IF($D$2=45.5,DP36,IF($D$2=46.5,DP37,)))))))&amp;
IF($D$2=47.5,DP38,IF($D$2=48.5,DP39,IF($D$2=49.5,DP40,IF($D$2=50.5,DP41,IF($D$2=51.5,DP42,IF($D$2=52.5,DP43,IF($D$2=53.5,DP44,)))))))&amp;
IF($D$2=54.5,DP45,IF($D$2=55.5,DP46,IF($D$2=56.5,DP47,IF($D$2=57.5,DP48,IF($D$2=15.5,DP6,IF($D$2=16.5,DP7,IF($D$2=17.5,DP8,)))))))&amp;
IF($D$2=18.5,DP9,IF($D$2=19.5,DP10,IF($D$2=20.5,DP11,IF($D$2=21.5,DP12,IF($D$2=22.5,DP13,IF($D$2=23.5,DP14,IF($D$2=24.5,DP15,)))))))&amp;IF($D$2=25.5,DP16,IF($D$2=26.5,DP17,IF($D$2=39.5,DP30,)))&amp;IF($D$2=31.5,DP22,IF($D$2=32.5,DP23,IF($D$2=33.5,DP24,IF($D$2=34.5,DP25,IF($D$2=35.5,DP26,IF($D$2=36.5,DP27,IF($D$2=37.5,DP28,IF($C$2=38.5,DP29,))))))))&amp;IF($D$2=27.5,DP18,IF($D$2=28.5,DP19,IF($D$2=29.5,DP20,IF($D$2=30.5,DP21,))))</f>
        <v>7.39</v>
      </c>
      <c r="F76" s="1501">
        <f t="shared" si="6"/>
        <v>9.2374999999999989</v>
      </c>
      <c r="G76" s="1501">
        <f t="shared" si="10"/>
        <v>70.239999999999995</v>
      </c>
      <c r="H76" s="1501">
        <f t="shared" si="11"/>
        <v>72.087500000000006</v>
      </c>
      <c r="I76" s="1367"/>
      <c r="J76" s="1367"/>
      <c r="K76" s="1367"/>
      <c r="L76" s="1526"/>
      <c r="M76" s="1526"/>
      <c r="N76" s="1526"/>
      <c r="O76" s="1526"/>
      <c r="P76" s="1526"/>
      <c r="Q76" s="1526"/>
      <c r="R76" s="1526"/>
      <c r="S76" s="1526"/>
      <c r="T76" s="1526"/>
      <c r="U76" s="1526"/>
      <c r="V76" s="1526"/>
      <c r="W76" s="1526"/>
      <c r="X76" s="1526"/>
      <c r="Y76" s="1526"/>
      <c r="Z76" s="1526"/>
      <c r="AA76" s="1526"/>
      <c r="AB76" s="1526"/>
      <c r="AC76" s="1526"/>
      <c r="AD76" s="1526"/>
      <c r="AE76" s="1526"/>
      <c r="AF76" s="1526"/>
      <c r="AG76" s="1526"/>
      <c r="AH76" s="1526"/>
      <c r="AI76" s="1526"/>
      <c r="AJ76" s="1526"/>
      <c r="AK76" s="1526"/>
      <c r="AL76" s="1526"/>
      <c r="AM76" s="1526"/>
      <c r="AN76" s="1526"/>
      <c r="AO76" s="1526"/>
      <c r="AP76" s="1526"/>
      <c r="AQ76" s="1526"/>
      <c r="AR76" s="1526"/>
      <c r="AS76" s="1526"/>
      <c r="AT76" s="1526"/>
      <c r="AU76" s="1526"/>
      <c r="AV76" s="1526"/>
      <c r="AW76" s="1526"/>
      <c r="AX76" s="1526"/>
      <c r="AY76" s="1526"/>
      <c r="AZ76" s="1526"/>
      <c r="BA76" s="1526"/>
      <c r="BB76" s="1526"/>
      <c r="BC76" s="1526"/>
      <c r="BD76" s="1526"/>
      <c r="BE76" s="1526"/>
      <c r="BF76" s="1526"/>
      <c r="BG76" s="1526"/>
      <c r="BH76" s="1526"/>
      <c r="BI76" s="1526"/>
      <c r="BJ76" s="1526"/>
      <c r="BK76" s="1526"/>
      <c r="BL76" s="1526"/>
      <c r="BM76" s="1526"/>
      <c r="BN76" s="1526"/>
      <c r="BO76" s="1526"/>
      <c r="BP76" s="1526"/>
      <c r="BQ76" s="1526"/>
      <c r="BR76" s="1526"/>
      <c r="BS76" s="1526"/>
      <c r="BT76" s="1526"/>
      <c r="BU76" s="1526"/>
      <c r="BV76" s="1526"/>
      <c r="BW76" s="1526"/>
      <c r="BX76" s="1526"/>
      <c r="BY76" s="1526"/>
      <c r="BZ76" s="1526"/>
      <c r="CA76" s="1526"/>
      <c r="CB76" s="1526"/>
      <c r="CC76" s="1526"/>
      <c r="CD76" s="1526"/>
      <c r="CE76" s="1526"/>
      <c r="CF76" s="1526"/>
      <c r="CG76" s="1526"/>
      <c r="CH76" s="1526"/>
      <c r="CI76" s="1526"/>
      <c r="CJ76" s="1526"/>
      <c r="CK76" s="1526"/>
      <c r="CL76" s="1526"/>
      <c r="CM76" s="1526"/>
      <c r="CN76" s="1526"/>
      <c r="CO76" s="1526"/>
      <c r="CP76" s="1526"/>
      <c r="CQ76" s="1526"/>
      <c r="CR76" s="1526"/>
      <c r="CS76" s="1526"/>
      <c r="CT76" s="1526"/>
      <c r="CU76" s="1526"/>
      <c r="CV76" s="1526"/>
      <c r="CW76" s="1526"/>
      <c r="CX76" s="1526"/>
      <c r="CY76" s="1526"/>
      <c r="CZ76" s="1526"/>
      <c r="DA76" s="1526"/>
      <c r="DB76" s="1526"/>
      <c r="DC76" s="1526"/>
      <c r="DD76" s="1526"/>
      <c r="DE76" s="1526"/>
      <c r="DF76" s="1526"/>
      <c r="DG76" s="1526"/>
      <c r="DH76" s="1526"/>
      <c r="DI76" s="1526"/>
      <c r="DJ76" s="1526"/>
      <c r="DK76" s="1526"/>
      <c r="DL76" s="1526"/>
      <c r="DM76" s="1526"/>
      <c r="DN76" s="1526"/>
      <c r="DO76" s="1526"/>
      <c r="DP76" s="1526"/>
      <c r="DQ76" s="1526"/>
      <c r="DR76" s="1526"/>
      <c r="DS76" s="1526"/>
      <c r="DT76" s="1526"/>
      <c r="DU76" s="1526"/>
      <c r="DV76" s="1526"/>
      <c r="DW76" s="1526"/>
      <c r="DX76" s="1526"/>
    </row>
    <row r="77" spans="1:128" ht="18.75" customHeight="1">
      <c r="A77" s="1497"/>
      <c r="B77" s="1498" t="s">
        <v>611</v>
      </c>
      <c r="C77" s="1508" t="s">
        <v>890</v>
      </c>
      <c r="D77" s="1500" t="str">
        <f>IF($D$2=40.5,DQ31,IF($D$2=41.5,DQ32,IF($D$2=42.5,DQ33,IF($D$2=43.5,DQ34,IF($D$2=44.5,DQ35,IF($D$2=45.5,DQ36,IF($D$2=46.5,DQ37,)))))))&amp;
IF($D$2=47.5,DQ38,IF($D$2=48.5,DQ39,IF($D$2=49.5,DQ40,IF($D$2=50.5,DQ41,IF($D$2=51.5,DQ42,IF($D$2=52.5,DQ43,IF($D$2=53.5,DQ44,)))))))&amp;
IF($D$2=54.5,DQ45,IF($D$2=55.5,DQ46,IF($D$2=56.5,DQ47,IF($D$2=57.5,DQ48,IF($D$2=15.5,DQ6,IF($D$2=16.5,DQ7,IF($D$2=17.5,DQ8,)))))))&amp;
IF($D$2=18.5,DQ9,IF($D$2=19.5,DQ10,IF($D$2=20.5,DQ11,IF($D$2=21.5,DQ12,IF($D$2=22.5,DQ13,IF($D$2=23.5,DQ14,IF($D$2=24.5,DQ15,)))))))&amp;IF($D$2=25.5,DQ16,IF($D$2=26.5,DQ17,IF($D$2=39.5,DQ30,)))&amp;IF($D$2=31.5,DQ22,IF($D$2=32.5,DQ23,IF($D$2=33.5,DQ24,IF($D$2=34.5,DQ25,IF($D$2=35.5,DQ26,IF($D$2=36.5,DQ27,IF($D$2=37.5,DQ28,IF($C$2=38.5,DQ29,))))))))&amp;IF($D$2=27.5,DQ18,IF($D$2=28.5,DQ19,IF($D$2=29.5,DQ20,IF($D$2=30.5,DQ21,))))</f>
        <v>76.15</v>
      </c>
      <c r="E77" s="1500" t="str">
        <f>IF($D$2=40.5,DR31,IF($D$2=41.5,DR32,IF($D$2=42.5,DR33,IF($D$2=43.5,DR34,IF($D$2=44.5,DR35,IF($D$2=45.5,DR36,IF($D$2=46.5,DR37,)))))))&amp;
IF($D$2=47.5,DR38,IF($D$2=48.5,DR39,IF($D$2=49.5,DR40,IF($D$2=50.5,DR41,IF($D$2=51.5,DR42,IF($D$2=52.5,DR43,IF($D$2=53.5,DR44,)))))))&amp;
IF($D$2=54.5,DR45,IF($D$2=55.5,DR46,IF($D$2=56.5,DR47,IF($D$2=57.5,DR48,IF($D$2=15.5,DR6,IF($D$2=16.5,DR7,IF($D$2=17.5,DR8,)))))))&amp;
IF($D$2=18.5,DR9,IF($D$2=19.5,DR10,IF($D$2=20.5,DR11,IF($D$2=21.5,DR12,IF($D$2=22.5,DR13,IF($D$2=23.5,DR14,IF($D$2=24.5,DR15,)))))))&amp;IF($D$2=25.5,DR16,IF($D$2=26.5,DR17,IF($D$2=39.5,DR30,)))&amp;IF($D$2=31.5,DR22,IF($D$2=32.5,DR23,IF($D$2=33.5,DR24,IF($D$2=34.5,DR25,IF($D$2=35.5,DR26,IF($D$2=36.5,DR27,IF($D$2=37.5,DR28,IF($C$2=38.5,DR29,))))))))&amp;IF($D$2=27.5,DR18,IF($D$2=28.5,DR19,IF($D$2=29.5,DR20,IF($D$2=30.5,DR21,))))</f>
        <v>8.11</v>
      </c>
      <c r="F77" s="1501">
        <f t="shared" si="6"/>
        <v>10.137499999999999</v>
      </c>
      <c r="G77" s="1501">
        <f t="shared" si="10"/>
        <v>84.26</v>
      </c>
      <c r="H77" s="1501">
        <f t="shared" si="11"/>
        <v>86.287500000000009</v>
      </c>
      <c r="I77" s="1367"/>
      <c r="J77" s="1367"/>
      <c r="K77" s="1367"/>
      <c r="L77" s="1526"/>
      <c r="M77" s="1526"/>
      <c r="N77" s="1526"/>
      <c r="O77" s="1526"/>
      <c r="P77" s="1526"/>
      <c r="Q77" s="1526"/>
      <c r="R77" s="1526"/>
      <c r="S77" s="1526"/>
      <c r="T77" s="1526"/>
      <c r="U77" s="1526"/>
      <c r="V77" s="1526"/>
      <c r="W77" s="1526"/>
      <c r="X77" s="1526"/>
      <c r="Y77" s="1526"/>
      <c r="Z77" s="1526"/>
      <c r="AA77" s="1526"/>
      <c r="AB77" s="1526"/>
      <c r="AC77" s="1526"/>
      <c r="AD77" s="1526"/>
      <c r="AE77" s="1526"/>
      <c r="AF77" s="1526"/>
      <c r="AG77" s="1526"/>
      <c r="AH77" s="1526"/>
      <c r="AI77" s="1526"/>
      <c r="AJ77" s="1526"/>
      <c r="AK77" s="1526"/>
      <c r="AL77" s="1526"/>
      <c r="AM77" s="1526"/>
      <c r="AN77" s="1526"/>
      <c r="AO77" s="1526"/>
      <c r="AP77" s="1526"/>
      <c r="AQ77" s="1526"/>
      <c r="AR77" s="1526"/>
      <c r="AS77" s="1526"/>
      <c r="AT77" s="1526"/>
      <c r="AU77" s="1526"/>
      <c r="AV77" s="1526"/>
      <c r="AW77" s="1526"/>
      <c r="AX77" s="1526"/>
      <c r="AY77" s="1526"/>
      <c r="AZ77" s="1526"/>
      <c r="BA77" s="1526"/>
      <c r="BB77" s="1526"/>
      <c r="BC77" s="1526"/>
      <c r="BD77" s="1526"/>
      <c r="BE77" s="1526"/>
      <c r="BF77" s="1526"/>
      <c r="BG77" s="1526"/>
      <c r="BH77" s="1526"/>
      <c r="BI77" s="1526"/>
      <c r="BJ77" s="1526"/>
      <c r="BK77" s="1526"/>
      <c r="BL77" s="1526"/>
      <c r="BM77" s="1526"/>
      <c r="BN77" s="1526"/>
      <c r="BO77" s="1526"/>
      <c r="BP77" s="1526"/>
      <c r="BQ77" s="1526"/>
      <c r="BR77" s="1526"/>
      <c r="BS77" s="1526"/>
      <c r="BT77" s="1526"/>
      <c r="BU77" s="1526"/>
      <c r="BV77" s="1526"/>
      <c r="BW77" s="1526"/>
      <c r="BX77" s="1526"/>
      <c r="BY77" s="1526"/>
      <c r="BZ77" s="1526"/>
      <c r="CA77" s="1526"/>
      <c r="CB77" s="1526"/>
      <c r="CC77" s="1526"/>
      <c r="CD77" s="1526"/>
      <c r="CE77" s="1526"/>
      <c r="CF77" s="1526"/>
      <c r="CG77" s="1526"/>
      <c r="CH77" s="1526"/>
      <c r="CI77" s="1526"/>
      <c r="CJ77" s="1526"/>
      <c r="CK77" s="1526"/>
      <c r="CL77" s="1526"/>
      <c r="CM77" s="1526"/>
      <c r="CN77" s="1526"/>
      <c r="CO77" s="1526"/>
      <c r="CP77" s="1526"/>
      <c r="CQ77" s="1526"/>
      <c r="CR77" s="1526"/>
      <c r="CS77" s="1526"/>
      <c r="CT77" s="1526"/>
      <c r="CU77" s="1526"/>
      <c r="CV77" s="1526"/>
      <c r="CW77" s="1526"/>
      <c r="CX77" s="1526"/>
      <c r="CY77" s="1526"/>
      <c r="CZ77" s="1526"/>
      <c r="DA77" s="1526"/>
      <c r="DB77" s="1526"/>
      <c r="DC77" s="1526"/>
      <c r="DD77" s="1526"/>
      <c r="DE77" s="1526"/>
      <c r="DF77" s="1526"/>
      <c r="DG77" s="1526"/>
      <c r="DH77" s="1526"/>
      <c r="DI77" s="1526"/>
      <c r="DJ77" s="1526"/>
      <c r="DK77" s="1526"/>
      <c r="DL77" s="1526"/>
      <c r="DM77" s="1526"/>
      <c r="DN77" s="1526"/>
      <c r="DO77" s="1526"/>
      <c r="DP77" s="1526"/>
      <c r="DQ77" s="1526"/>
      <c r="DR77" s="1526"/>
      <c r="DS77" s="1526"/>
      <c r="DT77" s="1526"/>
      <c r="DU77" s="1526"/>
      <c r="DV77" s="1526"/>
      <c r="DW77" s="1526"/>
      <c r="DX77" s="1526"/>
    </row>
    <row r="78" spans="1:128" ht="18.75" customHeight="1">
      <c r="A78" s="1497"/>
      <c r="B78" s="1498" t="s">
        <v>612</v>
      </c>
      <c r="C78" s="1508" t="s">
        <v>890</v>
      </c>
      <c r="D78" s="1500" t="str">
        <f>IF($D$2=40.5,DS31,IF($D$2=41.5,DS32,IF($D$2=42.5,DS33,IF($D$2=43.5,DS34,IF($D$2=44.5,DS35,IF($D$2=45.5,DS36,IF($D$2=46.5,DS37,)))))))&amp;
IF($D$2=47.5,DS38,IF($D$2=48.5,DS39,IF($D$2=49.5,DS40,IF($D$2=50.5,DS41,IF($D$2=51.5,DS42,IF($D$2=52.5,DS43,IF($D$2=53.5,DS44,)))))))&amp;
IF($D$2=54.5,DS45,IF($D$2=55.5,DS46,IF($D$2=56.5,DS47,IF($D$2=57.5,DS48,IF($D$2=15.5,DS6,IF($D$2=16.5,DS7,IF($D$2=17.5,DS8,)))))))&amp;
IF($D$2=18.5,DS9,IF($D$2=19.5,DS10,IF($D$2=20.5,DS11,IF($D$2=21.5,DS12,IF($D$2=22.5,DS13,IF($D$2=23.5,DS14,IF($D$2=24.5,DS15,)))))))&amp;IF($D$2=25.5,DS16,IF($D$2=26.5,DS17,IF($D$2=39.5,DS30,)))&amp;IF($D$2=31.5,DS22,IF($D$2=32.5,DS23,IF($D$2=33.5,DS24,IF($D$2=34.5,DS25,IF($D$2=35.5,DS26,IF($D$2=36.5,DS27,IF($D$2=37.5,DS28,IF($C$2=38.5,DS29,))))))))&amp;IF($D$2=27.5,DS18,IF($D$2=28.5,DS19,IF($D$2=29.5,DS20,IF($D$2=30.5,DS21,))))</f>
        <v>92.34</v>
      </c>
      <c r="E78" s="1500" t="str">
        <f>IF($D$2=40.5,DT31,IF($D$2=41.5,DT32,IF($D$2=42.5,DT33,IF($D$2=43.5,DT34,IF($D$2=44.5,DT35,IF($D$2=45.5,DT36,IF($D$2=46.5,DT37,)))))))&amp;
IF($D$2=47.5,DT38,IF($D$2=48.5,DT39,IF($D$2=49.5,DT40,IF($D$2=50.5,DT41,IF($D$2=51.5,DT42,IF($D$2=52.5,DT43,IF($D$2=53.5,DT44,)))))))&amp;
IF($D$2=54.5,DT45,IF($D$2=55.5,DT46,IF($D$2=56.5,DT47,IF($D$2=57.5,DT48,IF($D$2=15.5,DT6,IF($D$2=16.5,DT7,IF($D$2=17.5,DT8,)))))))&amp;
IF($D$2=18.5,DT9,IF($D$2=19.5,DT10,IF($D$2=20.5,DT11,IF($D$2=21.5,DT12,IF($D$2=22.5,DT13,IF($D$2=23.5,DT14,IF($D$2=24.5,DT15,)))))))&amp;IF($D$2=25.5,DT16,IF($D$2=26.5,DT17,IF($D$2=39.5,DT30,)))&amp;IF($D$2=31.5,DT22,IF($D$2=32.5,DT23,IF($D$2=33.5,DT24,IF($D$2=34.5,DT25,IF($D$2=35.5,DT26,IF($D$2=36.5,DT27,IF($D$2=37.5,DT28,IF($C$2=38.5,DT29,))))))))&amp;IF($D$2=27.5,DT18,IF($D$2=28.5,DT19,IF($D$2=29.5,DT20,IF($D$2=30.5,DT21,))))</f>
        <v>9</v>
      </c>
      <c r="F78" s="1501">
        <f t="shared" si="6"/>
        <v>11.25</v>
      </c>
      <c r="G78" s="1501">
        <f t="shared" si="10"/>
        <v>101.34</v>
      </c>
      <c r="H78" s="1501">
        <f t="shared" si="11"/>
        <v>103.59</v>
      </c>
      <c r="I78" s="1367"/>
      <c r="J78" s="1367"/>
      <c r="K78" s="1367"/>
      <c r="L78" s="1526"/>
      <c r="M78" s="1526"/>
      <c r="N78" s="1526"/>
      <c r="O78" s="1526"/>
      <c r="P78" s="1526"/>
      <c r="Q78" s="1526"/>
      <c r="R78" s="1526"/>
      <c r="S78" s="1526"/>
      <c r="T78" s="1526"/>
      <c r="U78" s="1526"/>
      <c r="V78" s="1526"/>
      <c r="W78" s="1526"/>
      <c r="X78" s="1526"/>
      <c r="Y78" s="1526"/>
      <c r="Z78" s="1526"/>
      <c r="AA78" s="1526"/>
      <c r="AB78" s="1526"/>
      <c r="AC78" s="1526"/>
      <c r="AD78" s="1526"/>
      <c r="AE78" s="1526"/>
      <c r="AF78" s="1526"/>
      <c r="AG78" s="1526"/>
      <c r="AH78" s="1526"/>
      <c r="AI78" s="1526"/>
      <c r="AJ78" s="1526"/>
      <c r="AK78" s="1526"/>
      <c r="AL78" s="1526"/>
      <c r="AM78" s="1526"/>
      <c r="AN78" s="1526"/>
      <c r="AO78" s="1526"/>
      <c r="AP78" s="1526"/>
      <c r="AQ78" s="1526"/>
      <c r="AR78" s="1526"/>
      <c r="AS78" s="1526"/>
      <c r="AT78" s="1526"/>
      <c r="AU78" s="1526"/>
      <c r="AV78" s="1526"/>
      <c r="AW78" s="1526"/>
      <c r="AX78" s="1526"/>
      <c r="AY78" s="1526"/>
      <c r="AZ78" s="1526"/>
      <c r="BA78" s="1526"/>
      <c r="BB78" s="1526"/>
      <c r="BC78" s="1526"/>
      <c r="BD78" s="1526"/>
      <c r="BE78" s="1526"/>
      <c r="BF78" s="1526"/>
      <c r="BG78" s="1526"/>
      <c r="BH78" s="1526"/>
      <c r="BI78" s="1526"/>
      <c r="BJ78" s="1526"/>
      <c r="BK78" s="1526"/>
      <c r="BL78" s="1526"/>
      <c r="BM78" s="1526"/>
      <c r="BN78" s="1526"/>
      <c r="BO78" s="1526"/>
      <c r="BP78" s="1526"/>
      <c r="BQ78" s="1526"/>
      <c r="BR78" s="1526"/>
      <c r="BS78" s="1526"/>
      <c r="BT78" s="1526"/>
      <c r="BU78" s="1526"/>
      <c r="BV78" s="1526"/>
      <c r="BW78" s="1526"/>
      <c r="BX78" s="1526"/>
      <c r="BY78" s="1526"/>
      <c r="BZ78" s="1526"/>
      <c r="CA78" s="1526"/>
      <c r="CB78" s="1526"/>
      <c r="CC78" s="1526"/>
      <c r="CD78" s="1526"/>
      <c r="CE78" s="1526"/>
      <c r="CF78" s="1526"/>
      <c r="CG78" s="1526"/>
      <c r="CH78" s="1526"/>
      <c r="CI78" s="1526"/>
      <c r="CJ78" s="1526"/>
      <c r="CK78" s="1526"/>
      <c r="CL78" s="1526"/>
      <c r="CM78" s="1526"/>
      <c r="CN78" s="1526"/>
      <c r="CO78" s="1526"/>
      <c r="CP78" s="1526"/>
      <c r="CQ78" s="1526"/>
      <c r="CR78" s="1526"/>
      <c r="CS78" s="1526"/>
      <c r="CT78" s="1526"/>
      <c r="CU78" s="1526"/>
      <c r="CV78" s="1526"/>
      <c r="CW78" s="1526"/>
      <c r="CX78" s="1526"/>
      <c r="CY78" s="1526"/>
      <c r="CZ78" s="1526"/>
      <c r="DA78" s="1526"/>
      <c r="DB78" s="1526"/>
      <c r="DC78" s="1526"/>
      <c r="DD78" s="1526"/>
      <c r="DE78" s="1526"/>
      <c r="DF78" s="1526"/>
      <c r="DG78" s="1526"/>
      <c r="DH78" s="1526"/>
      <c r="DI78" s="1526"/>
      <c r="DJ78" s="1526"/>
      <c r="DK78" s="1526"/>
      <c r="DL78" s="1526"/>
      <c r="DM78" s="1526"/>
      <c r="DN78" s="1526"/>
      <c r="DO78" s="1526"/>
      <c r="DP78" s="1526"/>
      <c r="DQ78" s="1526"/>
      <c r="DR78" s="1526"/>
      <c r="DS78" s="1526"/>
      <c r="DT78" s="1526"/>
      <c r="DU78" s="1526"/>
      <c r="DV78" s="1526"/>
      <c r="DW78" s="1526"/>
      <c r="DX78" s="1526"/>
    </row>
    <row r="79" spans="1:128" ht="18.75" customHeight="1">
      <c r="A79" s="1497">
        <v>20</v>
      </c>
      <c r="B79" s="1498" t="s">
        <v>613</v>
      </c>
      <c r="C79" s="1508"/>
      <c r="D79" s="1509"/>
      <c r="E79" s="1509"/>
      <c r="F79" s="1501"/>
      <c r="G79" s="1501"/>
      <c r="H79" s="1501"/>
      <c r="I79" s="1367"/>
      <c r="J79" s="1367"/>
      <c r="K79" s="1367"/>
      <c r="L79" s="1526"/>
      <c r="M79" s="1526"/>
      <c r="N79" s="1526"/>
      <c r="O79" s="1526"/>
      <c r="P79" s="1526"/>
      <c r="Q79" s="1526"/>
      <c r="R79" s="1526"/>
      <c r="S79" s="1526"/>
      <c r="T79" s="1526"/>
      <c r="U79" s="1526"/>
      <c r="V79" s="1526"/>
      <c r="W79" s="1526"/>
      <c r="X79" s="1526"/>
      <c r="Y79" s="1526"/>
      <c r="Z79" s="1526"/>
      <c r="AA79" s="1526"/>
      <c r="AB79" s="1526"/>
      <c r="AC79" s="1526"/>
      <c r="AD79" s="1526"/>
      <c r="AE79" s="1526"/>
      <c r="AF79" s="1526"/>
      <c r="AG79" s="1526"/>
      <c r="AH79" s="1526"/>
      <c r="AI79" s="1526"/>
      <c r="AJ79" s="1526"/>
      <c r="AK79" s="1526"/>
      <c r="AL79" s="1526"/>
      <c r="AM79" s="1526"/>
      <c r="AN79" s="1526"/>
      <c r="AO79" s="1526"/>
      <c r="AP79" s="1526"/>
      <c r="AQ79" s="1526"/>
      <c r="AR79" s="1526"/>
      <c r="AS79" s="1526"/>
      <c r="AT79" s="1526"/>
      <c r="AU79" s="1526"/>
      <c r="AV79" s="1526"/>
      <c r="AW79" s="1526"/>
      <c r="AX79" s="1526"/>
      <c r="AY79" s="1526"/>
      <c r="AZ79" s="1526"/>
      <c r="BA79" s="1526"/>
      <c r="BB79" s="1526"/>
      <c r="BC79" s="1526"/>
      <c r="BD79" s="1526"/>
      <c r="BE79" s="1526"/>
      <c r="BF79" s="1526"/>
      <c r="BG79" s="1526"/>
      <c r="BH79" s="1526"/>
      <c r="BI79" s="1526"/>
      <c r="BJ79" s="1526"/>
      <c r="BK79" s="1526"/>
      <c r="BL79" s="1526"/>
      <c r="BM79" s="1526"/>
      <c r="BN79" s="1526"/>
      <c r="BO79" s="1526"/>
      <c r="BP79" s="1526"/>
      <c r="BQ79" s="1526"/>
      <c r="BR79" s="1526"/>
      <c r="BS79" s="1526"/>
      <c r="BT79" s="1526"/>
      <c r="BU79" s="1526"/>
      <c r="BV79" s="1526"/>
      <c r="BW79" s="1526"/>
      <c r="BX79" s="1526"/>
      <c r="BY79" s="1526"/>
      <c r="BZ79" s="1526"/>
      <c r="CA79" s="1526"/>
      <c r="CB79" s="1526"/>
      <c r="CC79" s="1526"/>
      <c r="CD79" s="1526"/>
      <c r="CE79" s="1526"/>
      <c r="CF79" s="1526"/>
      <c r="CG79" s="1526"/>
      <c r="CH79" s="1526"/>
      <c r="CI79" s="1526"/>
      <c r="CJ79" s="1526"/>
      <c r="CK79" s="1526"/>
      <c r="CL79" s="1526"/>
      <c r="CM79" s="1526"/>
      <c r="CN79" s="1526"/>
      <c r="CO79" s="1526"/>
      <c r="CP79" s="1526"/>
      <c r="CQ79" s="1526"/>
      <c r="CR79" s="1526"/>
      <c r="CS79" s="1526"/>
      <c r="CT79" s="1526"/>
      <c r="CU79" s="1526"/>
      <c r="CV79" s="1526"/>
      <c r="CW79" s="1526"/>
      <c r="CX79" s="1526"/>
      <c r="CY79" s="1526"/>
      <c r="CZ79" s="1526"/>
      <c r="DA79" s="1526"/>
      <c r="DB79" s="1526"/>
      <c r="DC79" s="1526"/>
      <c r="DD79" s="1526"/>
      <c r="DE79" s="1526"/>
      <c r="DF79" s="1526"/>
      <c r="DG79" s="1526"/>
      <c r="DH79" s="1526"/>
      <c r="DI79" s="1526"/>
      <c r="DJ79" s="1526"/>
      <c r="DK79" s="1526"/>
      <c r="DL79" s="1526"/>
      <c r="DM79" s="1526"/>
      <c r="DN79" s="1526"/>
      <c r="DO79" s="1526"/>
      <c r="DP79" s="1526"/>
      <c r="DQ79" s="1526"/>
      <c r="DR79" s="1526"/>
      <c r="DS79" s="1526"/>
      <c r="DT79" s="1526"/>
      <c r="DU79" s="1526"/>
      <c r="DV79" s="1526"/>
      <c r="DW79" s="1526"/>
      <c r="DX79" s="1526"/>
    </row>
    <row r="80" spans="1:128" ht="18.75" customHeight="1">
      <c r="A80" s="1497"/>
      <c r="B80" s="1498" t="s">
        <v>611</v>
      </c>
      <c r="C80" s="1508" t="s">
        <v>890</v>
      </c>
      <c r="D80" s="1500" t="str">
        <f>IF($D$2=40.5,DU31,IF($D$2=41.5,DU32,IF($D$2=42.5,DU33,IF($D$2=43.5,DU34,IF($D$2=44.5,DU35,IF($D$2=45.5,DU36,IF($D$2=46.5,DU37,)))))))&amp;
IF($D$2=47.5,DU38,IF($D$2=48.5,DU39,IF($D$2=49.5,DU40,IF($D$2=50.5,DU41,IF($D$2=51.5,DU42,IF($D$2=52.5,DU43,IF($D$2=53.5,DU44,)))))))&amp;
IF($D$2=54.5,DU45,IF($D$2=55.5,DU46,IF($D$2=56.5,DU47,IF($D$2=57.5,DU48,IF($D$2=15.5,DU6,IF($D$2=16.5,DU7,IF($D$2=17.5,DU8,)))))))&amp;
IF($D$2=18.5,DU9,IF($D$2=19.5,DU10,IF($D$2=20.5,DU11,IF($D$2=21.5,DU12,IF($D$2=22.5,DU13,IF($D$2=23.5,DU14,IF($D$2=24.5,DU15,)))))))&amp;IF($D$2=25.5,DU16,IF($D$2=26.5,DU17,IF($D$2=39.5,DU30,)))&amp;IF($D$2=31.5,DU22,IF($D$2=32.5,DU23,IF($D$2=33.5,DU24,IF($D$2=34.5,DU25,IF($D$2=35.5,DU26,IF($D$2=36.5,DU27,IF($D$2=37.5,DU28,IF($C$2=38.5,DU29,))))))))&amp;IF($D$2=27.5,DU18,IF($D$2=28.5,DU19,IF($D$2=29.5,DU20,IF($D$2=30.5,DU21,))))</f>
        <v>11.8</v>
      </c>
      <c r="E80" s="1500" t="str">
        <f>IF($D$2=40.5,DV31,IF($D$2=41.5,DV32,IF($D$2=42.5,DV33,IF($D$2=43.5,DV34,IF($D$2=44.5,DV35,IF($D$2=45.5,DV36,IF($D$2=46.5,DV37,)))))))&amp;
IF($D$2=47.5,DV38,IF($D$2=48.5,DV39,IF($D$2=49.5,DV40,IF($D$2=50.5,DV41,IF($D$2=51.5,DV42,IF($D$2=52.5,DV43,IF($D$2=53.5,DV44,)))))))&amp;
IF($D$2=54.5,DV45,IF($D$2=55.5,DV46,IF($D$2=56.5,DV47,IF($D$2=57.5,DV48,IF($D$2=15.5,DV6,IF($D$2=16.5,DV7,IF($D$2=17.5,DV8,)))))))&amp;
IF($D$2=18.5,DV9,IF($D$2=19.5,DV10,IF($D$2=20.5,DV11,IF($D$2=21.5,DV12,IF($D$2=22.5,DV13,IF($D$2=23.5,DV14,IF($D$2=24.5,DV15,)))))))&amp;IF($D$2=25.5,DV16,IF($D$2=26.5,DV17,IF($D$2=39.5,DV30,)))&amp;IF($D$2=31.5,DV22,IF($D$2=32.5,DV23,IF($D$2=33.5,DV24,IF($D$2=34.5,DV25,IF($D$2=35.5,DV26,IF($D$2=36.5,DV27,IF($D$2=37.5,DV28,IF($C$2=38.5,DV29,))))))))&amp;IF($D$2=27.5,DV18,IF($D$2=28.5,DV19,IF($D$2=29.5,DV20,IF($D$2=30.5,DV21,))))</f>
        <v>1.97</v>
      </c>
      <c r="F80" s="1501">
        <f t="shared" si="6"/>
        <v>2.4624999999999999</v>
      </c>
      <c r="G80" s="1501">
        <f t="shared" si="10"/>
        <v>13.770000000000001</v>
      </c>
      <c r="H80" s="1501">
        <f t="shared" si="11"/>
        <v>14.262500000000001</v>
      </c>
      <c r="I80" s="1367"/>
      <c r="J80" s="1367"/>
      <c r="K80" s="1367"/>
      <c r="L80" s="1526"/>
      <c r="M80" s="1526"/>
      <c r="N80" s="1526"/>
      <c r="O80" s="1526"/>
      <c r="P80" s="1526"/>
      <c r="Q80" s="1526"/>
      <c r="R80" s="1526"/>
      <c r="S80" s="1526"/>
      <c r="T80" s="1526"/>
      <c r="U80" s="1526"/>
      <c r="V80" s="1526"/>
      <c r="W80" s="1526"/>
      <c r="X80" s="1526"/>
      <c r="Y80" s="1526"/>
      <c r="Z80" s="1526"/>
      <c r="AA80" s="1526"/>
      <c r="AB80" s="1526"/>
      <c r="AC80" s="1526"/>
      <c r="AD80" s="1526"/>
      <c r="AE80" s="1526"/>
      <c r="AF80" s="1526"/>
      <c r="AG80" s="1526"/>
      <c r="AH80" s="1526"/>
      <c r="AI80" s="1526"/>
      <c r="AJ80" s="1526"/>
      <c r="AK80" s="1526"/>
      <c r="AL80" s="1526"/>
      <c r="AM80" s="1526"/>
      <c r="AN80" s="1526"/>
      <c r="AO80" s="1526"/>
      <c r="AP80" s="1526"/>
      <c r="AQ80" s="1526"/>
      <c r="AR80" s="1526"/>
      <c r="AS80" s="1526"/>
      <c r="AT80" s="1526"/>
      <c r="AU80" s="1526"/>
      <c r="AV80" s="1526"/>
      <c r="AW80" s="1526"/>
      <c r="AX80" s="1526"/>
      <c r="AY80" s="1526"/>
      <c r="AZ80" s="1526"/>
      <c r="BA80" s="1526"/>
      <c r="BB80" s="1526"/>
      <c r="BC80" s="1526"/>
      <c r="BD80" s="1526"/>
      <c r="BE80" s="1526"/>
      <c r="BF80" s="1526"/>
      <c r="BG80" s="1526"/>
      <c r="BH80" s="1526"/>
      <c r="BI80" s="1526"/>
      <c r="BJ80" s="1526"/>
      <c r="BK80" s="1526"/>
      <c r="BL80" s="1526"/>
      <c r="BM80" s="1526"/>
      <c r="BN80" s="1526"/>
      <c r="BO80" s="1526"/>
      <c r="BP80" s="1526"/>
      <c r="BQ80" s="1526"/>
      <c r="BR80" s="1526"/>
      <c r="BS80" s="1526"/>
      <c r="BT80" s="1526"/>
      <c r="BU80" s="1526"/>
      <c r="BV80" s="1526"/>
      <c r="BW80" s="1526"/>
      <c r="BX80" s="1526"/>
      <c r="BY80" s="1526"/>
      <c r="BZ80" s="1526"/>
      <c r="CA80" s="1526"/>
      <c r="CB80" s="1526"/>
      <c r="CC80" s="1526"/>
      <c r="CD80" s="1526"/>
      <c r="CE80" s="1526"/>
      <c r="CF80" s="1526"/>
      <c r="CG80" s="1526"/>
      <c r="CH80" s="1526"/>
      <c r="CI80" s="1526"/>
      <c r="CJ80" s="1526"/>
      <c r="CK80" s="1526"/>
      <c r="CL80" s="1526"/>
      <c r="CM80" s="1526"/>
      <c r="CN80" s="1526"/>
      <c r="CO80" s="1526"/>
      <c r="CP80" s="1526"/>
      <c r="CQ80" s="1526"/>
      <c r="CR80" s="1526"/>
      <c r="CS80" s="1526"/>
      <c r="CT80" s="1526"/>
      <c r="CU80" s="1526"/>
      <c r="CV80" s="1526"/>
      <c r="CW80" s="1526"/>
      <c r="CX80" s="1526"/>
      <c r="CY80" s="1526"/>
      <c r="CZ80" s="1526"/>
      <c r="DA80" s="1526"/>
      <c r="DB80" s="1526"/>
      <c r="DC80" s="1526"/>
      <c r="DD80" s="1526"/>
      <c r="DE80" s="1526"/>
      <c r="DF80" s="1526"/>
      <c r="DG80" s="1526"/>
      <c r="DH80" s="1526"/>
      <c r="DI80" s="1526"/>
      <c r="DJ80" s="1526"/>
      <c r="DK80" s="1526"/>
      <c r="DL80" s="1526"/>
      <c r="DM80" s="1526"/>
      <c r="DN80" s="1526"/>
      <c r="DO80" s="1526"/>
      <c r="DP80" s="1526"/>
      <c r="DQ80" s="1526"/>
      <c r="DR80" s="1526"/>
      <c r="DS80" s="1526"/>
      <c r="DT80" s="1526"/>
      <c r="DU80" s="1526"/>
      <c r="DV80" s="1526"/>
      <c r="DW80" s="1526"/>
      <c r="DX80" s="1526"/>
    </row>
    <row r="81" spans="1:128" ht="18.75" customHeight="1">
      <c r="A81" s="1529"/>
      <c r="B81" s="1530" t="s">
        <v>614</v>
      </c>
      <c r="C81" s="1531" t="s">
        <v>890</v>
      </c>
      <c r="D81" s="1532" t="str">
        <f>IF($D$2=40.5,DW31,IF($D$2=41.5,DW32,IF($D$2=42.5,DW33,IF($D$2=43.5,DW34,IF($D$2=44.5,DW35,IF($D$2=45.5,DW36,IF($D$2=46.5,DW37,)))))))&amp;
IF($D$2=47.5,DW38,IF($D$2=48.5,DW39,IF($D$2=49.5,DW40,IF($D$2=50.5,DW41,IF($D$2=51.5,DW42,IF($D$2=52.5,DW43,IF($D$2=53.5,DW44,)))))))&amp;
IF($D$2=54.5,DW45,IF($D$2=55.5,DW46,IF($D$2=56.5,DW47,IF($D$2=57.5,DW48,IF($D$2=15.5,DW6,IF($D$2=16.5,DW7,IF($D$2=17.5,DW8,)))))))&amp;
IF($D$2=18.5,DW9,IF($D$2=19.5,DW10,IF($D$2=20.5,DW11,IF($D$2=21.5,DW12,IF($D$2=22.5,DW13,IF($D$2=23.5,DW14,IF($D$2=24.5,DW15,)))))))&amp;IF($D$2=25.5,DW16,IF($D$2=26.5,DW17,IF($D$2=39.5,DW30,)))&amp;IF($D$2=31.5,DW22,IF($D$2=32.5,DW23,IF($D$2=33.5,DW24,IF($D$2=34.5,DW25,IF($D$2=35.5,DW26,IF($D$2=36.5,DW27,IF($D$2=37.5,DW28,IF($C$2=38.5,DW29,))))))))&amp;IF($D$2=27.5,DW18,IF($D$2=28.5,DW19,IF($D$2=29.5,DW20,IF($D$2=30.5,DW21,))))</f>
        <v>13.77</v>
      </c>
      <c r="E81" s="1532" t="str">
        <f>IF($D$2=40.5,DX31,IF($D$2=41.5,DX32,IF($D$2=42.5,DX33,IF($D$2=43.5,DX34,IF($D$2=44.5,DX35,IF($D$2=45.5,DX36,IF($D$2=46.5,DX37,)))))))&amp;
IF($D$2=47.5,DX38,IF($D$2=48.5,DX39,IF($D$2=49.5,DX40,IF($D$2=50.5,DX41,IF($D$2=51.5,DX42,IF($D$2=52.5,DX43,IF($D$2=53.5,DX44,)))))))&amp;
IF($D$2=54.5,DX45,IF($D$2=55.5,DX46,IF($D$2=56.5,DX47,IF($D$2=57.5,DX48,IF($D$2=15.5,DX6,IF($D$2=16.5,DX7,IF($D$2=17.5,DX8,)))))))&amp;
IF($D$2=18.5,DX9,IF($D$2=19.5,DX10,IF($D$2=20.5,DX11,IF($D$2=21.5,DX12,IF($D$2=22.5,DX13,IF($D$2=23.5,DX14,IF($D$2=24.5,DX15,)))))))&amp;IF($D$2=25.5,DX16,IF($D$2=26.5,DX17,IF($D$2=39.5,DX30,)))&amp;IF($D$2=31.5,DX22,IF($D$2=32.5,DX23,IF($D$2=33.5,DX24,IF($D$2=34.5,DX25,IF($D$2=35.5,DX26,IF($D$2=36.5,DX27,IF($D$2=37.5,DX28,IF($C$2=38.5,DX29,))))))))&amp;IF($D$2=27.5,DX18,IF($D$2=28.5,DX19,IF($D$2=29.5,DX20,IF($D$2=30.5,DX21,))))</f>
        <v>2.3</v>
      </c>
      <c r="F81" s="1533">
        <f t="shared" si="6"/>
        <v>2.875</v>
      </c>
      <c r="G81" s="1533">
        <f t="shared" si="10"/>
        <v>16.07</v>
      </c>
      <c r="H81" s="1533">
        <f t="shared" si="11"/>
        <v>16.645</v>
      </c>
      <c r="I81" s="1367"/>
      <c r="J81" s="1367"/>
      <c r="K81" s="1367"/>
      <c r="L81" s="1526"/>
      <c r="M81" s="1526"/>
      <c r="N81" s="1526"/>
      <c r="O81" s="1526"/>
      <c r="P81" s="1526"/>
      <c r="Q81" s="1526"/>
      <c r="R81" s="1526"/>
      <c r="S81" s="1526"/>
      <c r="T81" s="1526"/>
      <c r="U81" s="1526"/>
      <c r="V81" s="1526"/>
      <c r="W81" s="1526"/>
      <c r="X81" s="1526"/>
      <c r="Y81" s="1526"/>
      <c r="Z81" s="1526"/>
      <c r="AA81" s="1526"/>
      <c r="AB81" s="1526"/>
      <c r="AC81" s="1526"/>
      <c r="AD81" s="1526"/>
      <c r="AE81" s="1526"/>
      <c r="AF81" s="1526"/>
      <c r="AG81" s="1526"/>
      <c r="AH81" s="1526"/>
      <c r="AI81" s="1526"/>
      <c r="AJ81" s="1526"/>
      <c r="AK81" s="1526"/>
      <c r="AL81" s="1526"/>
      <c r="AM81" s="1526"/>
      <c r="AN81" s="1526"/>
      <c r="AO81" s="1526"/>
      <c r="AP81" s="1526"/>
      <c r="AQ81" s="1526"/>
      <c r="AR81" s="1526"/>
      <c r="AS81" s="1526"/>
      <c r="AT81" s="1526"/>
      <c r="AU81" s="1526"/>
      <c r="AV81" s="1526"/>
      <c r="AW81" s="1526"/>
      <c r="AX81" s="1526"/>
      <c r="AY81" s="1526"/>
      <c r="AZ81" s="1526"/>
      <c r="BA81" s="1526"/>
      <c r="BB81" s="1526"/>
      <c r="BC81" s="1526"/>
      <c r="BD81" s="1526"/>
      <c r="BE81" s="1526"/>
      <c r="BF81" s="1526"/>
      <c r="BG81" s="1526"/>
      <c r="BH81" s="1526"/>
      <c r="BI81" s="1526"/>
      <c r="BJ81" s="1526"/>
      <c r="BK81" s="1526"/>
      <c r="BL81" s="1526"/>
      <c r="BM81" s="1526"/>
      <c r="BN81" s="1526"/>
      <c r="BO81" s="1526"/>
      <c r="BP81" s="1526"/>
      <c r="BQ81" s="1526"/>
      <c r="BR81" s="1526"/>
      <c r="BS81" s="1526"/>
      <c r="BT81" s="1526"/>
      <c r="BU81" s="1526"/>
      <c r="BV81" s="1526"/>
      <c r="BW81" s="1526"/>
      <c r="BX81" s="1526"/>
      <c r="BY81" s="1526"/>
      <c r="BZ81" s="1526"/>
      <c r="CA81" s="1526"/>
      <c r="CB81" s="1526"/>
      <c r="CC81" s="1526"/>
      <c r="CD81" s="1526"/>
      <c r="CE81" s="1526"/>
      <c r="CF81" s="1526"/>
      <c r="CG81" s="1526"/>
      <c r="CH81" s="1526"/>
      <c r="CI81" s="1526"/>
      <c r="CJ81" s="1526"/>
      <c r="CK81" s="1526"/>
      <c r="CL81" s="1526"/>
      <c r="CM81" s="1526"/>
      <c r="CN81" s="1526"/>
      <c r="CO81" s="1526"/>
      <c r="CP81" s="1526"/>
      <c r="CQ81" s="1526"/>
      <c r="CR81" s="1526"/>
      <c r="CS81" s="1526"/>
      <c r="CT81" s="1526"/>
      <c r="CU81" s="1526"/>
      <c r="CV81" s="1526"/>
      <c r="CW81" s="1526"/>
      <c r="CX81" s="1526"/>
      <c r="CY81" s="1526"/>
      <c r="CZ81" s="1526"/>
      <c r="DA81" s="1526"/>
      <c r="DB81" s="1526"/>
      <c r="DC81" s="1526"/>
      <c r="DD81" s="1526"/>
      <c r="DE81" s="1526"/>
      <c r="DF81" s="1526"/>
      <c r="DG81" s="1526"/>
      <c r="DH81" s="1526"/>
      <c r="DI81" s="1526"/>
      <c r="DJ81" s="1526"/>
      <c r="DK81" s="1526"/>
      <c r="DL81" s="1526"/>
      <c r="DM81" s="1526"/>
      <c r="DN81" s="1526"/>
      <c r="DO81" s="1526"/>
      <c r="DP81" s="1526"/>
      <c r="DQ81" s="1526"/>
      <c r="DR81" s="1526"/>
      <c r="DS81" s="1526"/>
      <c r="DT81" s="1526"/>
      <c r="DU81" s="1526"/>
      <c r="DV81" s="1526"/>
      <c r="DW81" s="1526"/>
      <c r="DX81" s="1526"/>
    </row>
    <row r="82" spans="1:128" ht="18.75" customHeight="1"/>
    <row r="83" spans="1:128" ht="18.75" customHeight="1"/>
    <row r="84" spans="1:128" ht="18.75" customHeight="1">
      <c r="L84" s="1535"/>
      <c r="U84" s="1535"/>
      <c r="V84" s="1535"/>
      <c r="W84" s="1535"/>
      <c r="X84" s="1535"/>
      <c r="Y84" s="1535"/>
      <c r="Z84" s="1535"/>
      <c r="AA84" s="1535"/>
      <c r="AB84" s="1535"/>
      <c r="AC84" s="1535"/>
      <c r="AD84" s="1535"/>
      <c r="AE84" s="1535"/>
      <c r="AF84" s="1535"/>
      <c r="AG84" s="1535"/>
      <c r="AH84" s="1535"/>
      <c r="AI84" s="1535"/>
      <c r="AJ84" s="1535"/>
      <c r="AK84" s="1535"/>
      <c r="AL84" s="1535"/>
      <c r="AM84" s="1535"/>
      <c r="AN84" s="1535"/>
      <c r="AO84" s="1535"/>
      <c r="AP84" s="1535"/>
      <c r="AQ84" s="1535"/>
      <c r="AR84" s="1535"/>
      <c r="AS84" s="1535"/>
      <c r="AT84" s="1535"/>
      <c r="AU84" s="1535"/>
      <c r="AV84" s="1535"/>
      <c r="AW84" s="1535"/>
      <c r="AX84" s="1535"/>
      <c r="AY84" s="1535"/>
      <c r="AZ84" s="1535"/>
      <c r="BA84" s="1535"/>
      <c r="BB84" s="1535"/>
      <c r="BC84" s="1535"/>
      <c r="BD84" s="1535"/>
      <c r="BE84" s="1535"/>
      <c r="BF84" s="1535"/>
      <c r="BG84" s="1535"/>
      <c r="BH84" s="1535"/>
      <c r="BI84" s="1535"/>
      <c r="BJ84" s="1535"/>
      <c r="BK84" s="1535"/>
      <c r="BL84" s="1535"/>
      <c r="BM84" s="1535"/>
      <c r="BN84" s="1535"/>
      <c r="BO84" s="1535"/>
      <c r="BP84" s="1535"/>
      <c r="BQ84" s="1535"/>
      <c r="BR84" s="1535"/>
      <c r="BS84" s="1535"/>
      <c r="BT84" s="1535"/>
      <c r="BU84" s="1535"/>
      <c r="BV84" s="1535"/>
      <c r="BW84" s="1535"/>
      <c r="BX84" s="1535"/>
      <c r="BY84" s="1535"/>
      <c r="BZ84" s="1535"/>
      <c r="CA84" s="1535"/>
      <c r="CB84" s="1535"/>
      <c r="CC84" s="1535"/>
      <c r="CD84" s="1535"/>
      <c r="CE84" s="1535"/>
      <c r="CF84" s="1535"/>
      <c r="CG84" s="1535"/>
      <c r="CH84" s="1535"/>
      <c r="CI84" s="1535"/>
      <c r="CJ84" s="1535"/>
      <c r="CK84" s="1535"/>
      <c r="CL84" s="1535"/>
      <c r="CM84" s="1535"/>
      <c r="CN84" s="1535"/>
      <c r="CO84" s="1535"/>
      <c r="CP84" s="1535"/>
      <c r="CQ84" s="1535"/>
      <c r="CR84" s="1535"/>
      <c r="CS84" s="1535"/>
      <c r="CT84" s="1535"/>
      <c r="CU84" s="1535"/>
      <c r="CV84" s="1535"/>
      <c r="CW84" s="1535"/>
      <c r="CX84" s="1535"/>
      <c r="CY84" s="1535"/>
      <c r="CZ84" s="1535"/>
      <c r="DA84" s="1535"/>
      <c r="DB84" s="1535"/>
      <c r="DC84" s="1535"/>
      <c r="DD84" s="1535"/>
      <c r="DE84" s="1535"/>
      <c r="DF84" s="1535"/>
      <c r="DG84" s="1535"/>
      <c r="DH84" s="1535"/>
      <c r="DI84" s="1535"/>
      <c r="DJ84" s="1535"/>
      <c r="DK84" s="1535"/>
      <c r="DL84" s="1535"/>
      <c r="DM84" s="1535"/>
      <c r="DN84" s="1535"/>
      <c r="DO84" s="1535"/>
      <c r="DP84" s="1535"/>
      <c r="DQ84" s="1535"/>
      <c r="DR84" s="1535"/>
      <c r="DS84" s="1535"/>
      <c r="DT84" s="1535"/>
      <c r="DU84" s="1535"/>
      <c r="DV84" s="1535"/>
      <c r="DW84" s="1535"/>
      <c r="DX84" s="1535"/>
    </row>
    <row r="85" spans="1:128" ht="18.75" customHeight="1">
      <c r="L85" s="1535"/>
      <c r="M85" s="1535"/>
      <c r="N85" s="1535"/>
      <c r="O85" s="1536"/>
      <c r="P85" s="1536"/>
      <c r="Q85" s="1536"/>
      <c r="R85" s="1536"/>
      <c r="S85" s="1536"/>
      <c r="T85" s="1536"/>
      <c r="U85" s="1536"/>
      <c r="V85" s="1536"/>
      <c r="W85" s="1536"/>
      <c r="X85" s="1536"/>
      <c r="Y85" s="1536"/>
      <c r="Z85" s="1536"/>
      <c r="AA85" s="1536"/>
      <c r="AB85" s="1536"/>
      <c r="AC85" s="1536"/>
      <c r="AD85" s="1536"/>
      <c r="AE85" s="1536"/>
      <c r="AF85" s="1536"/>
      <c r="AG85" s="1536"/>
      <c r="AH85" s="1536"/>
      <c r="AI85" s="1535"/>
      <c r="AJ85" s="1536"/>
      <c r="AK85" s="1535"/>
      <c r="AL85" s="1536"/>
      <c r="AM85" s="1536"/>
      <c r="AN85" s="1536"/>
      <c r="AO85" s="1536"/>
      <c r="AP85" s="1536"/>
      <c r="AQ85" s="1536"/>
      <c r="AR85" s="1536"/>
      <c r="AS85" s="1536"/>
      <c r="AT85" s="1536"/>
      <c r="AU85" s="1536"/>
      <c r="AV85" s="1536"/>
      <c r="AW85" s="1536"/>
      <c r="AX85" s="1536"/>
      <c r="AY85" s="1535"/>
      <c r="AZ85" s="1536"/>
      <c r="BA85" s="1537"/>
      <c r="BB85" s="1536"/>
      <c r="BC85" s="1536"/>
      <c r="BD85" s="1536"/>
      <c r="BE85" s="1536"/>
      <c r="BF85" s="1536"/>
      <c r="BG85" s="1536"/>
      <c r="BH85" s="1536"/>
      <c r="BI85" s="1536"/>
      <c r="BJ85" s="1536"/>
      <c r="BK85" s="1536"/>
      <c r="BL85" s="1536"/>
      <c r="BM85" s="1536"/>
      <c r="BN85" s="1536"/>
      <c r="BO85" s="1536"/>
      <c r="BP85" s="1536"/>
      <c r="BQ85" s="1536"/>
      <c r="BR85" s="1536"/>
      <c r="BS85" s="1536"/>
      <c r="BT85" s="1536"/>
      <c r="BU85" s="1536"/>
      <c r="BV85" s="1536"/>
      <c r="BW85" s="1536"/>
      <c r="BX85" s="1536"/>
      <c r="BY85" s="1536"/>
      <c r="BZ85" s="1536"/>
      <c r="CA85" s="1536"/>
      <c r="CB85" s="1536"/>
      <c r="CC85" s="1536"/>
      <c r="CD85" s="1536"/>
      <c r="CE85" s="1536"/>
      <c r="CF85" s="1536"/>
      <c r="CG85" s="1535"/>
      <c r="CH85" s="1536"/>
      <c r="CI85" s="1535"/>
      <c r="CJ85" s="1536"/>
      <c r="CK85" s="1535"/>
      <c r="CL85" s="1536"/>
      <c r="CM85" s="1535"/>
      <c r="CN85" s="1536"/>
      <c r="CO85" s="1535"/>
      <c r="CP85" s="1536"/>
      <c r="CQ85" s="1535"/>
      <c r="CR85" s="1536"/>
      <c r="CS85" s="1535"/>
      <c r="CT85" s="1536"/>
      <c r="CU85" s="1535"/>
      <c r="CV85" s="1536"/>
      <c r="CW85" s="1535"/>
      <c r="CX85" s="1536"/>
      <c r="CY85" s="1535"/>
      <c r="CZ85" s="1536"/>
      <c r="DA85" s="1535"/>
      <c r="DB85" s="1536"/>
      <c r="DC85" s="1535"/>
      <c r="DD85" s="1536"/>
      <c r="DE85" s="1535"/>
      <c r="DF85" s="1536"/>
      <c r="DG85" s="1536"/>
      <c r="DH85" s="1536"/>
      <c r="DI85" s="1535"/>
      <c r="DJ85" s="1536"/>
      <c r="DK85" s="1535"/>
      <c r="DL85" s="1536"/>
      <c r="DM85" s="1535"/>
      <c r="DN85" s="1536"/>
      <c r="DO85" s="1535"/>
      <c r="DP85" s="1536"/>
      <c r="DQ85" s="1535"/>
      <c r="DR85" s="1536"/>
      <c r="DS85" s="1535"/>
      <c r="DT85" s="1536"/>
      <c r="DU85" s="1535"/>
      <c r="DV85" s="1536"/>
      <c r="DW85" s="1535"/>
      <c r="DX85" s="1536"/>
    </row>
    <row r="86" spans="1:128" ht="18.75" customHeight="1">
      <c r="L86" s="1535"/>
      <c r="M86" s="1535"/>
      <c r="N86" s="1535"/>
      <c r="O86" s="1536"/>
      <c r="P86" s="1536"/>
      <c r="Q86" s="1536"/>
      <c r="R86" s="1536"/>
      <c r="S86" s="1536"/>
      <c r="T86" s="1536"/>
      <c r="U86" s="1536"/>
      <c r="V86" s="1536"/>
      <c r="W86" s="1536"/>
      <c r="X86" s="1536"/>
      <c r="Y86" s="1536"/>
      <c r="Z86" s="1536"/>
      <c r="AA86" s="1536"/>
      <c r="AB86" s="1536"/>
      <c r="AC86" s="1536"/>
      <c r="AD86" s="1536"/>
      <c r="AE86" s="1536"/>
      <c r="AF86" s="1536"/>
      <c r="AG86" s="1536"/>
      <c r="AH86" s="1536"/>
      <c r="AI86" s="1535"/>
      <c r="AJ86" s="1535"/>
      <c r="AK86" s="1535"/>
      <c r="AL86" s="1535"/>
      <c r="AM86" s="1536"/>
      <c r="AN86" s="1536"/>
      <c r="AO86" s="1536"/>
      <c r="AP86" s="1536"/>
      <c r="AQ86" s="1536"/>
      <c r="AR86" s="1536"/>
      <c r="AS86" s="1536"/>
      <c r="AT86" s="1536"/>
      <c r="AU86" s="1536"/>
      <c r="AV86" s="1536"/>
      <c r="AW86" s="1536"/>
      <c r="AX86" s="1536"/>
      <c r="AY86" s="1535"/>
      <c r="AZ86" s="1535"/>
      <c r="BA86" s="1537"/>
      <c r="BB86" s="1537"/>
      <c r="BC86" s="1536"/>
      <c r="BD86" s="1536"/>
      <c r="BE86" s="1536"/>
      <c r="BF86" s="1536"/>
      <c r="BG86" s="1536"/>
      <c r="BH86" s="1536"/>
      <c r="BI86" s="1536"/>
      <c r="BJ86" s="1536"/>
      <c r="BK86" s="1536"/>
      <c r="BL86" s="1536"/>
      <c r="BM86" s="1536"/>
      <c r="BN86" s="1536"/>
      <c r="BO86" s="1536"/>
      <c r="BP86" s="1536"/>
      <c r="BQ86" s="1536"/>
      <c r="BR86" s="1537"/>
      <c r="BS86" s="1536"/>
      <c r="BT86" s="1536"/>
      <c r="BU86" s="1536"/>
      <c r="BV86" s="1536"/>
      <c r="BW86" s="1536"/>
      <c r="BX86" s="1536"/>
      <c r="BY86" s="1536"/>
      <c r="BZ86" s="1536"/>
      <c r="CA86" s="1536"/>
      <c r="CB86" s="1536"/>
      <c r="CC86" s="1536"/>
      <c r="CD86" s="1536"/>
      <c r="CE86" s="1536"/>
      <c r="CF86" s="1536"/>
      <c r="CG86" s="1535"/>
      <c r="CH86" s="1535"/>
      <c r="CI86" s="1535"/>
      <c r="CJ86" s="1535"/>
      <c r="CK86" s="1535"/>
      <c r="CL86" s="1535"/>
      <c r="CM86" s="1535"/>
      <c r="CN86" s="1535"/>
      <c r="CO86" s="1535"/>
      <c r="CP86" s="1535"/>
      <c r="CQ86" s="1535"/>
      <c r="CR86" s="1535"/>
      <c r="CS86" s="1535"/>
      <c r="CT86" s="1535"/>
      <c r="CU86" s="1535"/>
      <c r="CV86" s="1535"/>
      <c r="CW86" s="1535"/>
      <c r="CX86" s="1536"/>
      <c r="CY86" s="1535"/>
      <c r="CZ86" s="1536"/>
      <c r="DA86" s="1535"/>
      <c r="DB86" s="1536"/>
      <c r="DC86" s="1535"/>
      <c r="DD86" s="1536"/>
      <c r="DE86" s="1535"/>
      <c r="DF86" s="1536"/>
      <c r="DG86" s="1536"/>
      <c r="DH86" s="1536"/>
      <c r="DI86" s="1535"/>
      <c r="DJ86" s="1536"/>
      <c r="DK86" s="1535"/>
      <c r="DL86" s="1536"/>
      <c r="DM86" s="1535"/>
      <c r="DN86" s="1536"/>
      <c r="DO86" s="1535"/>
      <c r="DP86" s="1536"/>
      <c r="DQ86" s="1535"/>
      <c r="DR86" s="1536"/>
      <c r="DS86" s="1535"/>
      <c r="DT86" s="1536"/>
      <c r="DU86" s="1535"/>
      <c r="DV86" s="1536"/>
      <c r="DW86" s="1535"/>
      <c r="DX86" s="1536"/>
    </row>
    <row r="87" spans="1:128" ht="18.75" customHeight="1">
      <c r="L87" s="1535"/>
      <c r="M87" s="1535"/>
      <c r="N87" s="1535"/>
      <c r="O87" s="1536"/>
      <c r="P87" s="1536"/>
      <c r="Q87" s="1536"/>
      <c r="R87" s="1536"/>
      <c r="S87" s="1536"/>
      <c r="T87" s="1536"/>
      <c r="U87" s="1536"/>
      <c r="V87" s="1536"/>
      <c r="W87" s="1536"/>
      <c r="X87" s="1536"/>
      <c r="Y87" s="1536"/>
      <c r="Z87" s="1536"/>
      <c r="AA87" s="1536"/>
      <c r="AB87" s="1536"/>
      <c r="AC87" s="1536"/>
      <c r="AD87" s="1536"/>
      <c r="AE87" s="1536"/>
      <c r="AF87" s="1536"/>
      <c r="AG87" s="1536"/>
      <c r="AH87" s="1536"/>
      <c r="AI87" s="1535"/>
      <c r="AJ87" s="1535"/>
      <c r="AK87" s="1535"/>
      <c r="AL87" s="1535"/>
      <c r="AM87" s="1536"/>
      <c r="AN87" s="1536"/>
      <c r="AO87" s="1536"/>
      <c r="AP87" s="1536"/>
      <c r="AQ87" s="1536"/>
      <c r="AR87" s="1536"/>
      <c r="AS87" s="1536"/>
      <c r="AT87" s="1536"/>
      <c r="AU87" s="1536"/>
      <c r="AV87" s="1536"/>
      <c r="AW87" s="1536"/>
      <c r="AX87" s="1536"/>
      <c r="AY87" s="1535"/>
      <c r="AZ87" s="1535"/>
      <c r="BA87" s="1537"/>
      <c r="BB87" s="1537"/>
      <c r="BC87" s="1536"/>
      <c r="BD87" s="1536"/>
      <c r="BE87" s="1536"/>
      <c r="BF87" s="1536"/>
      <c r="BG87" s="1536"/>
      <c r="BH87" s="1536"/>
      <c r="BI87" s="1536"/>
      <c r="BJ87" s="1536"/>
      <c r="BK87" s="1536"/>
      <c r="BL87" s="1536"/>
      <c r="BM87" s="1536"/>
      <c r="BN87" s="1536"/>
      <c r="BO87" s="1536"/>
      <c r="BP87" s="1536"/>
      <c r="BQ87" s="1536"/>
      <c r="BR87" s="1537"/>
      <c r="BS87" s="1536"/>
      <c r="BT87" s="1536"/>
      <c r="BU87" s="1536"/>
      <c r="BV87" s="1536"/>
      <c r="BW87" s="1536"/>
      <c r="BX87" s="1536"/>
      <c r="BY87" s="1536"/>
      <c r="BZ87" s="1536"/>
      <c r="CA87" s="1536"/>
      <c r="CB87" s="1536"/>
      <c r="CC87" s="1536"/>
      <c r="CD87" s="1536"/>
      <c r="CE87" s="1536"/>
      <c r="CF87" s="1536"/>
      <c r="CG87" s="1535"/>
      <c r="CH87" s="1535"/>
      <c r="CI87" s="1535"/>
      <c r="CJ87" s="1535"/>
      <c r="CK87" s="1535"/>
      <c r="CL87" s="1535"/>
      <c r="CM87" s="1535"/>
      <c r="CN87" s="1535"/>
      <c r="CO87" s="1535"/>
      <c r="CP87" s="1535"/>
      <c r="CQ87" s="1535"/>
      <c r="CR87" s="1535"/>
      <c r="CS87" s="1535"/>
      <c r="CT87" s="1535"/>
      <c r="CU87" s="1535"/>
      <c r="CV87" s="1535"/>
      <c r="CW87" s="1535"/>
      <c r="CX87" s="1536"/>
      <c r="CY87" s="1535"/>
      <c r="CZ87" s="1536"/>
      <c r="DA87" s="1535"/>
      <c r="DB87" s="1536"/>
      <c r="DC87" s="1535"/>
      <c r="DD87" s="1536"/>
      <c r="DE87" s="1535"/>
      <c r="DF87" s="1536"/>
      <c r="DG87" s="1536"/>
      <c r="DH87" s="1536"/>
      <c r="DI87" s="1535"/>
      <c r="DJ87" s="1536"/>
      <c r="DK87" s="1535"/>
      <c r="DL87" s="1536"/>
      <c r="DM87" s="1535"/>
      <c r="DN87" s="1536"/>
      <c r="DO87" s="1535"/>
      <c r="DP87" s="1536"/>
      <c r="DQ87" s="1535"/>
      <c r="DR87" s="1536"/>
      <c r="DS87" s="1535"/>
      <c r="DT87" s="1536"/>
      <c r="DU87" s="1535"/>
      <c r="DV87" s="1536"/>
      <c r="DW87" s="1535"/>
      <c r="DX87" s="1536"/>
    </row>
    <row r="88" spans="1:128" ht="18.75" customHeight="1">
      <c r="L88" s="1535"/>
      <c r="M88" s="1535"/>
      <c r="N88" s="1535"/>
      <c r="O88" s="1536"/>
      <c r="P88" s="1536"/>
      <c r="Q88" s="1536"/>
      <c r="R88" s="1536"/>
      <c r="S88" s="1536"/>
      <c r="T88" s="1536"/>
      <c r="U88" s="1536"/>
      <c r="V88" s="1536"/>
      <c r="W88" s="1536"/>
      <c r="X88" s="1536"/>
      <c r="Y88" s="1536"/>
      <c r="Z88" s="1536"/>
      <c r="AA88" s="1536"/>
      <c r="AB88" s="1536"/>
      <c r="AC88" s="1536"/>
      <c r="AD88" s="1536"/>
      <c r="AE88" s="1536"/>
      <c r="AF88" s="1536"/>
      <c r="AG88" s="1536"/>
      <c r="AH88" s="1536"/>
      <c r="AI88" s="1535"/>
      <c r="AJ88" s="1535"/>
      <c r="AK88" s="1535"/>
      <c r="AL88" s="1535"/>
      <c r="AM88" s="1536"/>
      <c r="AN88" s="1536"/>
      <c r="AO88" s="1536"/>
      <c r="AP88" s="1536"/>
      <c r="AQ88" s="1536"/>
      <c r="AR88" s="1536"/>
      <c r="AS88" s="1536"/>
      <c r="AT88" s="1536"/>
      <c r="AU88" s="1536"/>
      <c r="AV88" s="1536"/>
      <c r="AW88" s="1536"/>
      <c r="AX88" s="1536"/>
      <c r="AY88" s="1535"/>
      <c r="AZ88" s="1535"/>
      <c r="BA88" s="1537"/>
      <c r="BB88" s="1537"/>
      <c r="BC88" s="1536"/>
      <c r="BD88" s="1536"/>
      <c r="BE88" s="1536"/>
      <c r="BF88" s="1536"/>
      <c r="BG88" s="1536"/>
      <c r="BH88" s="1536"/>
      <c r="BI88" s="1536"/>
      <c r="BJ88" s="1536"/>
      <c r="BK88" s="1536"/>
      <c r="BL88" s="1536"/>
      <c r="BM88" s="1536"/>
      <c r="BN88" s="1536"/>
      <c r="BO88" s="1536"/>
      <c r="BP88" s="1536"/>
      <c r="BQ88" s="1536"/>
      <c r="BR88" s="1537"/>
      <c r="BS88" s="1536"/>
      <c r="BT88" s="1536"/>
      <c r="BU88" s="1536"/>
      <c r="BV88" s="1536"/>
      <c r="BW88" s="1536"/>
      <c r="BX88" s="1536"/>
      <c r="BY88" s="1536"/>
      <c r="BZ88" s="1536"/>
      <c r="CA88" s="1536"/>
      <c r="CB88" s="1536"/>
      <c r="CC88" s="1536"/>
      <c r="CD88" s="1536"/>
      <c r="CE88" s="1536"/>
      <c r="CF88" s="1536"/>
      <c r="CG88" s="1535"/>
      <c r="CH88" s="1535"/>
      <c r="CI88" s="1535"/>
      <c r="CJ88" s="1535"/>
      <c r="CK88" s="1535"/>
      <c r="CL88" s="1535"/>
      <c r="CM88" s="1535"/>
      <c r="CN88" s="1535"/>
      <c r="CO88" s="1535"/>
      <c r="CP88" s="1535"/>
      <c r="CQ88" s="1535"/>
      <c r="CR88" s="1535"/>
      <c r="CS88" s="1535"/>
      <c r="CT88" s="1535"/>
      <c r="CU88" s="1535"/>
      <c r="CV88" s="1535"/>
      <c r="CW88" s="1535"/>
      <c r="CX88" s="1536"/>
      <c r="CY88" s="1535"/>
      <c r="CZ88" s="1536"/>
      <c r="DA88" s="1535"/>
      <c r="DB88" s="1536"/>
      <c r="DC88" s="1535"/>
      <c r="DD88" s="1536"/>
      <c r="DE88" s="1535"/>
      <c r="DF88" s="1536"/>
      <c r="DG88" s="1536"/>
      <c r="DH88" s="1536"/>
      <c r="DI88" s="1535"/>
      <c r="DJ88" s="1536"/>
      <c r="DK88" s="1535"/>
      <c r="DL88" s="1536"/>
      <c r="DM88" s="1535"/>
      <c r="DN88" s="1536"/>
      <c r="DO88" s="1535"/>
      <c r="DP88" s="1536"/>
      <c r="DQ88" s="1535"/>
      <c r="DR88" s="1536"/>
      <c r="DS88" s="1535"/>
      <c r="DT88" s="1536"/>
      <c r="DU88" s="1535"/>
      <c r="DV88" s="1536"/>
      <c r="DW88" s="1535"/>
      <c r="DX88" s="1536"/>
    </row>
    <row r="89" spans="1:128" ht="18.75" customHeight="1">
      <c r="L89" s="1535"/>
      <c r="M89" s="1535"/>
      <c r="N89" s="1535"/>
      <c r="O89" s="1536"/>
      <c r="P89" s="1536"/>
      <c r="Q89" s="1536"/>
      <c r="R89" s="1536"/>
      <c r="S89" s="1536"/>
      <c r="T89" s="1536"/>
      <c r="U89" s="1536"/>
      <c r="V89" s="1536"/>
      <c r="W89" s="1536"/>
      <c r="X89" s="1536"/>
      <c r="Y89" s="1536"/>
      <c r="Z89" s="1536"/>
      <c r="AA89" s="1536"/>
      <c r="AB89" s="1536"/>
      <c r="AC89" s="1536"/>
      <c r="AD89" s="1536"/>
      <c r="AE89" s="1536"/>
      <c r="AF89" s="1536"/>
      <c r="AG89" s="1536"/>
      <c r="AH89" s="1536"/>
      <c r="AI89" s="1535"/>
      <c r="AJ89" s="1535"/>
      <c r="AK89" s="1535"/>
      <c r="AL89" s="1535"/>
      <c r="AM89" s="1536"/>
      <c r="AN89" s="1536"/>
      <c r="AO89" s="1536"/>
      <c r="AP89" s="1536"/>
      <c r="AQ89" s="1536"/>
      <c r="AR89" s="1536"/>
      <c r="AS89" s="1536"/>
      <c r="AT89" s="1536"/>
      <c r="AU89" s="1536"/>
      <c r="AV89" s="1536"/>
      <c r="AW89" s="1536"/>
      <c r="AX89" s="1536"/>
      <c r="AY89" s="1535"/>
      <c r="AZ89" s="1535"/>
      <c r="BA89" s="1537"/>
      <c r="BB89" s="1537"/>
      <c r="BC89" s="1536"/>
      <c r="BD89" s="1536"/>
      <c r="BE89" s="1536"/>
      <c r="BF89" s="1536"/>
      <c r="BG89" s="1536"/>
      <c r="BH89" s="1536"/>
      <c r="BI89" s="1536"/>
      <c r="BJ89" s="1536"/>
      <c r="BK89" s="1536"/>
      <c r="BL89" s="1536"/>
      <c r="BM89" s="1536"/>
      <c r="BN89" s="1536"/>
      <c r="BO89" s="1536"/>
      <c r="BP89" s="1536"/>
      <c r="BQ89" s="1536"/>
      <c r="BR89" s="1537"/>
      <c r="BS89" s="1536"/>
      <c r="BT89" s="1536"/>
      <c r="BU89" s="1536"/>
      <c r="BV89" s="1536"/>
      <c r="BW89" s="1536"/>
      <c r="BX89" s="1536"/>
      <c r="BY89" s="1536"/>
      <c r="BZ89" s="1536"/>
      <c r="CA89" s="1536"/>
      <c r="CB89" s="1536"/>
      <c r="CC89" s="1536"/>
      <c r="CD89" s="1536"/>
      <c r="CE89" s="1536"/>
      <c r="CF89" s="1536"/>
      <c r="CG89" s="1535"/>
      <c r="CH89" s="1535"/>
      <c r="CI89" s="1535"/>
      <c r="CJ89" s="1535"/>
      <c r="CK89" s="1535"/>
      <c r="CL89" s="1535"/>
      <c r="CM89" s="1535"/>
      <c r="CN89" s="1535"/>
      <c r="CO89" s="1535"/>
      <c r="CP89" s="1535"/>
      <c r="CQ89" s="1535"/>
      <c r="CR89" s="1535"/>
      <c r="CS89" s="1535"/>
      <c r="CT89" s="1535"/>
      <c r="CU89" s="1535"/>
      <c r="CV89" s="1535"/>
      <c r="CW89" s="1535"/>
      <c r="CX89" s="1536"/>
      <c r="CY89" s="1535"/>
      <c r="CZ89" s="1536"/>
      <c r="DA89" s="1535"/>
      <c r="DB89" s="1536"/>
      <c r="DC89" s="1535"/>
      <c r="DD89" s="1536"/>
      <c r="DE89" s="1535"/>
      <c r="DF89" s="1536"/>
      <c r="DG89" s="1536"/>
      <c r="DH89" s="1536"/>
      <c r="DI89" s="1535"/>
      <c r="DJ89" s="1536"/>
      <c r="DK89" s="1535"/>
      <c r="DL89" s="1536"/>
      <c r="DM89" s="1535"/>
      <c r="DN89" s="1536"/>
      <c r="DO89" s="1535"/>
      <c r="DP89" s="1536"/>
      <c r="DQ89" s="1535"/>
      <c r="DR89" s="1536"/>
      <c r="DS89" s="1535"/>
      <c r="DT89" s="1536"/>
      <c r="DU89" s="1535"/>
      <c r="DV89" s="1536"/>
      <c r="DW89" s="1535"/>
      <c r="DX89" s="1536"/>
    </row>
    <row r="90" spans="1:128" ht="18.75" customHeight="1">
      <c r="DF90" s="1536"/>
      <c r="DG90" s="1536"/>
      <c r="DH90" s="1536"/>
    </row>
    <row r="91" spans="1:128" ht="18.75" customHeight="1"/>
    <row r="92" spans="1:128" ht="18.75" customHeight="1"/>
    <row r="93" spans="1:128" ht="18.75" customHeight="1"/>
    <row r="94" spans="1:128" ht="18.75" customHeight="1"/>
    <row r="95" spans="1:128" ht="18.75" customHeight="1"/>
    <row r="96" spans="1:128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</sheetData>
  <mergeCells count="76">
    <mergeCell ref="M1:DX2"/>
    <mergeCell ref="E3:F3"/>
    <mergeCell ref="DA4:DB4"/>
    <mergeCell ref="DC4:DD4"/>
    <mergeCell ref="DE4:DF4"/>
    <mergeCell ref="CK4:CL4"/>
    <mergeCell ref="CM4:CN4"/>
    <mergeCell ref="CO4:CP4"/>
    <mergeCell ref="CQ4:CR4"/>
    <mergeCell ref="CS4:CT4"/>
    <mergeCell ref="CW4:CX4"/>
    <mergeCell ref="CY4:CZ4"/>
    <mergeCell ref="BI4:BJ4"/>
    <mergeCell ref="BK4:BL4"/>
    <mergeCell ref="BM4:BN4"/>
    <mergeCell ref="BO4:BP4"/>
    <mergeCell ref="CU4:CV4"/>
    <mergeCell ref="DW4:DX4"/>
    <mergeCell ref="DO4:DP4"/>
    <mergeCell ref="DQ4:DR4"/>
    <mergeCell ref="DS4:DT4"/>
    <mergeCell ref="DU4:DV4"/>
    <mergeCell ref="DM4:DN4"/>
    <mergeCell ref="DG4:DH4"/>
    <mergeCell ref="BQ4:BR4"/>
    <mergeCell ref="BS4:BT4"/>
    <mergeCell ref="CG4:CH4"/>
    <mergeCell ref="CI4:CJ4"/>
    <mergeCell ref="AI4:AJ4"/>
    <mergeCell ref="AS4:AT4"/>
    <mergeCell ref="AU4:AV4"/>
    <mergeCell ref="BU4:BV4"/>
    <mergeCell ref="BW4:BX4"/>
    <mergeCell ref="AY4:AZ4"/>
    <mergeCell ref="BY4:BZ4"/>
    <mergeCell ref="CA4:CB4"/>
    <mergeCell ref="CC4:CD4"/>
    <mergeCell ref="CE4:CF4"/>
    <mergeCell ref="AO3:AR3"/>
    <mergeCell ref="AO4:AP4"/>
    <mergeCell ref="AQ4:AR4"/>
    <mergeCell ref="BA4:BB4"/>
    <mergeCell ref="BC4:BD4"/>
    <mergeCell ref="AW4:AX4"/>
    <mergeCell ref="BQ3:BX3"/>
    <mergeCell ref="AS3:AV3"/>
    <mergeCell ref="AW3:AX3"/>
    <mergeCell ref="AY3:BD3"/>
    <mergeCell ref="BE3:BF3"/>
    <mergeCell ref="BG3:BH3"/>
    <mergeCell ref="BI3:BP3"/>
    <mergeCell ref="W3:AH3"/>
    <mergeCell ref="AI3:AN3"/>
    <mergeCell ref="Y4:Z4"/>
    <mergeCell ref="AA4:AB4"/>
    <mergeCell ref="AC4:AD4"/>
    <mergeCell ref="AE4:AF4"/>
    <mergeCell ref="AK4:AL4"/>
    <mergeCell ref="AM4:AN4"/>
    <mergeCell ref="W4:X4"/>
    <mergeCell ref="AG4:AH4"/>
    <mergeCell ref="DM3:DT3"/>
    <mergeCell ref="DU3:DX3"/>
    <mergeCell ref="BY3:CD3"/>
    <mergeCell ref="CE3:CR3"/>
    <mergeCell ref="CS3:CZ3"/>
    <mergeCell ref="DI3:DJ3"/>
    <mergeCell ref="DK3:DL3"/>
    <mergeCell ref="DA3:DF3"/>
    <mergeCell ref="U4:V4"/>
    <mergeCell ref="S3:V3"/>
    <mergeCell ref="M3:R3"/>
    <mergeCell ref="M4:N4"/>
    <mergeCell ref="O4:P4"/>
    <mergeCell ref="Q4:R4"/>
    <mergeCell ref="S4:T4"/>
  </mergeCells>
  <phoneticPr fontId="31" type="noConversion"/>
  <printOptions horizontalCentered="1"/>
  <pageMargins left="0.39370078740157483" right="0.19685039370078741" top="0.59055118110236227" bottom="0.39370078740157483" header="0.19685039370078741" footer="0.19685039370078741"/>
  <pageSetup paperSize="9" orientation="portrait" horizontalDpi="4294967293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4">
    <tabColor rgb="FFFF0000"/>
  </sheetPr>
  <dimension ref="A1:DX1006"/>
  <sheetViews>
    <sheetView view="pageBreakPreview" topLeftCell="A25" zoomScale="60" zoomScaleNormal="66" workbookViewId="0">
      <selection activeCell="BY123" sqref="BY123"/>
    </sheetView>
  </sheetViews>
  <sheetFormatPr defaultColWidth="12" defaultRowHeight="18.75"/>
  <cols>
    <col min="1" max="1" width="3.6640625" style="1745" customWidth="1"/>
    <col min="2" max="2" width="15.83203125" style="1754" customWidth="1"/>
    <col min="3" max="4" width="15.83203125" style="1755" customWidth="1"/>
    <col min="5" max="5" width="3.5" style="1755" customWidth="1"/>
    <col min="6" max="6" width="15.83203125" style="1756" customWidth="1"/>
    <col min="7" max="8" width="15.83203125" style="1755" customWidth="1"/>
    <col min="9" max="9" width="9.6640625" style="1755" customWidth="1"/>
    <col min="10" max="10" width="9.33203125" style="1627" customWidth="1"/>
    <col min="11" max="15" width="6.83203125" style="1461" customWidth="1"/>
    <col min="16" max="16" width="8" style="1461" customWidth="1"/>
    <col min="17" max="17" width="7.83203125" style="1461" customWidth="1"/>
    <col min="18" max="18" width="8" style="1461" customWidth="1"/>
    <col min="19" max="19" width="7.6640625" style="1461" customWidth="1"/>
    <col min="20" max="31" width="6.83203125" style="1461" customWidth="1"/>
    <col min="32" max="66" width="6.83203125" style="1461" hidden="1" customWidth="1"/>
    <col min="67" max="67" width="9.33203125" style="1461" customWidth="1"/>
    <col min="68" max="72" width="6.83203125" style="1461" customWidth="1"/>
    <col min="73" max="75" width="7.6640625" style="1461" customWidth="1"/>
    <col min="76" max="76" width="7.83203125" style="1461" customWidth="1"/>
    <col min="77" max="88" width="6.83203125" style="1461" customWidth="1"/>
    <col min="89" max="128" width="6.83203125" style="1461" hidden="1" customWidth="1"/>
    <col min="129" max="16384" width="12" style="1461"/>
  </cols>
  <sheetData>
    <row r="1" spans="1:128" ht="21" customHeight="1">
      <c r="A1" s="1622"/>
      <c r="B1" s="1623" t="s">
        <v>942</v>
      </c>
      <c r="C1" s="1624">
        <f>กรอกราคาวัสดุ!L3</f>
        <v>35.5</v>
      </c>
      <c r="D1" s="1625" t="s">
        <v>786</v>
      </c>
      <c r="E1" s="1624"/>
      <c r="F1" s="1626"/>
      <c r="G1" s="1625"/>
      <c r="H1" s="1625"/>
      <c r="I1" s="1625"/>
      <c r="K1" s="2521"/>
      <c r="L1" s="2521"/>
      <c r="M1" s="2521"/>
      <c r="N1" s="2521"/>
      <c r="O1" s="2521"/>
      <c r="P1" s="2521"/>
      <c r="Q1" s="2521"/>
      <c r="R1" s="2521"/>
      <c r="S1" s="2521"/>
      <c r="T1" s="2521"/>
      <c r="U1" s="2521"/>
      <c r="V1" s="2521"/>
      <c r="W1" s="2521"/>
      <c r="X1" s="2521"/>
      <c r="Y1" s="2521"/>
      <c r="Z1" s="2521"/>
      <c r="AA1" s="2521"/>
      <c r="AB1" s="2521"/>
      <c r="AC1" s="2521"/>
      <c r="AD1" s="2521"/>
      <c r="AE1" s="2521"/>
      <c r="AF1" s="2521"/>
      <c r="AG1" s="2521"/>
      <c r="AH1" s="2521"/>
      <c r="AI1" s="2521"/>
      <c r="AJ1" s="2521"/>
      <c r="AK1" s="1628"/>
      <c r="AL1" s="1628"/>
      <c r="AM1" s="1628"/>
      <c r="AN1" s="1628"/>
      <c r="AO1" s="1628"/>
      <c r="AP1" s="1628"/>
      <c r="AQ1" s="1628"/>
      <c r="AR1" s="1628"/>
      <c r="AS1" s="1628"/>
      <c r="AT1" s="1628"/>
      <c r="AU1" s="1628"/>
      <c r="AV1" s="1628"/>
      <c r="AW1" s="1628"/>
      <c r="AX1" s="1628"/>
      <c r="AY1" s="1628"/>
      <c r="AZ1" s="1628"/>
      <c r="BA1" s="1628"/>
      <c r="BB1" s="1628"/>
      <c r="BC1" s="1628"/>
      <c r="BD1" s="1628"/>
      <c r="BE1" s="1628"/>
      <c r="BF1" s="1628"/>
      <c r="BG1" s="1628"/>
      <c r="BH1" s="1628"/>
      <c r="BI1" s="1628"/>
      <c r="BJ1" s="1628"/>
      <c r="BK1" s="1628"/>
      <c r="BL1" s="1628"/>
      <c r="BM1" s="1628"/>
      <c r="BN1" s="1628"/>
      <c r="BO1" s="1629"/>
      <c r="BP1" s="1629"/>
      <c r="BQ1" s="1629"/>
      <c r="BR1" s="1629"/>
      <c r="BS1" s="1629"/>
      <c r="BT1" s="1629"/>
      <c r="BU1" s="1629"/>
      <c r="BV1" s="1629"/>
      <c r="BW1" s="1629"/>
      <c r="BX1" s="1629"/>
      <c r="BY1" s="1629"/>
      <c r="BZ1" s="1629"/>
      <c r="CA1" s="1629"/>
      <c r="CB1" s="1629"/>
      <c r="CC1" s="1629"/>
      <c r="CD1" s="1629"/>
      <c r="CE1" s="1629"/>
      <c r="CF1" s="1629"/>
      <c r="CG1" s="1629"/>
      <c r="CH1" s="1629"/>
      <c r="CI1" s="1629"/>
      <c r="CJ1" s="1629"/>
      <c r="CK1" s="1629"/>
      <c r="CL1" s="1629"/>
      <c r="CM1" s="1629"/>
      <c r="CN1" s="1629"/>
      <c r="CO1" s="1630"/>
      <c r="CP1" s="1630"/>
      <c r="CQ1" s="1630"/>
      <c r="CR1" s="1630"/>
      <c r="CS1" s="1630"/>
      <c r="CT1" s="1630"/>
      <c r="CU1" s="1630"/>
      <c r="CV1" s="1630"/>
      <c r="CW1" s="1630"/>
      <c r="CX1" s="1630"/>
      <c r="CY1" s="1630"/>
      <c r="CZ1" s="1630"/>
      <c r="DA1" s="1630"/>
      <c r="DB1" s="1630"/>
      <c r="DC1" s="1630"/>
      <c r="DD1" s="1630"/>
      <c r="DE1" s="1630"/>
      <c r="DF1" s="1630"/>
      <c r="DG1" s="1630"/>
      <c r="DH1" s="1630"/>
      <c r="DI1" s="1630"/>
      <c r="DJ1" s="1630"/>
      <c r="DK1" s="1630"/>
      <c r="DL1" s="1630"/>
      <c r="DM1" s="1630"/>
      <c r="DN1" s="1630"/>
      <c r="DO1" s="1630"/>
      <c r="DP1" s="1630"/>
      <c r="DQ1" s="1630"/>
      <c r="DR1" s="1630"/>
      <c r="DS1" s="1630"/>
      <c r="DT1" s="1630"/>
      <c r="DU1" s="1630"/>
      <c r="DV1" s="1630"/>
      <c r="DW1" s="1630"/>
      <c r="DX1" s="1630"/>
    </row>
    <row r="2" spans="1:128" ht="21" customHeight="1">
      <c r="A2" s="1622"/>
      <c r="B2" s="1461"/>
      <c r="C2" s="2522" t="s">
        <v>587</v>
      </c>
      <c r="D2" s="2523"/>
      <c r="E2" s="1534"/>
      <c r="F2" s="2522" t="s">
        <v>588</v>
      </c>
      <c r="G2" s="2523"/>
      <c r="H2" s="1631"/>
      <c r="I2" s="1631"/>
      <c r="J2" s="2524" t="s">
        <v>1447</v>
      </c>
      <c r="K2" s="2512" t="s">
        <v>1446</v>
      </c>
      <c r="L2" s="2513"/>
      <c r="M2" s="2513"/>
      <c r="N2" s="2513"/>
      <c r="O2" s="2513"/>
      <c r="P2" s="2513"/>
      <c r="Q2" s="2513"/>
      <c r="R2" s="2513"/>
      <c r="S2" s="2513"/>
      <c r="T2" s="2513"/>
      <c r="U2" s="2513"/>
      <c r="V2" s="2513"/>
      <c r="W2" s="2513"/>
      <c r="X2" s="2513"/>
      <c r="Y2" s="2513"/>
      <c r="Z2" s="2513"/>
      <c r="AA2" s="2513"/>
      <c r="AB2" s="2513"/>
      <c r="AC2" s="2513"/>
      <c r="AD2" s="2513"/>
      <c r="AE2" s="2514"/>
      <c r="AF2" s="1632"/>
      <c r="AG2" s="1632"/>
      <c r="AH2" s="1632"/>
      <c r="AI2" s="1632"/>
      <c r="AJ2" s="1633"/>
      <c r="AK2" s="1634"/>
      <c r="AL2" s="1634"/>
      <c r="AM2" s="1634"/>
      <c r="AN2" s="1634"/>
      <c r="AO2" s="1634"/>
      <c r="AP2" s="1634"/>
      <c r="AQ2" s="1634"/>
      <c r="AR2" s="1634"/>
      <c r="AS2" s="1634"/>
      <c r="AT2" s="1634"/>
      <c r="AU2" s="1634"/>
      <c r="AV2" s="1634"/>
      <c r="AW2" s="1634"/>
      <c r="AX2" s="1634"/>
      <c r="AY2" s="1634"/>
      <c r="AZ2" s="1634"/>
      <c r="BA2" s="1634"/>
      <c r="BB2" s="1634"/>
      <c r="BC2" s="1634"/>
      <c r="BD2" s="1634"/>
      <c r="BE2" s="1634"/>
      <c r="BF2" s="1634"/>
      <c r="BG2" s="1634"/>
      <c r="BH2" s="1634"/>
      <c r="BI2" s="1634"/>
      <c r="BJ2" s="1634"/>
      <c r="BK2" s="1634"/>
      <c r="BL2" s="1634"/>
      <c r="BM2" s="1634"/>
      <c r="BN2" s="1634"/>
      <c r="BO2" s="2518" t="s">
        <v>1447</v>
      </c>
      <c r="BP2" s="2512" t="s">
        <v>1448</v>
      </c>
      <c r="BQ2" s="2513"/>
      <c r="BR2" s="2513"/>
      <c r="BS2" s="2513"/>
      <c r="BT2" s="2513"/>
      <c r="BU2" s="2513"/>
      <c r="BV2" s="2513"/>
      <c r="BW2" s="2513"/>
      <c r="BX2" s="2513"/>
      <c r="BY2" s="2513"/>
      <c r="BZ2" s="2513"/>
      <c r="CA2" s="2513"/>
      <c r="CB2" s="2513"/>
      <c r="CC2" s="2513"/>
      <c r="CD2" s="2513"/>
      <c r="CE2" s="2513"/>
      <c r="CF2" s="2513"/>
      <c r="CG2" s="2513"/>
      <c r="CH2" s="2513"/>
      <c r="CI2" s="2513"/>
      <c r="CJ2" s="2514"/>
      <c r="CK2" s="1635"/>
      <c r="CL2" s="1635"/>
      <c r="CM2" s="1635"/>
      <c r="CN2" s="1635"/>
      <c r="CO2" s="1636"/>
      <c r="CP2" s="1636"/>
      <c r="CQ2" s="1636"/>
      <c r="CR2" s="1636"/>
      <c r="CS2" s="1636"/>
      <c r="CT2" s="1636"/>
      <c r="CU2" s="1636"/>
      <c r="CV2" s="1636"/>
      <c r="CW2" s="1636"/>
      <c r="CX2" s="1636"/>
      <c r="CY2" s="1636"/>
      <c r="CZ2" s="1636"/>
      <c r="DA2" s="1636"/>
      <c r="DB2" s="1636"/>
      <c r="DC2" s="1636"/>
      <c r="DD2" s="1636"/>
      <c r="DE2" s="1636"/>
      <c r="DF2" s="1636"/>
      <c r="DG2" s="1636"/>
      <c r="DH2" s="1636"/>
      <c r="DI2" s="1636"/>
      <c r="DJ2" s="1636"/>
      <c r="DK2" s="1636"/>
      <c r="DL2" s="1636"/>
      <c r="DM2" s="1636"/>
      <c r="DN2" s="1636"/>
      <c r="DO2" s="1636"/>
      <c r="DP2" s="1636"/>
      <c r="DQ2" s="1636"/>
      <c r="DR2" s="1636"/>
      <c r="DS2" s="1636"/>
      <c r="DT2" s="1636"/>
      <c r="DU2" s="1636"/>
      <c r="DV2" s="1636"/>
      <c r="DW2" s="1636"/>
      <c r="DX2" s="1634"/>
    </row>
    <row r="3" spans="1:128" ht="21" customHeight="1" thickBot="1">
      <c r="A3" s="1622"/>
      <c r="B3" s="1637" t="s">
        <v>943</v>
      </c>
      <c r="C3" s="1638" t="s">
        <v>944</v>
      </c>
      <c r="D3" s="1638" t="s">
        <v>944</v>
      </c>
      <c r="E3" s="1639"/>
      <c r="F3" s="1640" t="s">
        <v>944</v>
      </c>
      <c r="G3" s="1638" t="s">
        <v>944</v>
      </c>
      <c r="H3" s="1639"/>
      <c r="I3" s="1639"/>
      <c r="J3" s="2525"/>
      <c r="K3" s="2515"/>
      <c r="L3" s="2516"/>
      <c r="M3" s="2516"/>
      <c r="N3" s="2516"/>
      <c r="O3" s="2516"/>
      <c r="P3" s="2516"/>
      <c r="Q3" s="2516"/>
      <c r="R3" s="2516"/>
      <c r="S3" s="2516"/>
      <c r="T3" s="2516"/>
      <c r="U3" s="2516"/>
      <c r="V3" s="2516"/>
      <c r="W3" s="2516"/>
      <c r="X3" s="2516"/>
      <c r="Y3" s="2516"/>
      <c r="Z3" s="2516"/>
      <c r="AA3" s="2516"/>
      <c r="AB3" s="2516"/>
      <c r="AC3" s="2516"/>
      <c r="AD3" s="2516"/>
      <c r="AE3" s="2517"/>
      <c r="AF3" s="1641"/>
      <c r="AG3" s="1641"/>
      <c r="AH3" s="1641"/>
      <c r="AI3" s="1641"/>
      <c r="AJ3" s="1642"/>
      <c r="AK3" s="1643"/>
      <c r="AL3" s="1643"/>
      <c r="AM3" s="1643"/>
      <c r="AN3" s="1643"/>
      <c r="AO3" s="1643"/>
      <c r="AP3" s="1643"/>
      <c r="AQ3" s="1643"/>
      <c r="AR3" s="1643"/>
      <c r="AS3" s="1643"/>
      <c r="AT3" s="1643"/>
      <c r="AU3" s="1643"/>
      <c r="AV3" s="1643"/>
      <c r="AW3" s="1643"/>
      <c r="AX3" s="1643"/>
      <c r="AY3" s="1643"/>
      <c r="AZ3" s="1643"/>
      <c r="BA3" s="1643"/>
      <c r="BB3" s="1643"/>
      <c r="BC3" s="1643"/>
      <c r="BD3" s="1643"/>
      <c r="BE3" s="1643"/>
      <c r="BF3" s="1643"/>
      <c r="BG3" s="1643"/>
      <c r="BH3" s="1643"/>
      <c r="BI3" s="1643"/>
      <c r="BJ3" s="1643"/>
      <c r="BK3" s="1643"/>
      <c r="BL3" s="1643"/>
      <c r="BM3" s="1643"/>
      <c r="BN3" s="1643"/>
      <c r="BO3" s="2519"/>
      <c r="BP3" s="2515"/>
      <c r="BQ3" s="2516"/>
      <c r="BR3" s="2516"/>
      <c r="BS3" s="2516"/>
      <c r="BT3" s="2516"/>
      <c r="BU3" s="2516"/>
      <c r="BV3" s="2516"/>
      <c r="BW3" s="2516"/>
      <c r="BX3" s="2516"/>
      <c r="BY3" s="2516"/>
      <c r="BZ3" s="2516"/>
      <c r="CA3" s="2516"/>
      <c r="CB3" s="2516"/>
      <c r="CC3" s="2516"/>
      <c r="CD3" s="2516"/>
      <c r="CE3" s="2516"/>
      <c r="CF3" s="2516"/>
      <c r="CG3" s="2516"/>
      <c r="CH3" s="2516"/>
      <c r="CI3" s="2516"/>
      <c r="CJ3" s="2517"/>
      <c r="CK3" s="1644"/>
      <c r="CL3" s="1644"/>
      <c r="CM3" s="1644"/>
      <c r="CN3" s="1644"/>
      <c r="CO3" s="1645"/>
      <c r="CP3" s="1645"/>
      <c r="CQ3" s="1645"/>
      <c r="CR3" s="1645"/>
      <c r="CS3" s="1645"/>
      <c r="CT3" s="1645"/>
      <c r="CU3" s="1645"/>
      <c r="CV3" s="1645"/>
      <c r="CW3" s="1645"/>
      <c r="CX3" s="1645"/>
      <c r="CY3" s="1645"/>
      <c r="CZ3" s="1645"/>
      <c r="DA3" s="1645"/>
      <c r="DB3" s="1645"/>
      <c r="DC3" s="1645"/>
      <c r="DD3" s="1645"/>
      <c r="DE3" s="1645"/>
      <c r="DF3" s="1645"/>
      <c r="DG3" s="1645"/>
      <c r="DH3" s="1645"/>
      <c r="DI3" s="1645"/>
      <c r="DJ3" s="1645"/>
      <c r="DK3" s="1645"/>
      <c r="DL3" s="1645"/>
      <c r="DM3" s="1645"/>
      <c r="DN3" s="1645"/>
      <c r="DO3" s="1645"/>
      <c r="DP3" s="1645"/>
      <c r="DQ3" s="1645"/>
      <c r="DR3" s="1645"/>
      <c r="DS3" s="1645"/>
      <c r="DT3" s="1645"/>
      <c r="DU3" s="1645"/>
      <c r="DV3" s="1645"/>
      <c r="DW3" s="1645"/>
      <c r="DX3" s="1643"/>
    </row>
    <row r="4" spans="1:128" ht="21" customHeight="1" thickBot="1">
      <c r="A4" s="1622"/>
      <c r="B4" s="1646" t="s">
        <v>784</v>
      </c>
      <c r="C4" s="1647" t="s">
        <v>136</v>
      </c>
      <c r="D4" s="1648" t="s">
        <v>898</v>
      </c>
      <c r="E4" s="1649"/>
      <c r="F4" s="1650" t="s">
        <v>136</v>
      </c>
      <c r="G4" s="1648" t="s">
        <v>898</v>
      </c>
      <c r="H4" s="1649"/>
      <c r="I4" s="1649"/>
      <c r="J4" s="2526"/>
      <c r="K4" s="1651">
        <v>15.5</v>
      </c>
      <c r="L4" s="1652">
        <v>16.5</v>
      </c>
      <c r="M4" s="1652">
        <v>17.5</v>
      </c>
      <c r="N4" s="1652">
        <v>18.5</v>
      </c>
      <c r="O4" s="1652">
        <v>19.5</v>
      </c>
      <c r="P4" s="1653">
        <v>20.5</v>
      </c>
      <c r="Q4" s="1653">
        <v>21.5</v>
      </c>
      <c r="R4" s="1654">
        <v>22.5</v>
      </c>
      <c r="S4" s="1655">
        <v>23.5</v>
      </c>
      <c r="T4" s="1656">
        <v>24.5</v>
      </c>
      <c r="U4" s="1656">
        <v>25.5</v>
      </c>
      <c r="V4" s="1656">
        <v>26.5</v>
      </c>
      <c r="W4" s="1656">
        <v>27.5</v>
      </c>
      <c r="X4" s="1656">
        <v>28.5</v>
      </c>
      <c r="Y4" s="1657">
        <v>29.5</v>
      </c>
      <c r="Z4" s="1654">
        <v>30.5</v>
      </c>
      <c r="AA4" s="1658">
        <v>31.5</v>
      </c>
      <c r="AB4" s="1659">
        <v>32.5</v>
      </c>
      <c r="AC4" s="1659">
        <v>33.5</v>
      </c>
      <c r="AD4" s="1659">
        <v>34.5</v>
      </c>
      <c r="AE4" s="1659">
        <v>35.5</v>
      </c>
      <c r="AF4" s="1660">
        <v>36.5</v>
      </c>
      <c r="AG4" s="1660">
        <v>37.5</v>
      </c>
      <c r="AH4" s="1660">
        <v>38.5</v>
      </c>
      <c r="AI4" s="1660">
        <v>39.5</v>
      </c>
      <c r="AJ4" s="1660">
        <v>40.5</v>
      </c>
      <c r="AK4" s="1660">
        <v>41.5</v>
      </c>
      <c r="AL4" s="1660">
        <v>42.5</v>
      </c>
      <c r="AM4" s="1660">
        <v>43.5</v>
      </c>
      <c r="AN4" s="1660">
        <v>44.5</v>
      </c>
      <c r="AO4" s="1660">
        <v>45.5</v>
      </c>
      <c r="AP4" s="1660">
        <v>46.5</v>
      </c>
      <c r="AQ4" s="1660">
        <v>47.5</v>
      </c>
      <c r="AR4" s="1660">
        <v>48.5</v>
      </c>
      <c r="AS4" s="1660">
        <v>49.5</v>
      </c>
      <c r="AT4" s="1660">
        <v>50.5</v>
      </c>
      <c r="AU4" s="1660">
        <v>51.5</v>
      </c>
      <c r="AV4" s="1660">
        <v>52.5</v>
      </c>
      <c r="AW4" s="1660">
        <v>53.5</v>
      </c>
      <c r="AX4" s="1660">
        <v>54.5</v>
      </c>
      <c r="AY4" s="1660">
        <v>55.5</v>
      </c>
      <c r="AZ4" s="1660">
        <v>56.5</v>
      </c>
      <c r="BA4" s="1660">
        <v>57.5</v>
      </c>
      <c r="BB4" s="1660">
        <v>58.5</v>
      </c>
      <c r="BC4" s="1660">
        <v>59.5</v>
      </c>
      <c r="BD4" s="1660">
        <v>60.5</v>
      </c>
      <c r="BE4" s="1660">
        <v>61.5</v>
      </c>
      <c r="BF4" s="1660">
        <v>62.5</v>
      </c>
      <c r="BG4" s="1660">
        <v>63.5</v>
      </c>
      <c r="BH4" s="1660">
        <v>64.5</v>
      </c>
      <c r="BI4" s="1660">
        <v>65.5</v>
      </c>
      <c r="BJ4" s="1660">
        <v>66.5</v>
      </c>
      <c r="BK4" s="1660">
        <v>67.5</v>
      </c>
      <c r="BL4" s="1660">
        <v>68.5</v>
      </c>
      <c r="BM4" s="1660">
        <v>69.5</v>
      </c>
      <c r="BN4" s="1660">
        <v>70.5</v>
      </c>
      <c r="BO4" s="2520"/>
      <c r="BP4" s="1661">
        <v>15.5</v>
      </c>
      <c r="BQ4" s="1661">
        <v>16.5</v>
      </c>
      <c r="BR4" s="1661">
        <v>17.5</v>
      </c>
      <c r="BS4" s="1661">
        <v>18.5</v>
      </c>
      <c r="BT4" s="1661">
        <v>19.5</v>
      </c>
      <c r="BU4" s="1662">
        <v>20.5</v>
      </c>
      <c r="BV4" s="1662">
        <v>21.5</v>
      </c>
      <c r="BW4" s="1662">
        <v>22.5</v>
      </c>
      <c r="BX4" s="1663">
        <v>23.5</v>
      </c>
      <c r="BY4" s="1664">
        <v>24.5</v>
      </c>
      <c r="BZ4" s="1663">
        <v>25.5</v>
      </c>
      <c r="CA4" s="1664">
        <v>26.5</v>
      </c>
      <c r="CB4" s="1664">
        <v>27.5</v>
      </c>
      <c r="CC4" s="1664">
        <v>28.5</v>
      </c>
      <c r="CD4" s="1665">
        <v>29.5</v>
      </c>
      <c r="CE4" s="1662">
        <v>30.5</v>
      </c>
      <c r="CF4" s="1666">
        <v>31.5</v>
      </c>
      <c r="CG4" s="1666">
        <v>32.5</v>
      </c>
      <c r="CH4" s="1666">
        <v>33.5</v>
      </c>
      <c r="CI4" s="1666">
        <v>34.5</v>
      </c>
      <c r="CJ4" s="1666">
        <v>35.5</v>
      </c>
      <c r="CK4" s="1660">
        <v>36.5</v>
      </c>
      <c r="CL4" s="1660">
        <v>37.5</v>
      </c>
      <c r="CM4" s="1660">
        <v>38.5</v>
      </c>
      <c r="CN4" s="1660">
        <v>39.5</v>
      </c>
      <c r="CO4" s="1660">
        <v>40.5</v>
      </c>
      <c r="CP4" s="1660">
        <v>41.5</v>
      </c>
      <c r="CQ4" s="1660">
        <v>42.5</v>
      </c>
      <c r="CR4" s="1660">
        <v>43.5</v>
      </c>
      <c r="CS4" s="1660">
        <v>44.5</v>
      </c>
      <c r="CT4" s="1660">
        <v>45.5</v>
      </c>
      <c r="CU4" s="1660">
        <v>46.5</v>
      </c>
      <c r="CV4" s="1660">
        <v>47.5</v>
      </c>
      <c r="CW4" s="1660">
        <v>48.5</v>
      </c>
      <c r="CX4" s="1660">
        <v>49.5</v>
      </c>
      <c r="CY4" s="1660">
        <v>50.5</v>
      </c>
      <c r="CZ4" s="1660">
        <v>51.5</v>
      </c>
      <c r="DA4" s="1660">
        <v>52.5</v>
      </c>
      <c r="DB4" s="1660">
        <v>53.5</v>
      </c>
      <c r="DC4" s="1660">
        <v>54.5</v>
      </c>
      <c r="DD4" s="1660">
        <v>55.5</v>
      </c>
      <c r="DE4" s="1660">
        <v>56.5</v>
      </c>
      <c r="DF4" s="1660">
        <v>57.5</v>
      </c>
      <c r="DG4" s="1660">
        <v>58.5</v>
      </c>
      <c r="DH4" s="1660">
        <v>59.5</v>
      </c>
      <c r="DI4" s="1660">
        <v>60.5</v>
      </c>
      <c r="DJ4" s="1660">
        <v>61.5</v>
      </c>
      <c r="DK4" s="1660">
        <v>62.5</v>
      </c>
      <c r="DL4" s="1660">
        <v>63.5</v>
      </c>
      <c r="DM4" s="1660">
        <v>64.5</v>
      </c>
      <c r="DN4" s="1660">
        <v>65.5</v>
      </c>
      <c r="DO4" s="1660">
        <v>66.5</v>
      </c>
      <c r="DP4" s="1660">
        <v>67.5</v>
      </c>
      <c r="DQ4" s="1660">
        <v>68.5</v>
      </c>
      <c r="DR4" s="1660">
        <v>69.5</v>
      </c>
      <c r="DS4" s="1660">
        <v>70.5</v>
      </c>
      <c r="DT4" s="1660"/>
      <c r="DU4" s="1660"/>
      <c r="DV4" s="1660"/>
      <c r="DW4" s="1660"/>
      <c r="DX4" s="1660"/>
    </row>
    <row r="5" spans="1:128" ht="21" customHeight="1">
      <c r="A5" s="1622"/>
      <c r="B5" s="1667">
        <v>1</v>
      </c>
      <c r="C5" s="1668" t="str">
        <f>IF($C$1=40.5,AJ5,IF($C$1=41.5,AK5,IF($C$1=42.5,AL5,IF($C$1=43.5,AN5,IF($C$1=44.5,AN5,IF($C$1=45.5,AO5,IF($C$1=46.5,AP5,)))))))&amp;
IF($C$1=47.5,AQ5,IF($C$1=48.5,AR5,IF($C$1=49.5,AS5,IF($C$1=50.5,AT5,IF($C$1=51.5,AU5,IF($C$1=52.5,AV5,IF($C$1=53.5,AW5,)))))))&amp;
IF($C$1=54.5,AX5,IF($C$1=55.5,AY5,IF($C$1=56.5,AZ5,IF($C$1=57.5,BA5,IF($C$1=15.5,K5,IF($C$1=16.5,L5,IF($C$1=17.5,M5,)))))))&amp;
IF($C$1=18.5,N5,IF($C$1=19.5,O5,IF($C$1=20.5,P5,IF($C$1=21.5,Q5,IF($C$1=22.5,R5,IF($C$1=23.5,S5,IF($C$1=24.5,T5,)))))))&amp;IF($C$1=25.5,U5,IF($C$1=26.5,V5,IF($C$1=39.5,AI5,)))&amp;IF($C$1=31.5,AA5,IF($C$1=32.5,AB5,IF($C$1=33.5,AC5,IF($C$1=34.5,AD5,IF($C$1=35.5,AE5,)))))&amp;IF($C$1=36.5,AF5,IF($C$1=37.5,AG5,IF($C$1=38.5,AH5,)))&amp;IF($C$1=27.5,W5,IF($C$1=28.5,X5,IF($C$1=29.5,Y5,IF($C$1=30.5,Z5,))))</f>
        <v>8.32</v>
      </c>
      <c r="D5" s="1669">
        <f>ROUND(C5*1.4,2)</f>
        <v>11.65</v>
      </c>
      <c r="E5" s="1670"/>
      <c r="F5" s="1671" t="str">
        <f>IF($C$1=40.5,CO5,IF($C$1=41.5,CP5,IF($C$1=42.5,CQ5,IF($C$1=43.5,CS5,IF($C$1=44.5,CS5,IF($C$1=45.5,CT5,IF($C$1=46.5,CU5,)))))))&amp;
IF($C$1=47.5,CV5,IF($C$1=48.5,CW5,IF($C$1=49.5,CX5,IF($C$1=50.5,CY5,IF($C$1=51.5,CZ5,IF($C$1=52.5,DA5,IF($C$1=53.5,DB5,)))))))&amp;
IF($C$1=54.5,DC5,IF($C$1=55.5,DD5,IF($C$1=56.5,DE5,IF($C$1=57.5,DF5,IF($C$1=15.5,BP5,IF($C$1=16.5,BQ5,IF($C$1=17.5,BR5,)))))))&amp;
IF($C$1=18.5,BS5,IF($C$1=19.5,BT5,IF($C$1=20.5,BU5,IF($C$1=21.5,BV5,IF($C$1=22.5,BW5,IF($C$1=23.5,BX5,IF($C$1=24.5,BY5,)))))))&amp;IF($C$1=25.5,BZ5,IF($C$1=26.5,CA5,IF($C$1=39.5,CN5,)))&amp;IF($C$1=31.5,CF5,IF($C$1=32.5,CG5,IF($C$1=33.5,CH5,IF($C$1=34.5,CI5,IF($C$1=35.5,CJ5,)))))&amp;IF($C$1=36.5,CK5,IF($C$1=37.5,CL5,IF($C$1=38.5,CM5,)))&amp;IF($C$1=27.5,CB5,IF($C$1=28.5,CC5,IF($C$1=29.5,CD5,IF($C$1=30.5,CE5,))))</f>
        <v>4.63</v>
      </c>
      <c r="G5" s="1672">
        <f t="shared" ref="G5:G68" si="0">ROUND(F5*1.4,2)</f>
        <v>6.48</v>
      </c>
      <c r="H5" s="1673"/>
      <c r="I5" s="1674"/>
      <c r="J5" s="1675">
        <v>1</v>
      </c>
      <c r="K5" s="1676">
        <v>7.59</v>
      </c>
      <c r="L5" s="1676">
        <v>7.63</v>
      </c>
      <c r="M5" s="1676">
        <v>7.67</v>
      </c>
      <c r="N5" s="1676">
        <v>7.7</v>
      </c>
      <c r="O5" s="1676">
        <v>7.74</v>
      </c>
      <c r="P5" s="1677">
        <v>7.78</v>
      </c>
      <c r="Q5" s="1677">
        <v>7.81</v>
      </c>
      <c r="R5" s="1677">
        <v>7.85</v>
      </c>
      <c r="S5" s="1678">
        <v>7.89</v>
      </c>
      <c r="T5" s="1679">
        <v>7.92</v>
      </c>
      <c r="U5" s="1679">
        <v>7.96</v>
      </c>
      <c r="V5" s="1678">
        <v>7.99</v>
      </c>
      <c r="W5" s="1678">
        <v>8.0299999999999994</v>
      </c>
      <c r="X5" s="1678">
        <v>8.07</v>
      </c>
      <c r="Y5" s="1680">
        <v>8.1</v>
      </c>
      <c r="Z5" s="1681">
        <v>8.14</v>
      </c>
      <c r="AA5" s="1682">
        <v>8.18</v>
      </c>
      <c r="AB5" s="1682">
        <v>8.2100000000000009</v>
      </c>
      <c r="AC5" s="1682">
        <v>8.25</v>
      </c>
      <c r="AD5" s="1682">
        <v>8.2899999999999991</v>
      </c>
      <c r="AE5" s="1682">
        <v>8.32</v>
      </c>
      <c r="AF5" s="1683">
        <v>5.5</v>
      </c>
      <c r="AG5" s="1683">
        <v>5.54</v>
      </c>
      <c r="AH5" s="1683">
        <v>5.58</v>
      </c>
      <c r="AI5" s="1683">
        <v>5.61</v>
      </c>
      <c r="AJ5" s="1684">
        <v>5.65</v>
      </c>
      <c r="AK5" s="1684">
        <v>5.69</v>
      </c>
      <c r="AL5" s="1684">
        <v>5.72</v>
      </c>
      <c r="AM5" s="1684">
        <v>5.76</v>
      </c>
      <c r="AN5" s="1684">
        <v>5.8</v>
      </c>
      <c r="AO5" s="1685">
        <v>5.83</v>
      </c>
      <c r="AP5" s="1683">
        <v>5.87</v>
      </c>
      <c r="AQ5" s="1683">
        <v>5.9</v>
      </c>
      <c r="AR5" s="1683">
        <v>5.94</v>
      </c>
      <c r="AS5" s="1683">
        <v>5.98</v>
      </c>
      <c r="AT5" s="1683">
        <v>6.01</v>
      </c>
      <c r="AU5" s="1683">
        <v>6.05</v>
      </c>
      <c r="AV5" s="1683">
        <v>6.09</v>
      </c>
      <c r="AW5" s="1683">
        <v>6.12</v>
      </c>
      <c r="AX5" s="1683">
        <v>6.16</v>
      </c>
      <c r="AY5" s="1683">
        <v>6.2</v>
      </c>
      <c r="AZ5" s="1683">
        <v>6.23</v>
      </c>
      <c r="BA5" s="1683">
        <v>6.27</v>
      </c>
      <c r="BB5" s="1683">
        <v>6.31</v>
      </c>
      <c r="BC5" s="1683">
        <v>6.34</v>
      </c>
      <c r="BD5" s="1683">
        <v>6.38</v>
      </c>
      <c r="BE5" s="1683">
        <v>6.41</v>
      </c>
      <c r="BF5" s="1683">
        <v>6.45</v>
      </c>
      <c r="BG5" s="1683">
        <v>6.49</v>
      </c>
      <c r="BH5" s="1683">
        <v>6.52</v>
      </c>
      <c r="BI5" s="1683">
        <v>6.56</v>
      </c>
      <c r="BJ5" s="1683">
        <v>6.6</v>
      </c>
      <c r="BK5" s="1683">
        <v>6.63</v>
      </c>
      <c r="BL5" s="1683">
        <v>6.67</v>
      </c>
      <c r="BM5" s="1683">
        <v>6.71</v>
      </c>
      <c r="BN5" s="1683"/>
      <c r="BO5" s="1686">
        <v>1</v>
      </c>
      <c r="BP5" s="1676">
        <v>4.12</v>
      </c>
      <c r="BQ5" s="1676">
        <v>4.1399999999999997</v>
      </c>
      <c r="BR5" s="1676">
        <v>4.17</v>
      </c>
      <c r="BS5" s="1676">
        <v>4.1900000000000004</v>
      </c>
      <c r="BT5" s="1676">
        <v>4.22</v>
      </c>
      <c r="BU5" s="1677">
        <v>4.24</v>
      </c>
      <c r="BV5" s="1677">
        <v>4.2699999999999996</v>
      </c>
      <c r="BW5" s="1677">
        <v>4.3</v>
      </c>
      <c r="BX5" s="1678">
        <v>4.32</v>
      </c>
      <c r="BY5" s="1679">
        <v>4.3499999999999996</v>
      </c>
      <c r="BZ5" s="1679">
        <v>4.37</v>
      </c>
      <c r="CA5" s="1678">
        <v>4.4000000000000004</v>
      </c>
      <c r="CB5" s="1678">
        <v>4.42</v>
      </c>
      <c r="CC5" s="1687">
        <v>4.45</v>
      </c>
      <c r="CD5" s="1680">
        <v>4.4800000000000004</v>
      </c>
      <c r="CE5" s="1681">
        <v>4.5</v>
      </c>
      <c r="CF5" s="1682">
        <v>4.53</v>
      </c>
      <c r="CG5" s="1682">
        <v>4.55</v>
      </c>
      <c r="CH5" s="1682">
        <v>4.58</v>
      </c>
      <c r="CI5" s="1682">
        <v>4.5999999999999996</v>
      </c>
      <c r="CJ5" s="1682">
        <v>4.63</v>
      </c>
      <c r="CK5" s="1683">
        <v>3.29</v>
      </c>
      <c r="CL5" s="1683">
        <v>3.32</v>
      </c>
      <c r="CM5" s="1683">
        <v>3.35</v>
      </c>
      <c r="CN5" s="1683">
        <v>3.37</v>
      </c>
      <c r="CO5" s="1688">
        <v>3.4</v>
      </c>
      <c r="CP5" s="1689">
        <v>3.42</v>
      </c>
      <c r="CQ5" s="1684">
        <v>3.45</v>
      </c>
      <c r="CR5" s="1684">
        <v>3.47</v>
      </c>
      <c r="CS5" s="1690">
        <v>3.5</v>
      </c>
      <c r="CT5" s="1683">
        <v>3.53</v>
      </c>
      <c r="CU5" s="1683">
        <v>3.55</v>
      </c>
      <c r="CV5" s="1683">
        <v>3.58</v>
      </c>
      <c r="CW5" s="1683">
        <v>3.6</v>
      </c>
      <c r="CX5" s="1683">
        <v>3.63</v>
      </c>
      <c r="CY5" s="1683">
        <v>3.65</v>
      </c>
      <c r="CZ5" s="1683">
        <v>3.68</v>
      </c>
      <c r="DA5" s="1683">
        <v>3.71</v>
      </c>
      <c r="DB5" s="1683">
        <v>3.73</v>
      </c>
      <c r="DC5" s="1683">
        <v>3.76</v>
      </c>
      <c r="DD5" s="1683">
        <v>3.78</v>
      </c>
      <c r="DE5" s="1683">
        <v>3.81</v>
      </c>
      <c r="DF5" s="1683">
        <v>3.83</v>
      </c>
      <c r="DG5" s="1683">
        <v>3.86</v>
      </c>
      <c r="DH5" s="1683">
        <v>3.89</v>
      </c>
      <c r="DI5" s="1683">
        <v>3.91</v>
      </c>
      <c r="DJ5" s="1683">
        <v>3.94</v>
      </c>
      <c r="DK5" s="1683">
        <v>3.96</v>
      </c>
      <c r="DL5" s="1683">
        <v>3.99</v>
      </c>
      <c r="DM5" s="1683">
        <v>4.01</v>
      </c>
      <c r="DN5" s="1683">
        <v>4.04</v>
      </c>
      <c r="DO5" s="1683">
        <v>4.07</v>
      </c>
      <c r="DP5" s="1683">
        <v>4.09</v>
      </c>
      <c r="DQ5" s="1683">
        <v>4.12</v>
      </c>
      <c r="DR5" s="1683">
        <v>4.1399999999999997</v>
      </c>
      <c r="DS5" s="1683"/>
      <c r="DT5" s="1683"/>
      <c r="DU5" s="1683"/>
      <c r="DV5" s="1683"/>
      <c r="DW5" s="1683"/>
      <c r="DX5" s="1683"/>
    </row>
    <row r="6" spans="1:128">
      <c r="A6" s="1622"/>
      <c r="B6" s="1691">
        <f>B5+1</f>
        <v>2</v>
      </c>
      <c r="C6" s="1668" t="str">
        <f t="shared" ref="C6:C69" si="1">IF($C$1=40.5,AJ6,IF($C$1=41.5,AK6,IF($C$1=42.5,AL6,IF($C$1=43.5,AN6,IF($C$1=44.5,AN6,IF($C$1=45.5,AO6,IF($C$1=46.5,AP6,)))))))&amp;
IF($C$1=47.5,AQ6,IF($C$1=48.5,AR6,IF($C$1=49.5,AS6,IF($C$1=50.5,AT6,IF($C$1=51.5,AU6,IF($C$1=52.5,AV6,IF($C$1=53.5,AW6,)))))))&amp;
IF($C$1=54.5,AX6,IF($C$1=55.5,AY6,IF($C$1=56.5,AZ6,IF($C$1=57.5,BA6,IF($C$1=15.5,K6,IF($C$1=16.5,L6,IF($C$1=17.5,M6,)))))))&amp;
IF($C$1=18.5,N6,IF($C$1=19.5,O6,IF($C$1=20.5,P6,IF($C$1=21.5,Q6,IF($C$1=22.5,R6,IF($C$1=23.5,S6,IF($C$1=24.5,T6,)))))))&amp;IF($C$1=25.5,U6,IF($C$1=26.5,V6,IF($C$1=39.5,AI6,)))&amp;IF($C$1=31.5,AA6,IF($C$1=32.5,AB6,IF($C$1=33.5,AC6,IF($C$1=34.5,AD6,IF($C$1=35.5,AE6,)))))&amp;IF($C$1=36.5,AF6,IF($C$1=37.5,AG6,IF($C$1=38.5,AH6,)))&amp;IF($C$1=27.5,W6,IF($C$1=28.5,X6,IF($C$1=29.5,Y6,IF($C$1=30.5,Z6,))))</f>
        <v>10.34</v>
      </c>
      <c r="D6" s="1672">
        <f t="shared" ref="D6:D69" si="2">ROUND(C6*1.4,2)</f>
        <v>14.48</v>
      </c>
      <c r="E6" s="1670"/>
      <c r="F6" s="1671" t="str">
        <f t="shared" ref="F6:F69" si="3">IF($C$1=40.5,CO6,IF($C$1=41.5,CP6,IF($C$1=42.5,CQ6,IF($C$1=43.5,CS6,IF($C$1=44.5,CS6,IF($C$1=45.5,CT6,IF($C$1=46.5,CU6,)))))))&amp;
IF($C$1=47.5,CV6,IF($C$1=48.5,CW6,IF($C$1=49.5,CX6,IF($C$1=50.5,CY6,IF($C$1=51.5,CZ6,IF($C$1=52.5,DA6,IF($C$1=53.5,DB6,)))))))&amp;
IF($C$1=54.5,DC6,IF($C$1=55.5,DD6,IF($C$1=56.5,DE6,IF($C$1=57.5,DF6,IF($C$1=15.5,BP6,IF($C$1=16.5,BQ6,IF($C$1=17.5,BR6,)))))))&amp;
IF($C$1=18.5,BS6,IF($C$1=19.5,BT6,IF($C$1=20.5,BU6,IF($C$1=21.5,BV6,IF($C$1=22.5,BW6,IF($C$1=23.5,BX6,IF($C$1=24.5,BY6,)))))))&amp;IF($C$1=25.5,BZ6,IF($C$1=26.5,CA6,IF($C$1=39.5,CN6,)))&amp;IF($C$1=31.5,CF6,IF($C$1=32.5,CG6,IF($C$1=33.5,CH6,IF($C$1=34.5,CI6,IF($C$1=35.5,CJ6,)))))&amp;IF($C$1=36.5,CK6,IF($C$1=37.5,CL6,IF($C$1=38.5,CM6,)))&amp;IF($C$1=27.5,CB6,IF($C$1=28.5,CC6,IF($C$1=29.5,CD6,IF($C$1=30.5,CE6,))))</f>
        <v>6.14</v>
      </c>
      <c r="G6" s="1672">
        <f t="shared" si="0"/>
        <v>8.6</v>
      </c>
      <c r="H6" s="1670"/>
      <c r="I6" s="1672"/>
      <c r="J6" s="1692">
        <v>2</v>
      </c>
      <c r="K6" s="1693">
        <v>8.8800000000000008</v>
      </c>
      <c r="L6" s="1693">
        <v>8.9499999999999993</v>
      </c>
      <c r="M6" s="1693">
        <v>9.0299999999999994</v>
      </c>
      <c r="N6" s="1693">
        <v>9.1</v>
      </c>
      <c r="O6" s="1693">
        <v>9.17</v>
      </c>
      <c r="P6" s="1694">
        <v>9.24</v>
      </c>
      <c r="Q6" s="1694">
        <v>9.32</v>
      </c>
      <c r="R6" s="1694">
        <v>9.39</v>
      </c>
      <c r="S6" s="1695">
        <v>9.4600000000000009</v>
      </c>
      <c r="T6" s="1696">
        <v>9.5399999999999991</v>
      </c>
      <c r="U6" s="1696">
        <v>9.61</v>
      </c>
      <c r="V6" s="1695">
        <v>9.68</v>
      </c>
      <c r="W6" s="1695">
        <v>9.75</v>
      </c>
      <c r="X6" s="1695">
        <v>9.83</v>
      </c>
      <c r="Y6" s="1697">
        <v>9.9</v>
      </c>
      <c r="Z6" s="1698">
        <v>9.9700000000000006</v>
      </c>
      <c r="AA6" s="1699">
        <v>10.039999999999999</v>
      </c>
      <c r="AB6" s="1699">
        <v>10.119999999999999</v>
      </c>
      <c r="AC6" s="1699">
        <v>10.19</v>
      </c>
      <c r="AD6" s="1699">
        <v>10.26</v>
      </c>
      <c r="AE6" s="1699">
        <v>10.34</v>
      </c>
      <c r="AF6" s="1700">
        <v>7.33</v>
      </c>
      <c r="AG6" s="1700">
        <v>7.4</v>
      </c>
      <c r="AH6" s="1700">
        <v>7.47</v>
      </c>
      <c r="AI6" s="1700">
        <v>7.55</v>
      </c>
      <c r="AJ6" s="1701">
        <v>7.62</v>
      </c>
      <c r="AK6" s="1701">
        <v>7.69</v>
      </c>
      <c r="AL6" s="1701">
        <v>7.76</v>
      </c>
      <c r="AM6" s="1701">
        <v>7.84</v>
      </c>
      <c r="AN6" s="1701">
        <v>7.91</v>
      </c>
      <c r="AO6" s="1702">
        <v>7.98</v>
      </c>
      <c r="AP6" s="1700">
        <v>8.06</v>
      </c>
      <c r="AQ6" s="1700">
        <v>8.1300000000000008</v>
      </c>
      <c r="AR6" s="1700">
        <v>8.1999999999999993</v>
      </c>
      <c r="AS6" s="1700">
        <v>8.27</v>
      </c>
      <c r="AT6" s="1700">
        <v>8.35</v>
      </c>
      <c r="AU6" s="1700">
        <v>8.42</v>
      </c>
      <c r="AV6" s="1700">
        <v>8.49</v>
      </c>
      <c r="AW6" s="1700">
        <v>8.56</v>
      </c>
      <c r="AX6" s="1700">
        <v>8.64</v>
      </c>
      <c r="AY6" s="1700">
        <v>8.7100000000000009</v>
      </c>
      <c r="AZ6" s="1700">
        <v>8.7799999999999994</v>
      </c>
      <c r="BA6" s="1700">
        <v>8.86</v>
      </c>
      <c r="BB6" s="1700">
        <v>8.93</v>
      </c>
      <c r="BC6" s="1700">
        <v>9</v>
      </c>
      <c r="BD6" s="1700">
        <v>9.07</v>
      </c>
      <c r="BE6" s="1700">
        <v>9.15</v>
      </c>
      <c r="BF6" s="1700">
        <v>9.2200000000000006</v>
      </c>
      <c r="BG6" s="1700">
        <v>9.2899999999999991</v>
      </c>
      <c r="BH6" s="1700">
        <v>9.3699999999999992</v>
      </c>
      <c r="BI6" s="1700">
        <v>9.44</v>
      </c>
      <c r="BJ6" s="1700">
        <v>9.51</v>
      </c>
      <c r="BK6" s="1700">
        <v>9.58</v>
      </c>
      <c r="BL6" s="1700">
        <v>9.66</v>
      </c>
      <c r="BM6" s="1700">
        <v>9.73</v>
      </c>
      <c r="BN6" s="1700"/>
      <c r="BO6" s="1703">
        <v>2</v>
      </c>
      <c r="BP6" s="1693">
        <v>5.12</v>
      </c>
      <c r="BQ6" s="1693">
        <v>5.17</v>
      </c>
      <c r="BR6" s="1693">
        <v>5.22</v>
      </c>
      <c r="BS6" s="1693">
        <v>5.27</v>
      </c>
      <c r="BT6" s="1693">
        <v>5.32</v>
      </c>
      <c r="BU6" s="1694">
        <v>5.37</v>
      </c>
      <c r="BV6" s="1694">
        <v>5.42</v>
      </c>
      <c r="BW6" s="1694">
        <v>5.48</v>
      </c>
      <c r="BX6" s="1695">
        <v>5.53</v>
      </c>
      <c r="BY6" s="1696">
        <v>5.58</v>
      </c>
      <c r="BZ6" s="1696">
        <v>5.63</v>
      </c>
      <c r="CA6" s="1695">
        <v>5.68</v>
      </c>
      <c r="CB6" s="1695">
        <v>5.73</v>
      </c>
      <c r="CC6" s="1704">
        <v>5.78</v>
      </c>
      <c r="CD6" s="1697">
        <v>5.84</v>
      </c>
      <c r="CE6" s="1698">
        <v>5.89</v>
      </c>
      <c r="CF6" s="1699">
        <v>5.94</v>
      </c>
      <c r="CG6" s="1699">
        <v>5.99</v>
      </c>
      <c r="CH6" s="1699">
        <v>6.04</v>
      </c>
      <c r="CI6" s="1699">
        <v>6.09</v>
      </c>
      <c r="CJ6" s="1699">
        <v>6.14</v>
      </c>
      <c r="CK6" s="1700">
        <v>4.6500000000000004</v>
      </c>
      <c r="CL6" s="1700">
        <v>4.7</v>
      </c>
      <c r="CM6" s="1700">
        <v>4.75</v>
      </c>
      <c r="CN6" s="1700">
        <v>4.8</v>
      </c>
      <c r="CO6" s="1705">
        <v>4.8499999999999996</v>
      </c>
      <c r="CP6" s="1706">
        <v>4.9000000000000004</v>
      </c>
      <c r="CQ6" s="1701">
        <v>4.95</v>
      </c>
      <c r="CR6" s="1701">
        <v>5.01</v>
      </c>
      <c r="CS6" s="1707">
        <v>5.0599999999999996</v>
      </c>
      <c r="CT6" s="1700">
        <v>5.1100000000000003</v>
      </c>
      <c r="CU6" s="1700">
        <v>5.16</v>
      </c>
      <c r="CV6" s="1700">
        <v>5.21</v>
      </c>
      <c r="CW6" s="1700">
        <v>5.26</v>
      </c>
      <c r="CX6" s="1700">
        <v>5.31</v>
      </c>
      <c r="CY6" s="1700">
        <v>5.37</v>
      </c>
      <c r="CZ6" s="1700">
        <v>5.42</v>
      </c>
      <c r="DA6" s="1700">
        <v>5.47</v>
      </c>
      <c r="DB6" s="1700">
        <v>5.52</v>
      </c>
      <c r="DC6" s="1700">
        <v>5.57</v>
      </c>
      <c r="DD6" s="1700">
        <v>5.62</v>
      </c>
      <c r="DE6" s="1700">
        <v>5.67</v>
      </c>
      <c r="DF6" s="1700">
        <v>5.73</v>
      </c>
      <c r="DG6" s="1700">
        <v>5.78</v>
      </c>
      <c r="DH6" s="1700">
        <v>5.83</v>
      </c>
      <c r="DI6" s="1700">
        <v>5.88</v>
      </c>
      <c r="DJ6" s="1700">
        <v>5.93</v>
      </c>
      <c r="DK6" s="1700">
        <v>5.98</v>
      </c>
      <c r="DL6" s="1700">
        <v>6.03</v>
      </c>
      <c r="DM6" s="1700">
        <v>6.08</v>
      </c>
      <c r="DN6" s="1700">
        <v>6.14</v>
      </c>
      <c r="DO6" s="1700">
        <v>6.19</v>
      </c>
      <c r="DP6" s="1700">
        <v>6.24</v>
      </c>
      <c r="DQ6" s="1700">
        <v>6.29</v>
      </c>
      <c r="DR6" s="1700">
        <v>6.34</v>
      </c>
      <c r="DS6" s="1700"/>
      <c r="DT6" s="1700"/>
      <c r="DU6" s="1700"/>
      <c r="DV6" s="1700"/>
      <c r="DW6" s="1700"/>
      <c r="DX6" s="1700"/>
    </row>
    <row r="7" spans="1:128">
      <c r="A7" s="1622"/>
      <c r="B7" s="1691">
        <f t="shared" ref="B7:B70" si="4">B6+1</f>
        <v>3</v>
      </c>
      <c r="C7" s="1668" t="str">
        <f t="shared" si="1"/>
        <v>12.35</v>
      </c>
      <c r="D7" s="1672">
        <f t="shared" si="2"/>
        <v>17.29</v>
      </c>
      <c r="E7" s="1670"/>
      <c r="F7" s="1671" t="str">
        <f t="shared" si="3"/>
        <v>7.66</v>
      </c>
      <c r="G7" s="1672">
        <f t="shared" si="0"/>
        <v>10.72</v>
      </c>
      <c r="H7" s="1670"/>
      <c r="I7" s="1670"/>
      <c r="J7" s="1708">
        <v>3</v>
      </c>
      <c r="K7" s="1693">
        <v>10.17</v>
      </c>
      <c r="L7" s="1693">
        <v>10.28</v>
      </c>
      <c r="M7" s="1693">
        <v>10.39</v>
      </c>
      <c r="N7" s="1693">
        <v>10.5</v>
      </c>
      <c r="O7" s="1693">
        <v>10.61</v>
      </c>
      <c r="P7" s="1694">
        <v>10.71</v>
      </c>
      <c r="Q7" s="1694">
        <v>10.82</v>
      </c>
      <c r="R7" s="1694">
        <v>10.93</v>
      </c>
      <c r="S7" s="1695">
        <v>11.04</v>
      </c>
      <c r="T7" s="1696">
        <v>11.15</v>
      </c>
      <c r="U7" s="1696">
        <v>11.26</v>
      </c>
      <c r="V7" s="1695">
        <v>11.37</v>
      </c>
      <c r="W7" s="1695">
        <v>11.48</v>
      </c>
      <c r="X7" s="1695">
        <v>11.59</v>
      </c>
      <c r="Y7" s="1697">
        <v>11.7</v>
      </c>
      <c r="Z7" s="1698">
        <v>11.81</v>
      </c>
      <c r="AA7" s="1699">
        <v>11.92</v>
      </c>
      <c r="AB7" s="1699">
        <v>12.02</v>
      </c>
      <c r="AC7" s="1699">
        <v>12.13</v>
      </c>
      <c r="AD7" s="1699">
        <v>12.24</v>
      </c>
      <c r="AE7" s="1699">
        <v>12.35</v>
      </c>
      <c r="AF7" s="1700">
        <v>9.15</v>
      </c>
      <c r="AG7" s="1700">
        <v>9.26</v>
      </c>
      <c r="AH7" s="1700">
        <v>9.3699999999999992</v>
      </c>
      <c r="AI7" s="1700">
        <v>9.48</v>
      </c>
      <c r="AJ7" s="1701">
        <v>9.59</v>
      </c>
      <c r="AK7" s="1701">
        <v>9.6999999999999993</v>
      </c>
      <c r="AL7" s="1701">
        <v>9.81</v>
      </c>
      <c r="AM7" s="1701">
        <v>9.92</v>
      </c>
      <c r="AN7" s="1701">
        <v>10.02</v>
      </c>
      <c r="AO7" s="1702">
        <v>10.130000000000001</v>
      </c>
      <c r="AP7" s="1700">
        <v>10.24</v>
      </c>
      <c r="AQ7" s="1700">
        <v>10.35</v>
      </c>
      <c r="AR7" s="1683">
        <v>10.46</v>
      </c>
      <c r="AS7" s="1700">
        <v>10.57</v>
      </c>
      <c r="AT7" s="1700">
        <v>10.68</v>
      </c>
      <c r="AU7" s="1700">
        <v>10.79</v>
      </c>
      <c r="AV7" s="1700">
        <v>10.9</v>
      </c>
      <c r="AW7" s="1700">
        <v>11.01</v>
      </c>
      <c r="AX7" s="1700">
        <v>11.12</v>
      </c>
      <c r="AY7" s="1700">
        <v>11.23</v>
      </c>
      <c r="AZ7" s="1700">
        <v>11.34</v>
      </c>
      <c r="BA7" s="1700">
        <v>11.44</v>
      </c>
      <c r="BB7" s="1700">
        <v>11.55</v>
      </c>
      <c r="BC7" s="1700">
        <v>11.66</v>
      </c>
      <c r="BD7" s="1700">
        <v>11.77</v>
      </c>
      <c r="BE7" s="1700">
        <v>11.88</v>
      </c>
      <c r="BF7" s="1700">
        <v>11.99</v>
      </c>
      <c r="BG7" s="1700">
        <v>12.1</v>
      </c>
      <c r="BH7" s="1700">
        <v>12.21</v>
      </c>
      <c r="BI7" s="1700">
        <v>12.32</v>
      </c>
      <c r="BJ7" s="1700">
        <v>12.43</v>
      </c>
      <c r="BK7" s="1700">
        <v>12.54</v>
      </c>
      <c r="BL7" s="1700">
        <v>12.65</v>
      </c>
      <c r="BM7" s="1700">
        <v>12.75</v>
      </c>
      <c r="BN7" s="1700"/>
      <c r="BO7" s="1703">
        <v>3</v>
      </c>
      <c r="BP7" s="1693">
        <v>6.11</v>
      </c>
      <c r="BQ7" s="1693">
        <v>6.19</v>
      </c>
      <c r="BR7" s="1693">
        <v>6.27</v>
      </c>
      <c r="BS7" s="1693">
        <v>6.35</v>
      </c>
      <c r="BT7" s="1693">
        <v>6.42</v>
      </c>
      <c r="BU7" s="1694">
        <v>6.5</v>
      </c>
      <c r="BV7" s="1694">
        <v>6.58</v>
      </c>
      <c r="BW7" s="1694">
        <v>6.65</v>
      </c>
      <c r="BX7" s="1695">
        <v>6.73</v>
      </c>
      <c r="BY7" s="1696">
        <v>6.81</v>
      </c>
      <c r="BZ7" s="1696">
        <v>6.89</v>
      </c>
      <c r="CA7" s="1695">
        <v>6.96</v>
      </c>
      <c r="CB7" s="1695">
        <v>7.04</v>
      </c>
      <c r="CC7" s="1704">
        <v>7.12</v>
      </c>
      <c r="CD7" s="1697">
        <v>7.19</v>
      </c>
      <c r="CE7" s="1698">
        <v>7.27</v>
      </c>
      <c r="CF7" s="1699">
        <v>7.35</v>
      </c>
      <c r="CG7" s="1699">
        <v>7.43</v>
      </c>
      <c r="CH7" s="1699">
        <v>7.05</v>
      </c>
      <c r="CI7" s="1699">
        <v>7.58</v>
      </c>
      <c r="CJ7" s="1699">
        <v>7.66</v>
      </c>
      <c r="CK7" s="1700">
        <v>6</v>
      </c>
      <c r="CL7" s="1700">
        <v>6.07</v>
      </c>
      <c r="CM7" s="1700">
        <v>6.15</v>
      </c>
      <c r="CN7" s="1700">
        <v>6.23</v>
      </c>
      <c r="CO7" s="1705">
        <v>6.3</v>
      </c>
      <c r="CP7" s="1706">
        <v>6.38</v>
      </c>
      <c r="CQ7" s="1701">
        <v>6.46</v>
      </c>
      <c r="CR7" s="1701">
        <v>6.54</v>
      </c>
      <c r="CS7" s="1707">
        <v>6.61</v>
      </c>
      <c r="CT7" s="1700">
        <v>6.69</v>
      </c>
      <c r="CU7" s="1700">
        <v>6.77</v>
      </c>
      <c r="CV7" s="1700">
        <v>6.84</v>
      </c>
      <c r="CW7" s="1700">
        <v>6.92</v>
      </c>
      <c r="CX7" s="1700">
        <v>7</v>
      </c>
      <c r="CY7" s="1700">
        <v>7.08</v>
      </c>
      <c r="CZ7" s="1700">
        <v>7.15</v>
      </c>
      <c r="DA7" s="1700">
        <v>7.23</v>
      </c>
      <c r="DB7" s="1700">
        <v>7.31</v>
      </c>
      <c r="DC7" s="1700">
        <v>7.38</v>
      </c>
      <c r="DD7" s="1700">
        <v>7.46</v>
      </c>
      <c r="DE7" s="1700">
        <v>7.54</v>
      </c>
      <c r="DF7" s="1700">
        <v>7.62</v>
      </c>
      <c r="DG7" s="1700">
        <v>7.69</v>
      </c>
      <c r="DH7" s="1700">
        <v>7.77</v>
      </c>
      <c r="DI7" s="1700">
        <v>7.85</v>
      </c>
      <c r="DJ7" s="1700">
        <v>7.92</v>
      </c>
      <c r="DK7" s="1700">
        <v>8</v>
      </c>
      <c r="DL7" s="1700">
        <v>8.08</v>
      </c>
      <c r="DM7" s="1700">
        <v>8.16</v>
      </c>
      <c r="DN7" s="1700">
        <v>8.23</v>
      </c>
      <c r="DO7" s="1700">
        <v>8.31</v>
      </c>
      <c r="DP7" s="1700">
        <v>8.39</v>
      </c>
      <c r="DQ7" s="1700">
        <v>8.4600000000000009</v>
      </c>
      <c r="DR7" s="1700">
        <v>8.5399999999999991</v>
      </c>
      <c r="DS7" s="1700"/>
      <c r="DT7" s="1700"/>
      <c r="DU7" s="1700"/>
      <c r="DV7" s="1700"/>
      <c r="DW7" s="1700"/>
      <c r="DX7" s="1700"/>
    </row>
    <row r="8" spans="1:128">
      <c r="A8" s="1622"/>
      <c r="B8" s="1691">
        <f t="shared" si="4"/>
        <v>4</v>
      </c>
      <c r="C8" s="1668" t="str">
        <f t="shared" si="1"/>
        <v>14.37</v>
      </c>
      <c r="D8" s="1672">
        <f t="shared" si="2"/>
        <v>20.12</v>
      </c>
      <c r="E8" s="1670"/>
      <c r="F8" s="1671" t="str">
        <f t="shared" si="3"/>
        <v>9.17</v>
      </c>
      <c r="G8" s="1672">
        <f t="shared" si="0"/>
        <v>12.84</v>
      </c>
      <c r="H8" s="1670"/>
      <c r="I8" s="1670"/>
      <c r="J8" s="1708">
        <v>4</v>
      </c>
      <c r="K8" s="1693">
        <v>11.46</v>
      </c>
      <c r="L8" s="1693">
        <v>11.6</v>
      </c>
      <c r="M8" s="1693">
        <v>11.75</v>
      </c>
      <c r="N8" s="1693">
        <v>11.89</v>
      </c>
      <c r="O8" s="1693">
        <v>12.04</v>
      </c>
      <c r="P8" s="1694">
        <v>12.18</v>
      </c>
      <c r="Q8" s="1694">
        <v>12.33</v>
      </c>
      <c r="R8" s="1694">
        <v>12.47</v>
      </c>
      <c r="S8" s="1695">
        <v>12.62</v>
      </c>
      <c r="T8" s="1696">
        <v>12.77</v>
      </c>
      <c r="U8" s="1696">
        <v>12.91</v>
      </c>
      <c r="V8" s="1695">
        <v>13.06</v>
      </c>
      <c r="W8" s="1695">
        <v>13.2</v>
      </c>
      <c r="X8" s="1695">
        <v>13.35</v>
      </c>
      <c r="Y8" s="1697">
        <v>13.49</v>
      </c>
      <c r="Z8" s="1698">
        <v>13.64</v>
      </c>
      <c r="AA8" s="1699">
        <v>13.78</v>
      </c>
      <c r="AB8" s="1699">
        <v>13.93</v>
      </c>
      <c r="AC8" s="1699">
        <v>14.08</v>
      </c>
      <c r="AD8" s="1699">
        <v>14.22</v>
      </c>
      <c r="AE8" s="1699">
        <v>14.37</v>
      </c>
      <c r="AF8" s="1683">
        <v>10.97</v>
      </c>
      <c r="AG8" s="1683">
        <v>11.12</v>
      </c>
      <c r="AH8" s="1683">
        <v>11.27</v>
      </c>
      <c r="AI8" s="1683">
        <v>11.41</v>
      </c>
      <c r="AJ8" s="1701">
        <v>11.56</v>
      </c>
      <c r="AK8" s="1701">
        <v>11.7</v>
      </c>
      <c r="AL8" s="1701">
        <v>11.85</v>
      </c>
      <c r="AM8" s="1701">
        <v>11.99</v>
      </c>
      <c r="AN8" s="1701">
        <v>12.14</v>
      </c>
      <c r="AO8" s="1702">
        <v>12.28</v>
      </c>
      <c r="AP8" s="1700">
        <v>12.43</v>
      </c>
      <c r="AQ8" s="1700">
        <v>12.58</v>
      </c>
      <c r="AR8" s="1700">
        <v>12.72</v>
      </c>
      <c r="AS8" s="1700">
        <v>12.87</v>
      </c>
      <c r="AT8" s="1683">
        <v>13.01</v>
      </c>
      <c r="AU8" s="1700">
        <v>13.16</v>
      </c>
      <c r="AV8" s="1683">
        <v>13.3</v>
      </c>
      <c r="AW8" s="1683">
        <v>13.45</v>
      </c>
      <c r="AX8" s="1683">
        <v>13.6</v>
      </c>
      <c r="AY8" s="1683">
        <v>13.74</v>
      </c>
      <c r="AZ8" s="1683">
        <v>13.89</v>
      </c>
      <c r="BA8" s="1683">
        <v>14.03</v>
      </c>
      <c r="BB8" s="1683">
        <v>14.18</v>
      </c>
      <c r="BC8" s="1683">
        <v>14.32</v>
      </c>
      <c r="BD8" s="1683">
        <v>14.47</v>
      </c>
      <c r="BE8" s="1683">
        <v>14.61</v>
      </c>
      <c r="BF8" s="1683">
        <v>14.76</v>
      </c>
      <c r="BG8" s="1683">
        <v>14.91</v>
      </c>
      <c r="BH8" s="1683">
        <v>15.05</v>
      </c>
      <c r="BI8" s="1683">
        <v>15.2</v>
      </c>
      <c r="BJ8" s="1683">
        <v>15.34</v>
      </c>
      <c r="BK8" s="1683">
        <v>15.49</v>
      </c>
      <c r="BL8" s="1683">
        <v>15.63</v>
      </c>
      <c r="BM8" s="1683">
        <v>15.78</v>
      </c>
      <c r="BN8" s="1683"/>
      <c r="BO8" s="1703">
        <v>4</v>
      </c>
      <c r="BP8" s="1693">
        <v>7.11</v>
      </c>
      <c r="BQ8" s="1693">
        <v>7.22</v>
      </c>
      <c r="BR8" s="1693">
        <v>7.32</v>
      </c>
      <c r="BS8" s="1693">
        <v>7.42</v>
      </c>
      <c r="BT8" s="1693">
        <v>7.53</v>
      </c>
      <c r="BU8" s="1694">
        <v>7.63</v>
      </c>
      <c r="BV8" s="1694">
        <v>7.73</v>
      </c>
      <c r="BW8" s="1694">
        <v>7.83</v>
      </c>
      <c r="BX8" s="1695">
        <v>7.94</v>
      </c>
      <c r="BY8" s="1696">
        <v>8.0399999999999991</v>
      </c>
      <c r="BZ8" s="1696">
        <v>8.14</v>
      </c>
      <c r="CA8" s="1695">
        <v>8.24</v>
      </c>
      <c r="CB8" s="1695">
        <v>8.35</v>
      </c>
      <c r="CC8" s="1704">
        <v>8.4499999999999993</v>
      </c>
      <c r="CD8" s="1697">
        <v>8.5500000000000007</v>
      </c>
      <c r="CE8" s="1698">
        <v>8.66</v>
      </c>
      <c r="CF8" s="1699">
        <v>8.76</v>
      </c>
      <c r="CG8" s="1699">
        <v>8.86</v>
      </c>
      <c r="CH8" s="1699">
        <v>8.9600000000000009</v>
      </c>
      <c r="CI8" s="1699">
        <v>9.07</v>
      </c>
      <c r="CJ8" s="1699">
        <v>9.17</v>
      </c>
      <c r="CK8" s="1700">
        <v>7.35</v>
      </c>
      <c r="CL8" s="1700">
        <v>7.45</v>
      </c>
      <c r="CM8" s="1700">
        <v>7.55</v>
      </c>
      <c r="CN8" s="1700">
        <v>7.66</v>
      </c>
      <c r="CO8" s="1705">
        <v>7.76</v>
      </c>
      <c r="CP8" s="1706">
        <v>7.86</v>
      </c>
      <c r="CQ8" s="1701">
        <v>7.96</v>
      </c>
      <c r="CR8" s="1701">
        <v>8.07</v>
      </c>
      <c r="CS8" s="1707">
        <v>8.17</v>
      </c>
      <c r="CT8" s="1700">
        <v>8.27</v>
      </c>
      <c r="CU8" s="1700">
        <v>8.3699999999999992</v>
      </c>
      <c r="CV8" s="1700">
        <v>8.48</v>
      </c>
      <c r="CW8" s="1700">
        <v>8.58</v>
      </c>
      <c r="CX8" s="1700">
        <v>8.68</v>
      </c>
      <c r="CY8" s="1700">
        <v>8.7899999999999991</v>
      </c>
      <c r="CZ8" s="1700">
        <v>8.89</v>
      </c>
      <c r="DA8" s="1700">
        <v>8.99</v>
      </c>
      <c r="DB8" s="1700">
        <v>9.09</v>
      </c>
      <c r="DC8" s="1700">
        <v>9.1999999999999993</v>
      </c>
      <c r="DD8" s="1700">
        <v>9.3000000000000007</v>
      </c>
      <c r="DE8" s="1700">
        <v>9.4</v>
      </c>
      <c r="DF8" s="1700">
        <v>9.51</v>
      </c>
      <c r="DG8" s="1700">
        <v>9.61</v>
      </c>
      <c r="DH8" s="1700">
        <v>9.7100000000000009</v>
      </c>
      <c r="DI8" s="1700">
        <v>9.81</v>
      </c>
      <c r="DJ8" s="1700">
        <v>9.92</v>
      </c>
      <c r="DK8" s="1700">
        <v>10.02</v>
      </c>
      <c r="DL8" s="1700">
        <v>10.119999999999999</v>
      </c>
      <c r="DM8" s="1700">
        <v>10.23</v>
      </c>
      <c r="DN8" s="1700">
        <v>10.33</v>
      </c>
      <c r="DO8" s="1700">
        <v>10.43</v>
      </c>
      <c r="DP8" s="1700">
        <v>10.53</v>
      </c>
      <c r="DQ8" s="1700">
        <v>10.64</v>
      </c>
      <c r="DR8" s="1700">
        <v>10.74</v>
      </c>
      <c r="DS8" s="1700"/>
      <c r="DT8" s="1700"/>
      <c r="DU8" s="1700"/>
      <c r="DV8" s="1700"/>
      <c r="DW8" s="1700"/>
      <c r="DX8" s="1700"/>
    </row>
    <row r="9" spans="1:128">
      <c r="A9" s="1622"/>
      <c r="B9" s="1691">
        <f t="shared" si="4"/>
        <v>5</v>
      </c>
      <c r="C9" s="1668" t="str">
        <f t="shared" si="1"/>
        <v>16.38</v>
      </c>
      <c r="D9" s="1672">
        <f t="shared" si="2"/>
        <v>22.93</v>
      </c>
      <c r="E9" s="1670"/>
      <c r="F9" s="1671" t="str">
        <f t="shared" si="3"/>
        <v>10.68</v>
      </c>
      <c r="G9" s="1672">
        <f t="shared" si="0"/>
        <v>14.95</v>
      </c>
      <c r="H9" s="1670"/>
      <c r="I9" s="1670"/>
      <c r="J9" s="1708">
        <v>5</v>
      </c>
      <c r="K9" s="1693">
        <v>12.74</v>
      </c>
      <c r="L9" s="1693">
        <v>12.93</v>
      </c>
      <c r="M9" s="1693">
        <v>13.11</v>
      </c>
      <c r="N9" s="1693">
        <v>13.29</v>
      </c>
      <c r="O9" s="1693">
        <v>13.47</v>
      </c>
      <c r="P9" s="1694">
        <v>13.65</v>
      </c>
      <c r="Q9" s="1694">
        <v>13.84</v>
      </c>
      <c r="R9" s="1694">
        <v>14.02</v>
      </c>
      <c r="S9" s="1695">
        <v>14.2</v>
      </c>
      <c r="T9" s="1696">
        <v>14.38</v>
      </c>
      <c r="U9" s="1696">
        <v>14.56</v>
      </c>
      <c r="V9" s="1695">
        <v>14.75</v>
      </c>
      <c r="W9" s="1695">
        <v>14.93</v>
      </c>
      <c r="X9" s="1695">
        <v>15.11</v>
      </c>
      <c r="Y9" s="1697">
        <v>15.29</v>
      </c>
      <c r="Z9" s="1698">
        <v>15.47</v>
      </c>
      <c r="AA9" s="1699">
        <v>15.66</v>
      </c>
      <c r="AB9" s="1699">
        <v>15.84</v>
      </c>
      <c r="AC9" s="1699">
        <v>16.02</v>
      </c>
      <c r="AD9" s="1699">
        <v>16.2</v>
      </c>
      <c r="AE9" s="1699">
        <v>16.38</v>
      </c>
      <c r="AF9" s="1700">
        <v>12.8</v>
      </c>
      <c r="AG9" s="1700">
        <v>12.98</v>
      </c>
      <c r="AH9" s="1700">
        <v>13.16</v>
      </c>
      <c r="AI9" s="1700">
        <v>13.34</v>
      </c>
      <c r="AJ9" s="1701">
        <v>13.53</v>
      </c>
      <c r="AK9" s="1701">
        <v>13.71</v>
      </c>
      <c r="AL9" s="1701">
        <v>13.89</v>
      </c>
      <c r="AM9" s="1701">
        <v>14.07</v>
      </c>
      <c r="AN9" s="1701">
        <v>14.25</v>
      </c>
      <c r="AO9" s="1702">
        <v>14.44</v>
      </c>
      <c r="AP9" s="1700">
        <v>14.62</v>
      </c>
      <c r="AQ9" s="1700">
        <v>14.8</v>
      </c>
      <c r="AR9" s="1683">
        <v>14.98</v>
      </c>
      <c r="AS9" s="1700">
        <v>15.16</v>
      </c>
      <c r="AT9" s="1700">
        <v>15.35</v>
      </c>
      <c r="AU9" s="1700">
        <v>15.53</v>
      </c>
      <c r="AV9" s="1700">
        <v>15.71</v>
      </c>
      <c r="AW9" s="1700">
        <v>15.89</v>
      </c>
      <c r="AX9" s="1700">
        <v>16.07</v>
      </c>
      <c r="AY9" s="1700">
        <v>16.260000000000002</v>
      </c>
      <c r="AZ9" s="1700">
        <v>16.440000000000001</v>
      </c>
      <c r="BA9" s="1700">
        <v>16.62</v>
      </c>
      <c r="BB9" s="1700">
        <v>16.8</v>
      </c>
      <c r="BC9" s="1700">
        <v>16.98</v>
      </c>
      <c r="BD9" s="1700">
        <v>17.170000000000002</v>
      </c>
      <c r="BE9" s="1700">
        <v>17.350000000000001</v>
      </c>
      <c r="BF9" s="1700">
        <v>17.53</v>
      </c>
      <c r="BG9" s="1700">
        <v>17.71</v>
      </c>
      <c r="BH9" s="1700">
        <v>17.89</v>
      </c>
      <c r="BI9" s="1700">
        <v>18.079999999999998</v>
      </c>
      <c r="BJ9" s="1700">
        <v>18.260000000000002</v>
      </c>
      <c r="BK9" s="1700">
        <v>18.440000000000001</v>
      </c>
      <c r="BL9" s="1700">
        <v>18.62</v>
      </c>
      <c r="BM9" s="1700">
        <v>18.8</v>
      </c>
      <c r="BN9" s="1700"/>
      <c r="BO9" s="1703">
        <v>5</v>
      </c>
      <c r="BP9" s="1693">
        <v>8.11</v>
      </c>
      <c r="BQ9" s="1693">
        <v>8.24</v>
      </c>
      <c r="BR9" s="1693">
        <v>8.3699999999999992</v>
      </c>
      <c r="BS9" s="1693">
        <v>8.5</v>
      </c>
      <c r="BT9" s="1693">
        <v>8.6300000000000008</v>
      </c>
      <c r="BU9" s="1694">
        <v>8.75</v>
      </c>
      <c r="BV9" s="1694">
        <v>8.8800000000000008</v>
      </c>
      <c r="BW9" s="1694">
        <v>9.01</v>
      </c>
      <c r="BX9" s="1695">
        <v>9.14</v>
      </c>
      <c r="BY9" s="1696">
        <v>9.27</v>
      </c>
      <c r="BZ9" s="1696">
        <v>9.4</v>
      </c>
      <c r="CA9" s="1695">
        <v>9.5299999999999994</v>
      </c>
      <c r="CB9" s="1695">
        <v>9.65</v>
      </c>
      <c r="CC9" s="1704">
        <v>9.7799999999999994</v>
      </c>
      <c r="CD9" s="1697">
        <v>9.91</v>
      </c>
      <c r="CE9" s="1698">
        <v>10.039999999999999</v>
      </c>
      <c r="CF9" s="1699">
        <v>10.17</v>
      </c>
      <c r="CG9" s="1699">
        <v>10.3</v>
      </c>
      <c r="CH9" s="1699">
        <v>10.43</v>
      </c>
      <c r="CI9" s="1699">
        <v>10.55</v>
      </c>
      <c r="CJ9" s="1699">
        <v>10.68</v>
      </c>
      <c r="CK9" s="1700">
        <v>8.6999999999999993</v>
      </c>
      <c r="CL9" s="1700">
        <v>8.83</v>
      </c>
      <c r="CM9" s="1700">
        <v>8.9499999999999993</v>
      </c>
      <c r="CN9" s="1700">
        <v>9.08</v>
      </c>
      <c r="CO9" s="1705">
        <v>9.2100000000000009</v>
      </c>
      <c r="CP9" s="1706">
        <v>9.34</v>
      </c>
      <c r="CQ9" s="1701">
        <v>9.4700000000000006</v>
      </c>
      <c r="CR9" s="1701">
        <v>9.6</v>
      </c>
      <c r="CS9" s="1707">
        <v>9.73</v>
      </c>
      <c r="CT9" s="1700">
        <v>9.85</v>
      </c>
      <c r="CU9" s="1700">
        <v>9.98</v>
      </c>
      <c r="CV9" s="1700">
        <v>10.11</v>
      </c>
      <c r="CW9" s="1700">
        <v>10.24</v>
      </c>
      <c r="CX9" s="1700">
        <v>10.37</v>
      </c>
      <c r="CY9" s="1700">
        <v>10.5</v>
      </c>
      <c r="CZ9" s="1700">
        <v>10.62</v>
      </c>
      <c r="DA9" s="1700">
        <v>10.75</v>
      </c>
      <c r="DB9" s="1700">
        <v>10.88</v>
      </c>
      <c r="DC9" s="1700">
        <v>11.01</v>
      </c>
      <c r="DD9" s="1700">
        <v>11.14</v>
      </c>
      <c r="DE9" s="1700">
        <v>11.27</v>
      </c>
      <c r="DF9" s="1700">
        <v>11.4</v>
      </c>
      <c r="DG9" s="1700">
        <v>11.52</v>
      </c>
      <c r="DH9" s="1700">
        <v>11.65</v>
      </c>
      <c r="DI9" s="1700">
        <v>11.78</v>
      </c>
      <c r="DJ9" s="1700">
        <v>11.91</v>
      </c>
      <c r="DK9" s="1700">
        <v>12.04</v>
      </c>
      <c r="DL9" s="1700">
        <v>12.17</v>
      </c>
      <c r="DM9" s="1700">
        <v>12.3</v>
      </c>
      <c r="DN9" s="1700">
        <v>12.42</v>
      </c>
      <c r="DO9" s="1700">
        <v>12.55</v>
      </c>
      <c r="DP9" s="1700">
        <v>12.68</v>
      </c>
      <c r="DQ9" s="1700">
        <v>12.81</v>
      </c>
      <c r="DR9" s="1700">
        <v>12.94</v>
      </c>
      <c r="DS9" s="1700"/>
      <c r="DT9" s="1700"/>
      <c r="DU9" s="1700"/>
      <c r="DV9" s="1700"/>
      <c r="DW9" s="1700"/>
      <c r="DX9" s="1700"/>
    </row>
    <row r="10" spans="1:128">
      <c r="A10" s="1622"/>
      <c r="B10" s="1691">
        <f t="shared" si="4"/>
        <v>6</v>
      </c>
      <c r="C10" s="1668" t="str">
        <f t="shared" si="1"/>
        <v>18.4</v>
      </c>
      <c r="D10" s="1672">
        <f t="shared" si="2"/>
        <v>25.76</v>
      </c>
      <c r="E10" s="1670"/>
      <c r="F10" s="1671" t="str">
        <f t="shared" si="3"/>
        <v>12.2</v>
      </c>
      <c r="G10" s="1672">
        <f t="shared" si="0"/>
        <v>17.079999999999998</v>
      </c>
      <c r="H10" s="1670"/>
      <c r="I10" s="1670"/>
      <c r="J10" s="1708">
        <v>6</v>
      </c>
      <c r="K10" s="1693">
        <v>14.03</v>
      </c>
      <c r="L10" s="1693">
        <v>14.25</v>
      </c>
      <c r="M10" s="1693">
        <v>14.47</v>
      </c>
      <c r="N10" s="1693">
        <v>14.68</v>
      </c>
      <c r="O10" s="1693">
        <v>14.9</v>
      </c>
      <c r="P10" s="1694">
        <v>15.12</v>
      </c>
      <c r="Q10" s="1694">
        <v>15.34</v>
      </c>
      <c r="R10" s="1694">
        <v>15.56</v>
      </c>
      <c r="S10" s="1695">
        <v>15.78</v>
      </c>
      <c r="T10" s="1696">
        <v>16</v>
      </c>
      <c r="U10" s="1696">
        <v>16.21</v>
      </c>
      <c r="V10" s="1695">
        <v>16.43</v>
      </c>
      <c r="W10" s="1695">
        <v>16.649999999999999</v>
      </c>
      <c r="X10" s="1695">
        <v>16.87</v>
      </c>
      <c r="Y10" s="1697">
        <v>17.09</v>
      </c>
      <c r="Z10" s="1698">
        <v>17.309999999999999</v>
      </c>
      <c r="AA10" s="1699">
        <v>17.52</v>
      </c>
      <c r="AB10" s="1699">
        <v>17.739999999999998</v>
      </c>
      <c r="AC10" s="1699">
        <v>17.96</v>
      </c>
      <c r="AD10" s="1699">
        <v>18.18</v>
      </c>
      <c r="AE10" s="1699">
        <v>18.399999999999999</v>
      </c>
      <c r="AF10" s="1700">
        <v>14.62</v>
      </c>
      <c r="AG10" s="1700">
        <v>14.84</v>
      </c>
      <c r="AH10" s="1700">
        <v>15.06</v>
      </c>
      <c r="AI10" s="1700">
        <v>15.28</v>
      </c>
      <c r="AJ10" s="1701">
        <v>15.49</v>
      </c>
      <c r="AK10" s="1701">
        <v>15.71</v>
      </c>
      <c r="AL10" s="1701">
        <v>15.93</v>
      </c>
      <c r="AM10" s="1701">
        <v>16.149999999999999</v>
      </c>
      <c r="AN10" s="1701">
        <v>16.37</v>
      </c>
      <c r="AO10" s="1702">
        <v>16.59</v>
      </c>
      <c r="AP10" s="1700">
        <v>16.809999999999999</v>
      </c>
      <c r="AQ10" s="1700">
        <v>17.02</v>
      </c>
      <c r="AR10" s="1700">
        <v>17.239999999999998</v>
      </c>
      <c r="AS10" s="1700">
        <v>17.46</v>
      </c>
      <c r="AT10" s="1700">
        <v>17.68</v>
      </c>
      <c r="AU10" s="1700">
        <v>17.899999999999999</v>
      </c>
      <c r="AV10" s="1700">
        <v>18.12</v>
      </c>
      <c r="AW10" s="1700">
        <v>18.329999999999998</v>
      </c>
      <c r="AX10" s="1700">
        <v>18.55</v>
      </c>
      <c r="AY10" s="1700">
        <v>18.77</v>
      </c>
      <c r="AZ10" s="1700">
        <v>18.989999999999998</v>
      </c>
      <c r="BA10" s="1700">
        <v>19.21</v>
      </c>
      <c r="BB10" s="1700">
        <v>19.43</v>
      </c>
      <c r="BC10" s="1700">
        <v>19.64</v>
      </c>
      <c r="BD10" s="1700">
        <v>19.86</v>
      </c>
      <c r="BE10" s="1700">
        <v>20.079999999999998</v>
      </c>
      <c r="BF10" s="1700">
        <v>20.3</v>
      </c>
      <c r="BG10" s="1700">
        <v>20.52</v>
      </c>
      <c r="BH10" s="1700">
        <v>20.74</v>
      </c>
      <c r="BI10" s="1700">
        <v>20.95</v>
      </c>
      <c r="BJ10" s="1700">
        <v>21.17</v>
      </c>
      <c r="BK10" s="1700">
        <v>21.39</v>
      </c>
      <c r="BL10" s="1700">
        <v>21.61</v>
      </c>
      <c r="BM10" s="1700">
        <v>21.83</v>
      </c>
      <c r="BN10" s="1700"/>
      <c r="BO10" s="1703">
        <v>6</v>
      </c>
      <c r="BP10" s="1693">
        <v>9.11</v>
      </c>
      <c r="BQ10" s="1693">
        <v>9.27</v>
      </c>
      <c r="BR10" s="1693">
        <v>9.42</v>
      </c>
      <c r="BS10" s="1693">
        <v>9.58</v>
      </c>
      <c r="BT10" s="1693">
        <v>9.73</v>
      </c>
      <c r="BU10" s="1694">
        <v>9.8800000000000008</v>
      </c>
      <c r="BV10" s="1694">
        <v>10.039999999999999</v>
      </c>
      <c r="BW10" s="1694">
        <v>10.19</v>
      </c>
      <c r="BX10" s="1695">
        <v>10.35</v>
      </c>
      <c r="BY10" s="1696">
        <v>10.5</v>
      </c>
      <c r="BZ10" s="1696">
        <v>10.66</v>
      </c>
      <c r="CA10" s="1695">
        <v>10.81</v>
      </c>
      <c r="CB10" s="1695">
        <v>10.96</v>
      </c>
      <c r="CC10" s="1704">
        <v>11.12</v>
      </c>
      <c r="CD10" s="1697">
        <v>11.27</v>
      </c>
      <c r="CE10" s="1698">
        <v>11.43</v>
      </c>
      <c r="CF10" s="1699">
        <v>11.58</v>
      </c>
      <c r="CG10" s="1699">
        <v>11.73</v>
      </c>
      <c r="CH10" s="1699">
        <v>11.89</v>
      </c>
      <c r="CI10" s="1699">
        <v>12.04</v>
      </c>
      <c r="CJ10" s="1699">
        <v>12.2</v>
      </c>
      <c r="CK10" s="1700">
        <v>10.050000000000001</v>
      </c>
      <c r="CL10" s="1700">
        <v>10.199999999999999</v>
      </c>
      <c r="CM10" s="1700">
        <v>10.36</v>
      </c>
      <c r="CN10" s="1700">
        <v>10.51</v>
      </c>
      <c r="CO10" s="1705">
        <v>10.67</v>
      </c>
      <c r="CP10" s="1706">
        <v>10.82</v>
      </c>
      <c r="CQ10" s="1701">
        <v>10.97</v>
      </c>
      <c r="CR10" s="1701">
        <v>11.13</v>
      </c>
      <c r="CS10" s="1707">
        <v>11.28</v>
      </c>
      <c r="CT10" s="1700">
        <v>11.44</v>
      </c>
      <c r="CU10" s="1700">
        <v>11.59</v>
      </c>
      <c r="CV10" s="1700">
        <v>11.74</v>
      </c>
      <c r="CW10" s="1700">
        <v>11.9</v>
      </c>
      <c r="CX10" s="1461">
        <v>12.05</v>
      </c>
      <c r="CY10" s="1700">
        <v>12.21</v>
      </c>
      <c r="CZ10" s="1700">
        <v>12.36</v>
      </c>
      <c r="DA10" s="1700">
        <v>12.52</v>
      </c>
      <c r="DB10" s="1700">
        <v>12.67</v>
      </c>
      <c r="DC10" s="1700">
        <v>12.82</v>
      </c>
      <c r="DD10" s="1700">
        <v>12.98</v>
      </c>
      <c r="DE10" s="1700">
        <v>13.13</v>
      </c>
      <c r="DF10" s="1700">
        <v>13.29</v>
      </c>
      <c r="DG10" s="1700">
        <v>13.44</v>
      </c>
      <c r="DH10" s="1700">
        <v>13.6</v>
      </c>
      <c r="DI10" s="1700">
        <v>13.75</v>
      </c>
      <c r="DJ10" s="1700">
        <v>13.9</v>
      </c>
      <c r="DK10" s="1700">
        <v>14.06</v>
      </c>
      <c r="DL10" s="1700">
        <v>14.21</v>
      </c>
      <c r="DM10" s="1700">
        <v>14.37</v>
      </c>
      <c r="DN10" s="1700">
        <v>14.52</v>
      </c>
      <c r="DO10" s="1700">
        <v>14.67</v>
      </c>
      <c r="DP10" s="1700">
        <v>14.83</v>
      </c>
      <c r="DQ10" s="1700">
        <v>14.98</v>
      </c>
      <c r="DR10" s="1700">
        <v>15.14</v>
      </c>
      <c r="DS10" s="1700"/>
      <c r="DT10" s="1700"/>
      <c r="DU10" s="1700"/>
      <c r="DV10" s="1700"/>
      <c r="DW10" s="1700"/>
      <c r="DX10" s="1700"/>
    </row>
    <row r="11" spans="1:128">
      <c r="A11" s="1622"/>
      <c r="B11" s="1691">
        <f t="shared" si="4"/>
        <v>7</v>
      </c>
      <c r="C11" s="1668" t="str">
        <f t="shared" si="1"/>
        <v>20.41</v>
      </c>
      <c r="D11" s="1672">
        <f t="shared" si="2"/>
        <v>28.57</v>
      </c>
      <c r="E11" s="1670"/>
      <c r="F11" s="1671" t="str">
        <f t="shared" si="3"/>
        <v>13.71</v>
      </c>
      <c r="G11" s="1672">
        <f t="shared" si="0"/>
        <v>19.190000000000001</v>
      </c>
      <c r="H11" s="1670"/>
      <c r="I11" s="1670"/>
      <c r="J11" s="1708">
        <v>7</v>
      </c>
      <c r="K11" s="1693">
        <v>15.32</v>
      </c>
      <c r="L11" s="1693">
        <v>15.57</v>
      </c>
      <c r="M11" s="1693">
        <v>15.83</v>
      </c>
      <c r="N11" s="1693">
        <v>16.079999999999998</v>
      </c>
      <c r="O11" s="1693">
        <v>16.34</v>
      </c>
      <c r="P11" s="1694">
        <v>16.59</v>
      </c>
      <c r="Q11" s="1694">
        <v>16.850000000000001</v>
      </c>
      <c r="R11" s="1694">
        <v>17.100000000000001</v>
      </c>
      <c r="S11" s="1695">
        <v>17.36</v>
      </c>
      <c r="T11" s="1696">
        <v>17.61</v>
      </c>
      <c r="U11" s="1696">
        <v>17.86</v>
      </c>
      <c r="V11" s="1695">
        <v>18.12</v>
      </c>
      <c r="W11" s="1695">
        <v>18.37</v>
      </c>
      <c r="X11" s="1695">
        <v>18.63</v>
      </c>
      <c r="Y11" s="1697">
        <v>18.88</v>
      </c>
      <c r="Z11" s="1698">
        <v>19.14</v>
      </c>
      <c r="AA11" s="1699">
        <v>19.39</v>
      </c>
      <c r="AB11" s="1699">
        <v>19.649999999999999</v>
      </c>
      <c r="AC11" s="1699">
        <v>19.899999999999999</v>
      </c>
      <c r="AD11" s="1699">
        <v>20.16</v>
      </c>
      <c r="AE11" s="1699">
        <v>20.41</v>
      </c>
      <c r="AF11" s="1683">
        <v>16.440000000000001</v>
      </c>
      <c r="AG11" s="1683">
        <v>16.7</v>
      </c>
      <c r="AH11" s="1683">
        <v>16.95</v>
      </c>
      <c r="AI11" s="1683">
        <v>17.21</v>
      </c>
      <c r="AJ11" s="1701">
        <v>17.46</v>
      </c>
      <c r="AK11" s="1701">
        <v>17.72</v>
      </c>
      <c r="AL11" s="1701">
        <v>17.97</v>
      </c>
      <c r="AM11" s="1701">
        <v>18.23</v>
      </c>
      <c r="AN11" s="1701">
        <v>18.48</v>
      </c>
      <c r="AO11" s="1702">
        <v>18.739999999999998</v>
      </c>
      <c r="AP11" s="1700">
        <v>18.989999999999998</v>
      </c>
      <c r="AQ11" s="1700">
        <v>19.25</v>
      </c>
      <c r="AR11" s="1683">
        <v>19.5</v>
      </c>
      <c r="AS11" s="1700">
        <v>19.760000000000002</v>
      </c>
      <c r="AT11" s="1683">
        <v>20.010000000000002</v>
      </c>
      <c r="AU11" s="1700">
        <v>20.27</v>
      </c>
      <c r="AV11" s="1683">
        <v>20.52</v>
      </c>
      <c r="AW11" s="1683">
        <v>20.78</v>
      </c>
      <c r="AX11" s="1683">
        <v>21.03</v>
      </c>
      <c r="AY11" s="1683">
        <v>21.29</v>
      </c>
      <c r="AZ11" s="1683">
        <v>21.54</v>
      </c>
      <c r="BA11" s="1683">
        <v>21.8</v>
      </c>
      <c r="BB11" s="1700">
        <v>22.05</v>
      </c>
      <c r="BC11" s="1683">
        <v>22.3</v>
      </c>
      <c r="BD11" s="1683">
        <v>22.56</v>
      </c>
      <c r="BE11" s="1683">
        <v>22.81</v>
      </c>
      <c r="BF11" s="1683">
        <v>23.07</v>
      </c>
      <c r="BG11" s="1683">
        <v>23.32</v>
      </c>
      <c r="BH11" s="1683">
        <v>23.58</v>
      </c>
      <c r="BI11" s="1683">
        <v>23.83</v>
      </c>
      <c r="BJ11" s="1683">
        <v>24.09</v>
      </c>
      <c r="BK11" s="1683">
        <v>24.34</v>
      </c>
      <c r="BL11" s="1683">
        <v>24.6</v>
      </c>
      <c r="BM11" s="1683">
        <v>24.85</v>
      </c>
      <c r="BN11" s="1683"/>
      <c r="BO11" s="1703">
        <v>7</v>
      </c>
      <c r="BP11" s="1693">
        <v>10.11</v>
      </c>
      <c r="BQ11" s="1693">
        <v>10.29</v>
      </c>
      <c r="BR11" s="1693">
        <v>0.47</v>
      </c>
      <c r="BS11" s="1693"/>
      <c r="BT11" s="1693">
        <v>10.83</v>
      </c>
      <c r="BU11" s="1694">
        <v>11.01</v>
      </c>
      <c r="BV11" s="1694">
        <v>11.19</v>
      </c>
      <c r="BW11" s="1694">
        <v>11.37</v>
      </c>
      <c r="BX11" s="1695">
        <v>11.55</v>
      </c>
      <c r="BY11" s="1696">
        <v>11.73</v>
      </c>
      <c r="BZ11" s="1696">
        <v>11.91</v>
      </c>
      <c r="CA11" s="1695">
        <v>12.09</v>
      </c>
      <c r="CB11" s="1695">
        <v>12.27</v>
      </c>
      <c r="CC11" s="1704">
        <v>12.45</v>
      </c>
      <c r="CD11" s="1697">
        <v>12.63</v>
      </c>
      <c r="CE11" s="1698">
        <v>12.81</v>
      </c>
      <c r="CF11" s="1699">
        <v>12.99</v>
      </c>
      <c r="CG11" s="1699">
        <v>13.17</v>
      </c>
      <c r="CH11" s="1699">
        <v>13.35</v>
      </c>
      <c r="CI11" s="1699">
        <v>13.53</v>
      </c>
      <c r="CJ11" s="1699">
        <v>13.71</v>
      </c>
      <c r="CK11" s="1700">
        <v>11.4</v>
      </c>
      <c r="CL11" s="1700">
        <v>11.58</v>
      </c>
      <c r="CM11" s="1700">
        <v>11.76</v>
      </c>
      <c r="CN11" s="1700">
        <v>11.94</v>
      </c>
      <c r="CO11" s="1705">
        <v>12.12</v>
      </c>
      <c r="CP11" s="1706">
        <v>12.3</v>
      </c>
      <c r="CQ11" s="1701">
        <v>12.48</v>
      </c>
      <c r="CR11" s="1701">
        <v>12.66</v>
      </c>
      <c r="CS11" s="1707">
        <v>12.84</v>
      </c>
      <c r="CT11" s="1700">
        <v>13.02</v>
      </c>
      <c r="CU11" s="1700">
        <v>13.2</v>
      </c>
      <c r="CV11" s="1700">
        <v>13.38</v>
      </c>
      <c r="CW11" s="1700">
        <v>13.56</v>
      </c>
      <c r="CX11" s="1700">
        <v>13.74</v>
      </c>
      <c r="CY11" s="1700">
        <v>13.92</v>
      </c>
      <c r="CZ11" s="1700">
        <v>14.1</v>
      </c>
      <c r="DA11" s="1700">
        <v>14.28</v>
      </c>
      <c r="DB11" s="1700">
        <v>14.46</v>
      </c>
      <c r="DC11" s="1700">
        <v>14.64</v>
      </c>
      <c r="DD11" s="1700">
        <v>14.82</v>
      </c>
      <c r="DE11" s="1700">
        <v>15</v>
      </c>
      <c r="DF11" s="1700">
        <v>15.18</v>
      </c>
      <c r="DG11" s="1700">
        <v>15.36</v>
      </c>
      <c r="DH11" s="1700">
        <v>15.54</v>
      </c>
      <c r="DI11" s="1700">
        <v>15.72</v>
      </c>
      <c r="DJ11" s="1700">
        <v>15.9</v>
      </c>
      <c r="DK11" s="1700">
        <v>16.079999999999998</v>
      </c>
      <c r="DL11" s="1700">
        <v>16.260000000000002</v>
      </c>
      <c r="DM11" s="1700">
        <v>16.440000000000001</v>
      </c>
      <c r="DN11" s="1700">
        <v>16.62</v>
      </c>
      <c r="DO11" s="1700">
        <v>16.8</v>
      </c>
      <c r="DP11" s="1700">
        <v>16.98</v>
      </c>
      <c r="DQ11" s="1700">
        <v>17.16</v>
      </c>
      <c r="DR11" s="1700">
        <v>17.34</v>
      </c>
      <c r="DS11" s="1700"/>
      <c r="DT11" s="1700"/>
      <c r="DU11" s="1700"/>
      <c r="DV11" s="1700"/>
      <c r="DW11" s="1700"/>
      <c r="DX11" s="1700"/>
    </row>
    <row r="12" spans="1:128">
      <c r="A12" s="1622"/>
      <c r="B12" s="1691">
        <f t="shared" si="4"/>
        <v>8</v>
      </c>
      <c r="C12" s="1668" t="str">
        <f t="shared" si="1"/>
        <v>22.66</v>
      </c>
      <c r="D12" s="1672">
        <f t="shared" si="2"/>
        <v>31.72</v>
      </c>
      <c r="E12" s="1670"/>
      <c r="F12" s="1671" t="str">
        <f t="shared" si="3"/>
        <v>15.22</v>
      </c>
      <c r="G12" s="1672">
        <f t="shared" si="0"/>
        <v>21.31</v>
      </c>
      <c r="H12" s="1670"/>
      <c r="I12" s="1670"/>
      <c r="J12" s="1708">
        <v>8</v>
      </c>
      <c r="K12" s="1693">
        <v>16.84</v>
      </c>
      <c r="L12" s="1693">
        <v>17.13</v>
      </c>
      <c r="M12" s="1693">
        <v>17.420000000000002</v>
      </c>
      <c r="N12" s="1693">
        <v>17.71</v>
      </c>
      <c r="O12" s="1693">
        <v>18.010000000000002</v>
      </c>
      <c r="P12" s="1694">
        <v>18.3</v>
      </c>
      <c r="Q12" s="1694">
        <v>18.59</v>
      </c>
      <c r="R12" s="1694">
        <v>18.88</v>
      </c>
      <c r="S12" s="1695">
        <v>19.170000000000002</v>
      </c>
      <c r="T12" s="1696">
        <v>19.46</v>
      </c>
      <c r="U12" s="1696">
        <v>19.75</v>
      </c>
      <c r="V12" s="1695">
        <v>20.04</v>
      </c>
      <c r="W12" s="1695">
        <v>20.34</v>
      </c>
      <c r="X12" s="1695">
        <v>20.63</v>
      </c>
      <c r="Y12" s="1697">
        <v>20.92</v>
      </c>
      <c r="Z12" s="1698">
        <v>21.21</v>
      </c>
      <c r="AA12" s="1699">
        <v>21.5</v>
      </c>
      <c r="AB12" s="1699">
        <v>21.79</v>
      </c>
      <c r="AC12" s="1699">
        <v>22.08</v>
      </c>
      <c r="AD12" s="1699">
        <v>22.37</v>
      </c>
      <c r="AE12" s="1699">
        <v>22.66</v>
      </c>
      <c r="AF12" s="1700">
        <v>18.41</v>
      </c>
      <c r="AG12" s="1700">
        <v>18.7</v>
      </c>
      <c r="AH12" s="1700">
        <v>18.989999999999998</v>
      </c>
      <c r="AI12" s="1700">
        <v>19.28</v>
      </c>
      <c r="AJ12" s="1701">
        <v>19.57</v>
      </c>
      <c r="AK12" s="1701">
        <v>19.86</v>
      </c>
      <c r="AL12" s="1701">
        <v>20.149999999999999</v>
      </c>
      <c r="AM12" s="1701">
        <v>20.440000000000001</v>
      </c>
      <c r="AN12" s="1701">
        <v>20.74</v>
      </c>
      <c r="AO12" s="1702">
        <v>21.03</v>
      </c>
      <c r="AP12" s="1700">
        <v>21.32</v>
      </c>
      <c r="AQ12" s="1700">
        <v>21.61</v>
      </c>
      <c r="AR12" s="1700">
        <v>21.9</v>
      </c>
      <c r="AS12" s="1700">
        <v>22.19</v>
      </c>
      <c r="AT12" s="1700">
        <v>22.48</v>
      </c>
      <c r="AU12" s="1700">
        <v>22.77</v>
      </c>
      <c r="AV12" s="1700">
        <v>23.07</v>
      </c>
      <c r="AW12" s="1700">
        <v>23.36</v>
      </c>
      <c r="AX12" s="1700">
        <v>23.65</v>
      </c>
      <c r="AY12" s="1700">
        <v>23.94</v>
      </c>
      <c r="AZ12" s="1700">
        <v>24.23</v>
      </c>
      <c r="BA12" s="1700">
        <v>24.52</v>
      </c>
      <c r="BB12" s="1700">
        <v>24.81</v>
      </c>
      <c r="BC12" s="1700">
        <v>25.1</v>
      </c>
      <c r="BD12" s="1700">
        <v>25.4</v>
      </c>
      <c r="BE12" s="1700">
        <v>25.69</v>
      </c>
      <c r="BF12" s="1700">
        <v>25.98</v>
      </c>
      <c r="BG12" s="1700">
        <v>26.27</v>
      </c>
      <c r="BH12" s="1700">
        <v>26.56</v>
      </c>
      <c r="BI12" s="1700">
        <v>26.85</v>
      </c>
      <c r="BJ12" s="1700">
        <v>27.14</v>
      </c>
      <c r="BK12" s="1700">
        <v>27.43</v>
      </c>
      <c r="BL12" s="1700">
        <v>27.72</v>
      </c>
      <c r="BM12" s="1700">
        <v>28.02</v>
      </c>
      <c r="BN12" s="1700"/>
      <c r="BO12" s="1703">
        <v>8</v>
      </c>
      <c r="BP12" s="1693">
        <v>11.11</v>
      </c>
      <c r="BQ12" s="1693">
        <v>11.32</v>
      </c>
      <c r="BR12" s="1693">
        <v>11.52</v>
      </c>
      <c r="BS12" s="1693">
        <v>10.65</v>
      </c>
      <c r="BT12" s="1693">
        <v>11.93</v>
      </c>
      <c r="BU12" s="1694">
        <v>12.14</v>
      </c>
      <c r="BV12" s="1694">
        <v>12.35</v>
      </c>
      <c r="BW12" s="1694">
        <v>12.55</v>
      </c>
      <c r="BX12" s="1695">
        <v>12.76</v>
      </c>
      <c r="BY12" s="1696">
        <v>12.96</v>
      </c>
      <c r="BZ12" s="1696">
        <v>13.17</v>
      </c>
      <c r="CA12" s="1695">
        <v>13.37</v>
      </c>
      <c r="CB12" s="1695">
        <v>13.58</v>
      </c>
      <c r="CC12" s="1704">
        <v>13.78</v>
      </c>
      <c r="CD12" s="1697">
        <v>13.99</v>
      </c>
      <c r="CE12" s="1698">
        <v>14.2</v>
      </c>
      <c r="CF12" s="1699">
        <v>14.4</v>
      </c>
      <c r="CG12" s="1699">
        <v>14.61</v>
      </c>
      <c r="CH12" s="1699">
        <v>14.81</v>
      </c>
      <c r="CI12" s="1699">
        <v>15.02</v>
      </c>
      <c r="CJ12" s="1699">
        <v>15.22</v>
      </c>
      <c r="CK12" s="1700">
        <v>12.75</v>
      </c>
      <c r="CL12" s="1700">
        <v>12.96</v>
      </c>
      <c r="CM12" s="1700">
        <v>13.16</v>
      </c>
      <c r="CN12" s="1700">
        <v>13.37</v>
      </c>
      <c r="CO12" s="1705">
        <v>13.57</v>
      </c>
      <c r="CP12" s="1706">
        <v>13.78</v>
      </c>
      <c r="CQ12" s="1701">
        <v>13.98</v>
      </c>
      <c r="CR12" s="1701">
        <v>14.19</v>
      </c>
      <c r="CS12" s="1707">
        <v>14.4</v>
      </c>
      <c r="CT12" s="1700">
        <v>14.6</v>
      </c>
      <c r="CU12" s="1700">
        <v>14.81</v>
      </c>
      <c r="CV12" s="1700">
        <v>15.01</v>
      </c>
      <c r="CW12" s="1700">
        <v>15.22</v>
      </c>
      <c r="CX12" s="1700">
        <v>15.42</v>
      </c>
      <c r="CY12" s="1700">
        <v>15.63</v>
      </c>
      <c r="CZ12" s="1700">
        <v>15.83</v>
      </c>
      <c r="DA12" s="1700">
        <v>16.04</v>
      </c>
      <c r="DB12" s="1700">
        <v>16.25</v>
      </c>
      <c r="DC12" s="1700">
        <v>16.45</v>
      </c>
      <c r="DD12" s="1700">
        <v>16.66</v>
      </c>
      <c r="DE12" s="1700">
        <v>16.86</v>
      </c>
      <c r="DF12" s="1700">
        <v>17.07</v>
      </c>
      <c r="DG12" s="1700">
        <v>17.27</v>
      </c>
      <c r="DH12" s="1700">
        <v>17.48</v>
      </c>
      <c r="DI12" s="1700">
        <v>17.68</v>
      </c>
      <c r="DJ12" s="1700">
        <v>17.89</v>
      </c>
      <c r="DK12" s="1700">
        <v>18.100000000000001</v>
      </c>
      <c r="DL12" s="1700">
        <v>18.3</v>
      </c>
      <c r="DM12" s="1700">
        <v>18.510000000000002</v>
      </c>
      <c r="DN12" s="1700">
        <v>18.71</v>
      </c>
      <c r="DO12" s="1700">
        <v>18.920000000000002</v>
      </c>
      <c r="DP12" s="1700">
        <v>19.12</v>
      </c>
      <c r="DQ12" s="1700">
        <v>19.329999999999998</v>
      </c>
      <c r="DR12" s="1700">
        <v>19.54</v>
      </c>
      <c r="DS12" s="1700"/>
      <c r="DT12" s="1700"/>
      <c r="DU12" s="1700"/>
      <c r="DV12" s="1700"/>
      <c r="DW12" s="1700"/>
      <c r="DX12" s="1700"/>
    </row>
    <row r="13" spans="1:128">
      <c r="A13" s="1622"/>
      <c r="B13" s="1691">
        <f t="shared" si="4"/>
        <v>9</v>
      </c>
      <c r="C13" s="1668" t="str">
        <f t="shared" si="1"/>
        <v>25.34</v>
      </c>
      <c r="D13" s="1672">
        <f t="shared" si="2"/>
        <v>35.479999999999997</v>
      </c>
      <c r="E13" s="1670"/>
      <c r="F13" s="1671" t="str">
        <f t="shared" si="3"/>
        <v>16.74</v>
      </c>
      <c r="G13" s="1672">
        <f t="shared" si="0"/>
        <v>23.44</v>
      </c>
      <c r="H13" s="1670"/>
      <c r="I13" s="1670"/>
      <c r="J13" s="1708">
        <v>9</v>
      </c>
      <c r="K13" s="1693">
        <v>18.79</v>
      </c>
      <c r="L13" s="1693">
        <v>19.12</v>
      </c>
      <c r="M13" s="1693">
        <v>19.45</v>
      </c>
      <c r="N13" s="1693">
        <v>19.77</v>
      </c>
      <c r="O13" s="1693">
        <v>20.100000000000001</v>
      </c>
      <c r="P13" s="1694">
        <v>20.43</v>
      </c>
      <c r="Q13" s="1694">
        <v>20.76</v>
      </c>
      <c r="R13" s="1694">
        <v>21.08</v>
      </c>
      <c r="S13" s="1695">
        <v>21.41</v>
      </c>
      <c r="T13" s="1696">
        <v>21.74</v>
      </c>
      <c r="U13" s="1696">
        <v>22.07</v>
      </c>
      <c r="V13" s="1695">
        <v>22.39</v>
      </c>
      <c r="W13" s="1695">
        <v>22.72</v>
      </c>
      <c r="X13" s="1695">
        <v>23.05</v>
      </c>
      <c r="Y13" s="1697">
        <v>23.38</v>
      </c>
      <c r="Z13" s="1698">
        <v>23.7</v>
      </c>
      <c r="AA13" s="1699">
        <v>24.03</v>
      </c>
      <c r="AB13" s="1699">
        <v>24.36</v>
      </c>
      <c r="AC13" s="1699">
        <v>24.69</v>
      </c>
      <c r="AD13" s="1699">
        <v>25.01</v>
      </c>
      <c r="AE13" s="1699">
        <v>25.34</v>
      </c>
      <c r="AF13" s="1700">
        <v>20.62</v>
      </c>
      <c r="AG13" s="1700">
        <v>20.94</v>
      </c>
      <c r="AH13" s="1700">
        <v>21.27</v>
      </c>
      <c r="AI13" s="1700">
        <v>21.6</v>
      </c>
      <c r="AJ13" s="1701">
        <v>21.93</v>
      </c>
      <c r="AK13" s="1701">
        <v>22.25</v>
      </c>
      <c r="AL13" s="1701">
        <v>22.58</v>
      </c>
      <c r="AM13" s="1701">
        <v>22.91</v>
      </c>
      <c r="AN13" s="1701">
        <v>23.24</v>
      </c>
      <c r="AO13" s="1702">
        <v>23.56</v>
      </c>
      <c r="AP13" s="1700">
        <v>23.89</v>
      </c>
      <c r="AQ13" s="1700">
        <v>24.22</v>
      </c>
      <c r="AR13" s="1683">
        <v>24.55</v>
      </c>
      <c r="AS13" s="1700">
        <v>24.87</v>
      </c>
      <c r="AT13" s="1700">
        <v>25.2</v>
      </c>
      <c r="AU13" s="1700">
        <v>25.53</v>
      </c>
      <c r="AV13" s="1700">
        <v>25.86</v>
      </c>
      <c r="AW13" s="1700">
        <v>26.19</v>
      </c>
      <c r="AX13" s="1700">
        <v>26.51</v>
      </c>
      <c r="AY13" s="1700">
        <v>26.84</v>
      </c>
      <c r="AZ13" s="1700">
        <v>27.17</v>
      </c>
      <c r="BA13" s="1700">
        <v>27.5</v>
      </c>
      <c r="BB13" s="1683">
        <v>27.82</v>
      </c>
      <c r="BC13" s="1700">
        <v>28.15</v>
      </c>
      <c r="BD13" s="1700">
        <v>28.48</v>
      </c>
      <c r="BE13" s="1700">
        <v>28.81</v>
      </c>
      <c r="BF13" s="1700">
        <v>29.13</v>
      </c>
      <c r="BG13" s="1700">
        <v>29.46</v>
      </c>
      <c r="BH13" s="1700">
        <v>29.79</v>
      </c>
      <c r="BI13" s="1700">
        <v>30.12</v>
      </c>
      <c r="BJ13" s="1700">
        <v>30.44</v>
      </c>
      <c r="BK13" s="1700">
        <v>30.77</v>
      </c>
      <c r="BL13" s="1700">
        <v>31.1</v>
      </c>
      <c r="BM13" s="1700">
        <v>31.43</v>
      </c>
      <c r="BN13" s="1700"/>
      <c r="BO13" s="1703">
        <v>9</v>
      </c>
      <c r="BP13" s="1693">
        <v>12.11</v>
      </c>
      <c r="BQ13" s="1693">
        <v>12.34</v>
      </c>
      <c r="BR13" s="1693">
        <v>12.58</v>
      </c>
      <c r="BS13" s="1693">
        <v>11.73</v>
      </c>
      <c r="BT13" s="1693">
        <v>13.04</v>
      </c>
      <c r="BU13" s="1694">
        <v>13.27</v>
      </c>
      <c r="BV13" s="1694">
        <v>13.5</v>
      </c>
      <c r="BW13" s="1694">
        <v>13.73</v>
      </c>
      <c r="BX13" s="1695">
        <v>13.96</v>
      </c>
      <c r="BY13" s="1696">
        <v>14.19</v>
      </c>
      <c r="BZ13" s="1696">
        <v>14.43</v>
      </c>
      <c r="CA13" s="1695">
        <v>14.66</v>
      </c>
      <c r="CB13" s="1695">
        <v>14.89</v>
      </c>
      <c r="CC13" s="1704">
        <v>15.12</v>
      </c>
      <c r="CD13" s="1697">
        <v>15.35</v>
      </c>
      <c r="CE13" s="1698">
        <v>15.58</v>
      </c>
      <c r="CF13" s="1699">
        <v>15.81</v>
      </c>
      <c r="CG13" s="1699">
        <v>16.04</v>
      </c>
      <c r="CH13" s="1699">
        <v>16.28</v>
      </c>
      <c r="CI13" s="1699">
        <v>16.510000000000002</v>
      </c>
      <c r="CJ13" s="1699">
        <v>16.739999999999998</v>
      </c>
      <c r="CK13" s="1700">
        <v>14.1</v>
      </c>
      <c r="CL13" s="1700">
        <v>14.33</v>
      </c>
      <c r="CM13" s="1700">
        <v>14.56</v>
      </c>
      <c r="CN13" s="1700">
        <v>14.8</v>
      </c>
      <c r="CO13" s="1705">
        <v>15.03</v>
      </c>
      <c r="CP13" s="1706">
        <v>15.26</v>
      </c>
      <c r="CQ13" s="1701">
        <v>15.49</v>
      </c>
      <c r="CR13" s="1701">
        <v>15.72</v>
      </c>
      <c r="CS13" s="1707">
        <v>15.95</v>
      </c>
      <c r="CT13" s="1700">
        <v>16.18</v>
      </c>
      <c r="CU13" s="1700">
        <v>16.41</v>
      </c>
      <c r="CV13" s="1700">
        <v>16.649999999999999</v>
      </c>
      <c r="CW13" s="1700">
        <v>16.88</v>
      </c>
      <c r="CX13" s="1700">
        <v>17.11</v>
      </c>
      <c r="CY13" s="1700">
        <v>17.34</v>
      </c>
      <c r="CZ13" s="1700">
        <v>17.57</v>
      </c>
      <c r="DA13" s="1700">
        <v>17.8</v>
      </c>
      <c r="DB13" s="1700">
        <v>18.03</v>
      </c>
      <c r="DC13" s="1700">
        <v>18.27</v>
      </c>
      <c r="DD13" s="1700">
        <v>18.5</v>
      </c>
      <c r="DE13" s="1700">
        <v>18.73</v>
      </c>
      <c r="DF13" s="1700">
        <v>18.96</v>
      </c>
      <c r="DG13" s="1700">
        <v>19.190000000000001</v>
      </c>
      <c r="DH13" s="1700">
        <v>19.420000000000002</v>
      </c>
      <c r="DI13" s="1700">
        <v>19.649999999999999</v>
      </c>
      <c r="DJ13" s="1700">
        <v>19.88</v>
      </c>
      <c r="DK13" s="1700">
        <v>20.12</v>
      </c>
      <c r="DL13" s="1700">
        <v>20.350000000000001</v>
      </c>
      <c r="DM13" s="1700">
        <v>20.58</v>
      </c>
      <c r="DN13" s="1700">
        <v>20.81</v>
      </c>
      <c r="DO13" s="1700">
        <v>21.04</v>
      </c>
      <c r="DP13" s="1700">
        <v>21.27</v>
      </c>
      <c r="DQ13" s="1700">
        <v>21.5</v>
      </c>
      <c r="DR13" s="1700">
        <v>21.73</v>
      </c>
      <c r="DS13" s="1700"/>
      <c r="DT13" s="1700"/>
      <c r="DU13" s="1700"/>
      <c r="DV13" s="1700"/>
      <c r="DW13" s="1700"/>
      <c r="DX13" s="1700"/>
    </row>
    <row r="14" spans="1:128">
      <c r="A14" s="1622"/>
      <c r="B14" s="1691">
        <f t="shared" si="4"/>
        <v>10</v>
      </c>
      <c r="C14" s="1668" t="str">
        <f t="shared" si="1"/>
        <v>28.02</v>
      </c>
      <c r="D14" s="1672">
        <f t="shared" si="2"/>
        <v>39.229999999999997</v>
      </c>
      <c r="E14" s="1670"/>
      <c r="F14" s="1671" t="str">
        <f t="shared" si="3"/>
        <v>18.25</v>
      </c>
      <c r="G14" s="1672">
        <f t="shared" si="0"/>
        <v>25.55</v>
      </c>
      <c r="H14" s="1670"/>
      <c r="I14" s="1670"/>
      <c r="J14" s="1708">
        <v>10</v>
      </c>
      <c r="K14" s="1693">
        <v>20.74</v>
      </c>
      <c r="L14" s="1693">
        <v>21.1</v>
      </c>
      <c r="M14" s="1693">
        <v>21.47</v>
      </c>
      <c r="N14" s="1693">
        <v>21.83</v>
      </c>
      <c r="O14" s="1693">
        <v>22.19</v>
      </c>
      <c r="P14" s="1694">
        <v>22.56</v>
      </c>
      <c r="Q14" s="1694">
        <v>22.92</v>
      </c>
      <c r="R14" s="1694">
        <v>23.29</v>
      </c>
      <c r="S14" s="1695">
        <v>23.65</v>
      </c>
      <c r="T14" s="1696">
        <v>24.01</v>
      </c>
      <c r="U14" s="1696">
        <v>24.38</v>
      </c>
      <c r="V14" s="1695">
        <v>24.74</v>
      </c>
      <c r="W14" s="1695">
        <v>25.11</v>
      </c>
      <c r="X14" s="1695">
        <v>25.47</v>
      </c>
      <c r="Y14" s="1697">
        <v>25.83</v>
      </c>
      <c r="Z14" s="1698">
        <v>26.2</v>
      </c>
      <c r="AA14" s="1699">
        <v>26.56</v>
      </c>
      <c r="AB14" s="1699">
        <v>26.93</v>
      </c>
      <c r="AC14" s="1699">
        <v>27.29</v>
      </c>
      <c r="AD14" s="1699">
        <v>27.65</v>
      </c>
      <c r="AE14" s="1699">
        <v>28.02</v>
      </c>
      <c r="AF14" s="1683">
        <v>22.82</v>
      </c>
      <c r="AG14" s="1683">
        <v>23.19</v>
      </c>
      <c r="AH14" s="1683">
        <v>23.55</v>
      </c>
      <c r="AI14" s="1683">
        <v>23.92</v>
      </c>
      <c r="AJ14" s="1701">
        <v>24.28</v>
      </c>
      <c r="AK14" s="1701">
        <v>24.64</v>
      </c>
      <c r="AL14" s="1701">
        <v>25.01</v>
      </c>
      <c r="AM14" s="1701">
        <v>25.37</v>
      </c>
      <c r="AN14" s="1701">
        <v>25.74</v>
      </c>
      <c r="AO14" s="1702">
        <v>26.1</v>
      </c>
      <c r="AP14" s="1700">
        <v>26.46</v>
      </c>
      <c r="AQ14" s="1700">
        <v>26.83</v>
      </c>
      <c r="AR14" s="1700">
        <v>27.19</v>
      </c>
      <c r="AS14" s="1700">
        <v>27.56</v>
      </c>
      <c r="AT14" s="1683">
        <v>27.92</v>
      </c>
      <c r="AU14" s="1700">
        <v>28.28</v>
      </c>
      <c r="AV14" s="1683">
        <v>28.65</v>
      </c>
      <c r="AW14" s="1683">
        <v>29.01</v>
      </c>
      <c r="AX14" s="1683">
        <v>29.38</v>
      </c>
      <c r="AY14" s="1683">
        <v>29.74</v>
      </c>
      <c r="AZ14" s="1683">
        <v>30.1</v>
      </c>
      <c r="BA14" s="1683">
        <v>30.47</v>
      </c>
      <c r="BB14" s="1700">
        <v>30.83</v>
      </c>
      <c r="BC14" s="1683">
        <v>31.2</v>
      </c>
      <c r="BD14" s="1683">
        <v>31.56</v>
      </c>
      <c r="BE14" s="1683">
        <v>31.92</v>
      </c>
      <c r="BF14" s="1683">
        <v>32.29</v>
      </c>
      <c r="BG14" s="1683">
        <v>32.65</v>
      </c>
      <c r="BH14" s="1683">
        <v>33.020000000000003</v>
      </c>
      <c r="BI14" s="1683">
        <v>33.380000000000003</v>
      </c>
      <c r="BJ14" s="1683">
        <v>33.74</v>
      </c>
      <c r="BK14" s="1683">
        <v>34.11</v>
      </c>
      <c r="BL14" s="1683">
        <v>34.47</v>
      </c>
      <c r="BM14" s="1683">
        <v>34.840000000000003</v>
      </c>
      <c r="BN14" s="1683"/>
      <c r="BO14" s="1703">
        <v>10</v>
      </c>
      <c r="BP14" s="1693">
        <v>13.11</v>
      </c>
      <c r="BQ14" s="1693">
        <v>13.37</v>
      </c>
      <c r="BR14" s="1693">
        <v>13.63</v>
      </c>
      <c r="BS14" s="1693">
        <v>12.81</v>
      </c>
      <c r="BT14" s="1693">
        <v>14.14</v>
      </c>
      <c r="BU14" s="1694">
        <v>14.4</v>
      </c>
      <c r="BV14" s="1694">
        <v>14.65</v>
      </c>
      <c r="BW14" s="1694">
        <v>14.91</v>
      </c>
      <c r="BX14" s="1695">
        <v>15.17</v>
      </c>
      <c r="BY14" s="1696">
        <v>15.42</v>
      </c>
      <c r="BZ14" s="1696">
        <v>15.68</v>
      </c>
      <c r="CA14" s="1695">
        <v>15.94</v>
      </c>
      <c r="CB14" s="1695">
        <v>16.2</v>
      </c>
      <c r="CC14" s="1704">
        <v>16.45</v>
      </c>
      <c r="CD14" s="1697">
        <v>16.71</v>
      </c>
      <c r="CE14" s="1698">
        <v>16.97</v>
      </c>
      <c r="CF14" s="1699">
        <v>17.22</v>
      </c>
      <c r="CG14" s="1699">
        <v>17.48</v>
      </c>
      <c r="CH14" s="1699">
        <v>17.739999999999998</v>
      </c>
      <c r="CI14" s="1699">
        <v>17.989999999999998</v>
      </c>
      <c r="CJ14" s="1699">
        <v>18.25</v>
      </c>
      <c r="CK14" s="1700">
        <v>15.45</v>
      </c>
      <c r="CL14" s="1700">
        <v>15.71</v>
      </c>
      <c r="CM14" s="1700">
        <v>15.97</v>
      </c>
      <c r="CN14" s="1700">
        <v>16.22</v>
      </c>
      <c r="CO14" s="1705">
        <v>16.48</v>
      </c>
      <c r="CP14" s="1706">
        <v>16.739999999999998</v>
      </c>
      <c r="CQ14" s="1701">
        <v>16.989999999999998</v>
      </c>
      <c r="CR14" s="1701">
        <v>17.25</v>
      </c>
      <c r="CS14" s="1707">
        <v>17.510000000000002</v>
      </c>
      <c r="CT14" s="1700">
        <v>17.77</v>
      </c>
      <c r="CU14" s="1700">
        <v>18.02</v>
      </c>
      <c r="CV14" s="1700">
        <v>18.28</v>
      </c>
      <c r="CW14" s="1700">
        <v>18.54</v>
      </c>
      <c r="CX14" s="1700">
        <v>18.79</v>
      </c>
      <c r="CY14" s="1700">
        <v>19.05</v>
      </c>
      <c r="CZ14" s="1700">
        <v>19.309999999999999</v>
      </c>
      <c r="DA14" s="1700">
        <v>19.559999999999999</v>
      </c>
      <c r="DB14" s="1700">
        <v>19.82</v>
      </c>
      <c r="DC14" s="1700">
        <v>20.079999999999998</v>
      </c>
      <c r="DD14" s="1700">
        <v>20.34</v>
      </c>
      <c r="DE14" s="1700">
        <v>20.59</v>
      </c>
      <c r="DF14" s="1700">
        <v>20.85</v>
      </c>
      <c r="DG14" s="1700">
        <v>21.11</v>
      </c>
      <c r="DH14" s="1700">
        <v>21.36</v>
      </c>
      <c r="DI14" s="1700">
        <v>21.62</v>
      </c>
      <c r="DJ14" s="1700">
        <v>21.88</v>
      </c>
      <c r="DK14" s="1700">
        <v>22.13</v>
      </c>
      <c r="DL14" s="1700">
        <v>22.39</v>
      </c>
      <c r="DM14" s="1700">
        <v>22.65</v>
      </c>
      <c r="DN14" s="1700">
        <v>22.91</v>
      </c>
      <c r="DO14" s="1700">
        <v>23.16</v>
      </c>
      <c r="DP14" s="1700">
        <v>23.42</v>
      </c>
      <c r="DQ14" s="1700">
        <v>23.68</v>
      </c>
      <c r="DR14" s="1700">
        <v>23.93</v>
      </c>
      <c r="DS14" s="1700"/>
      <c r="DT14" s="1700"/>
      <c r="DU14" s="1700"/>
      <c r="DV14" s="1700"/>
      <c r="DW14" s="1700"/>
      <c r="DX14" s="1700"/>
    </row>
    <row r="15" spans="1:128">
      <c r="A15" s="1622"/>
      <c r="B15" s="1691">
        <f t="shared" si="4"/>
        <v>11</v>
      </c>
      <c r="C15" s="1668" t="str">
        <f t="shared" si="1"/>
        <v>30.69</v>
      </c>
      <c r="D15" s="1672">
        <f t="shared" si="2"/>
        <v>42.97</v>
      </c>
      <c r="E15" s="1670"/>
      <c r="F15" s="1671" t="str">
        <f t="shared" si="3"/>
        <v>19.76</v>
      </c>
      <c r="G15" s="1672">
        <f t="shared" si="0"/>
        <v>27.66</v>
      </c>
      <c r="H15" s="1670"/>
      <c r="I15" s="1670"/>
      <c r="J15" s="1708">
        <v>11</v>
      </c>
      <c r="K15" s="1693">
        <v>22.68</v>
      </c>
      <c r="L15" s="1693">
        <v>23.08</v>
      </c>
      <c r="M15" s="1693">
        <v>23.49</v>
      </c>
      <c r="N15" s="1693">
        <v>23.89</v>
      </c>
      <c r="O15" s="1693">
        <v>24.29</v>
      </c>
      <c r="P15" s="1694">
        <v>24.69</v>
      </c>
      <c r="Q15" s="1694">
        <v>25.09</v>
      </c>
      <c r="R15" s="1694">
        <v>25.49</v>
      </c>
      <c r="S15" s="1695">
        <v>25.89</v>
      </c>
      <c r="T15" s="1696">
        <v>26.29</v>
      </c>
      <c r="U15" s="1696">
        <v>26.69</v>
      </c>
      <c r="V15" s="1695">
        <v>27.09</v>
      </c>
      <c r="W15" s="1695">
        <v>27.49</v>
      </c>
      <c r="X15" s="1695">
        <v>27.89</v>
      </c>
      <c r="Y15" s="1697">
        <v>28.29</v>
      </c>
      <c r="Z15" s="1698">
        <v>28.69</v>
      </c>
      <c r="AA15" s="1699">
        <v>29.09</v>
      </c>
      <c r="AB15" s="1699">
        <v>29.49</v>
      </c>
      <c r="AC15" s="1699">
        <v>29.89</v>
      </c>
      <c r="AD15" s="1699">
        <v>30.29</v>
      </c>
      <c r="AE15" s="1699">
        <v>30.69</v>
      </c>
      <c r="AF15" s="1700">
        <v>25.03</v>
      </c>
      <c r="AG15" s="1700">
        <v>25.43</v>
      </c>
      <c r="AH15" s="1700">
        <v>25.83</v>
      </c>
      <c r="AI15" s="1700">
        <v>26.23</v>
      </c>
      <c r="AJ15" s="1701">
        <v>26.63</v>
      </c>
      <c r="AK15" s="1701">
        <v>27.04</v>
      </c>
      <c r="AL15" s="1701">
        <v>27.44</v>
      </c>
      <c r="AM15" s="1701">
        <v>27.84</v>
      </c>
      <c r="AN15" s="1701">
        <v>28.24</v>
      </c>
      <c r="AO15" s="1702">
        <v>28.64</v>
      </c>
      <c r="AP15" s="1700">
        <v>29.04</v>
      </c>
      <c r="AQ15" s="1700">
        <v>29.44</v>
      </c>
      <c r="AR15" s="1683">
        <v>29.84</v>
      </c>
      <c r="AS15" s="1700">
        <v>30.24</v>
      </c>
      <c r="AT15" s="1700">
        <v>30.64</v>
      </c>
      <c r="AU15" s="1700">
        <v>31.04</v>
      </c>
      <c r="AV15" s="1700">
        <v>31.44</v>
      </c>
      <c r="AW15" s="1700">
        <v>31.84</v>
      </c>
      <c r="AX15" s="1700">
        <v>32.24</v>
      </c>
      <c r="AY15" s="1700">
        <v>32.64</v>
      </c>
      <c r="AZ15" s="1700">
        <v>33.04</v>
      </c>
      <c r="BA15" s="1700">
        <v>33.44</v>
      </c>
      <c r="BB15" s="1700">
        <v>33.840000000000003</v>
      </c>
      <c r="BC15" s="1700">
        <v>34.24</v>
      </c>
      <c r="BD15" s="1700">
        <v>34.64</v>
      </c>
      <c r="BE15" s="1700">
        <v>35.04</v>
      </c>
      <c r="BF15" s="1700">
        <v>35.44</v>
      </c>
      <c r="BG15" s="1700">
        <v>35.840000000000003</v>
      </c>
      <c r="BH15" s="1700">
        <v>36.24</v>
      </c>
      <c r="BI15" s="1700">
        <v>36.64</v>
      </c>
      <c r="BJ15" s="1700">
        <v>37.049999999999997</v>
      </c>
      <c r="BK15" s="1700">
        <v>37.450000000000003</v>
      </c>
      <c r="BL15" s="1700">
        <v>37.85</v>
      </c>
      <c r="BM15" s="1700">
        <v>38.25</v>
      </c>
      <c r="BN15" s="1700"/>
      <c r="BO15" s="1703">
        <v>11</v>
      </c>
      <c r="BP15" s="1693">
        <v>14.11</v>
      </c>
      <c r="BQ15" s="1693">
        <v>14.39</v>
      </c>
      <c r="BR15" s="1693">
        <v>14.68</v>
      </c>
      <c r="BS15" s="1693">
        <v>14.96</v>
      </c>
      <c r="BT15" s="1693">
        <v>15.24</v>
      </c>
      <c r="BU15" s="1694">
        <v>15.52</v>
      </c>
      <c r="BV15" s="1694">
        <v>15.81</v>
      </c>
      <c r="BW15" s="1694">
        <v>16.09</v>
      </c>
      <c r="BX15" s="1695">
        <v>16.37</v>
      </c>
      <c r="BY15" s="1696">
        <v>16.649999999999999</v>
      </c>
      <c r="BZ15" s="1696">
        <v>16.940000000000001</v>
      </c>
      <c r="CA15" s="1695">
        <v>17.22</v>
      </c>
      <c r="CB15" s="1695">
        <v>17.5</v>
      </c>
      <c r="CC15" s="1704">
        <v>17.79</v>
      </c>
      <c r="CD15" s="1697">
        <v>18.07</v>
      </c>
      <c r="CE15" s="1698">
        <v>18.350000000000001</v>
      </c>
      <c r="CF15" s="1699">
        <v>18.63</v>
      </c>
      <c r="CG15" s="1699">
        <v>18.920000000000002</v>
      </c>
      <c r="CH15" s="1699">
        <v>19.2</v>
      </c>
      <c r="CI15" s="1699">
        <v>19.48</v>
      </c>
      <c r="CJ15" s="1699">
        <v>19.760000000000002</v>
      </c>
      <c r="CK15" s="1700">
        <v>16.8</v>
      </c>
      <c r="CL15" s="1700">
        <v>17.09</v>
      </c>
      <c r="CM15" s="1700">
        <v>17.37</v>
      </c>
      <c r="CN15" s="1700">
        <v>17.649999999999999</v>
      </c>
      <c r="CO15" s="1705">
        <v>17.93</v>
      </c>
      <c r="CP15" s="1706">
        <v>18.22</v>
      </c>
      <c r="CQ15" s="1701">
        <v>18.5</v>
      </c>
      <c r="CR15" s="1701">
        <v>18.78</v>
      </c>
      <c r="CS15" s="1707">
        <v>19.059999999999999</v>
      </c>
      <c r="CT15" s="1700">
        <v>19.350000000000001</v>
      </c>
      <c r="CU15" s="1700">
        <v>19.63</v>
      </c>
      <c r="CV15" s="1700">
        <v>19.91</v>
      </c>
      <c r="CW15" s="1700">
        <v>20.2</v>
      </c>
      <c r="CX15" s="1700">
        <v>20.48</v>
      </c>
      <c r="CY15" s="1700">
        <v>20.79</v>
      </c>
      <c r="CZ15" s="1700">
        <v>21.04</v>
      </c>
      <c r="DA15" s="1700">
        <v>21.33</v>
      </c>
      <c r="DB15" s="1700">
        <v>21.61</v>
      </c>
      <c r="DC15" s="1700">
        <v>21.89</v>
      </c>
      <c r="DD15" s="1700">
        <v>22.17</v>
      </c>
      <c r="DE15" s="1700">
        <v>22.46</v>
      </c>
      <c r="DF15" s="1700">
        <v>22.74</v>
      </c>
      <c r="DG15" s="1700">
        <v>23.02</v>
      </c>
      <c r="DH15" s="1700">
        <v>23.3</v>
      </c>
      <c r="DI15" s="1700">
        <v>23.59</v>
      </c>
      <c r="DJ15" s="1700">
        <v>23.87</v>
      </c>
      <c r="DK15" s="1700">
        <v>24.15</v>
      </c>
      <c r="DL15" s="1700">
        <v>24.44</v>
      </c>
      <c r="DM15" s="1700">
        <v>24.72</v>
      </c>
      <c r="DN15" s="1700">
        <v>25</v>
      </c>
      <c r="DO15" s="1700">
        <v>25.28</v>
      </c>
      <c r="DP15" s="1700">
        <v>25.57</v>
      </c>
      <c r="DQ15" s="1700">
        <v>25.85</v>
      </c>
      <c r="DR15" s="1700">
        <v>26.13</v>
      </c>
      <c r="DS15" s="1700"/>
      <c r="DT15" s="1700"/>
      <c r="DU15" s="1700"/>
      <c r="DV15" s="1700"/>
      <c r="DW15" s="1700"/>
      <c r="DX15" s="1700"/>
    </row>
    <row r="16" spans="1:128">
      <c r="A16" s="1622"/>
      <c r="B16" s="1691">
        <f t="shared" si="4"/>
        <v>12</v>
      </c>
      <c r="C16" s="1668" t="str">
        <f t="shared" si="1"/>
        <v>33.37</v>
      </c>
      <c r="D16" s="1672">
        <f t="shared" si="2"/>
        <v>46.72</v>
      </c>
      <c r="E16" s="1670"/>
      <c r="F16" s="1671" t="str">
        <f t="shared" si="3"/>
        <v>21.28</v>
      </c>
      <c r="G16" s="1672">
        <f t="shared" si="0"/>
        <v>29.79</v>
      </c>
      <c r="H16" s="1670"/>
      <c r="I16" s="1670"/>
      <c r="J16" s="1708">
        <v>12</v>
      </c>
      <c r="K16" s="1693">
        <v>24.63</v>
      </c>
      <c r="L16" s="1693">
        <v>25.07</v>
      </c>
      <c r="M16" s="1693">
        <v>25.5</v>
      </c>
      <c r="N16" s="1693">
        <v>25.94</v>
      </c>
      <c r="O16" s="1693">
        <v>26.38</v>
      </c>
      <c r="P16" s="1694">
        <v>26.81</v>
      </c>
      <c r="Q16" s="1694">
        <v>27.25</v>
      </c>
      <c r="R16" s="1694">
        <v>27.69</v>
      </c>
      <c r="S16" s="1695">
        <v>28.12</v>
      </c>
      <c r="T16" s="1696">
        <v>28.56</v>
      </c>
      <c r="U16" s="1696">
        <v>29</v>
      </c>
      <c r="V16" s="1695">
        <v>29.44</v>
      </c>
      <c r="W16" s="1695">
        <v>29.87</v>
      </c>
      <c r="X16" s="1695">
        <v>30.31</v>
      </c>
      <c r="Y16" s="1697">
        <v>30.75</v>
      </c>
      <c r="Z16" s="1698">
        <v>31.18</v>
      </c>
      <c r="AA16" s="1699">
        <v>31.62</v>
      </c>
      <c r="AB16" s="1699">
        <v>32.06</v>
      </c>
      <c r="AC16" s="1699">
        <v>32.49</v>
      </c>
      <c r="AD16" s="1699">
        <v>32.93</v>
      </c>
      <c r="AE16" s="1699">
        <v>33.369999999999997</v>
      </c>
      <c r="AF16" s="1700">
        <v>27.24</v>
      </c>
      <c r="AG16" s="1700">
        <v>27.68</v>
      </c>
      <c r="AH16" s="1700">
        <v>28.11</v>
      </c>
      <c r="AI16" s="1700">
        <v>28.55</v>
      </c>
      <c r="AJ16" s="1701">
        <v>28.99</v>
      </c>
      <c r="AK16" s="1701">
        <v>29.43</v>
      </c>
      <c r="AL16" s="1701">
        <v>29.86</v>
      </c>
      <c r="AM16" s="1701">
        <v>30.3</v>
      </c>
      <c r="AN16" s="1701">
        <v>30.74</v>
      </c>
      <c r="AO16" s="1702">
        <v>31.17</v>
      </c>
      <c r="AP16" s="1700">
        <v>31.61</v>
      </c>
      <c r="AQ16" s="1700">
        <v>32.049999999999997</v>
      </c>
      <c r="AR16" s="1700">
        <v>32.479999999999997</v>
      </c>
      <c r="AS16" s="1700">
        <v>32.92</v>
      </c>
      <c r="AT16" s="1700">
        <v>33.36</v>
      </c>
      <c r="AU16" s="1700">
        <v>33.79</v>
      </c>
      <c r="AV16" s="1700">
        <v>34.229999999999997</v>
      </c>
      <c r="AW16" s="1700">
        <v>34.67</v>
      </c>
      <c r="AX16" s="1700">
        <v>35.1</v>
      </c>
      <c r="AY16" s="1700">
        <v>35.54</v>
      </c>
      <c r="AZ16" s="1700">
        <v>35.979999999999997</v>
      </c>
      <c r="BA16" s="1700">
        <v>36.409999999999997</v>
      </c>
      <c r="BB16" s="1683">
        <v>36.85</v>
      </c>
      <c r="BC16" s="1700">
        <v>37.29</v>
      </c>
      <c r="BD16" s="1700">
        <v>37.72</v>
      </c>
      <c r="BE16" s="1700">
        <v>38.159999999999997</v>
      </c>
      <c r="BF16" s="1700">
        <v>38.6</v>
      </c>
      <c r="BG16" s="1683">
        <v>39.03</v>
      </c>
      <c r="BH16" s="1700">
        <v>39.47</v>
      </c>
      <c r="BI16" s="1700">
        <v>39.909999999999997</v>
      </c>
      <c r="BJ16" s="1700">
        <v>40.35</v>
      </c>
      <c r="BK16" s="1700">
        <v>40.78</v>
      </c>
      <c r="BL16" s="1700">
        <v>41.22</v>
      </c>
      <c r="BM16" s="1700">
        <v>41.66</v>
      </c>
      <c r="BN16" s="1700"/>
      <c r="BO16" s="1703">
        <v>12</v>
      </c>
      <c r="BP16" s="1693">
        <v>15.11</v>
      </c>
      <c r="BQ16" s="1693">
        <v>15.42</v>
      </c>
      <c r="BR16" s="1693">
        <v>15.73</v>
      </c>
      <c r="BS16" s="1693">
        <v>16.04</v>
      </c>
      <c r="BT16" s="1693">
        <v>16.34</v>
      </c>
      <c r="BU16" s="1694">
        <v>16.649999999999999</v>
      </c>
      <c r="BV16" s="1694">
        <v>16.96</v>
      </c>
      <c r="BW16" s="1694">
        <v>17.27</v>
      </c>
      <c r="BX16" s="1695">
        <v>17.579999999999998</v>
      </c>
      <c r="BY16" s="1696">
        <v>17.89</v>
      </c>
      <c r="BZ16" s="1696">
        <v>18.190000000000001</v>
      </c>
      <c r="CA16" s="1695">
        <v>18.5</v>
      </c>
      <c r="CB16" s="1695">
        <v>18.809999999999999</v>
      </c>
      <c r="CC16" s="1704">
        <v>19.12</v>
      </c>
      <c r="CD16" s="1697">
        <v>19.43</v>
      </c>
      <c r="CE16" s="1698">
        <v>19.739999999999998</v>
      </c>
      <c r="CF16" s="1699">
        <v>20.04</v>
      </c>
      <c r="CG16" s="1699">
        <v>20.350000000000001</v>
      </c>
      <c r="CH16" s="1699">
        <v>20.66</v>
      </c>
      <c r="CI16" s="1699">
        <v>20.97</v>
      </c>
      <c r="CJ16" s="1699">
        <v>21.28</v>
      </c>
      <c r="CK16" s="1700">
        <v>18.149999999999999</v>
      </c>
      <c r="CL16" s="1700">
        <v>18.46</v>
      </c>
      <c r="CM16" s="1700">
        <v>18.77</v>
      </c>
      <c r="CN16" s="1700">
        <v>19.079999999999998</v>
      </c>
      <c r="CO16" s="1705">
        <v>19.39</v>
      </c>
      <c r="CP16" s="1706">
        <v>19.7</v>
      </c>
      <c r="CQ16" s="1701">
        <v>20</v>
      </c>
      <c r="CR16" s="1701">
        <v>20.309999999999999</v>
      </c>
      <c r="CS16" s="1707">
        <v>20.62</v>
      </c>
      <c r="CT16" s="1700">
        <v>20.93</v>
      </c>
      <c r="CU16" s="1700">
        <v>21.24</v>
      </c>
      <c r="CV16" s="1700">
        <v>21.55</v>
      </c>
      <c r="CW16" s="1700">
        <v>21.85</v>
      </c>
      <c r="CX16" s="1700">
        <v>22.16</v>
      </c>
      <c r="CY16" s="1700">
        <v>22.47</v>
      </c>
      <c r="CZ16" s="1700">
        <v>22.78</v>
      </c>
      <c r="DA16" s="1700">
        <v>23.09</v>
      </c>
      <c r="DB16" s="1700">
        <v>23.4</v>
      </c>
      <c r="DC16" s="1700">
        <v>23.7</v>
      </c>
      <c r="DD16" s="1700">
        <v>24.01</v>
      </c>
      <c r="DE16" s="1700">
        <v>24.32</v>
      </c>
      <c r="DF16" s="1700">
        <v>24.63</v>
      </c>
      <c r="DG16" s="1700">
        <v>24.94</v>
      </c>
      <c r="DH16" s="1700">
        <v>25.25</v>
      </c>
      <c r="DI16" s="1700">
        <v>25.56</v>
      </c>
      <c r="DJ16" s="1700">
        <v>25.86</v>
      </c>
      <c r="DK16" s="1700">
        <v>26.17</v>
      </c>
      <c r="DL16" s="1700">
        <v>26.48</v>
      </c>
      <c r="DM16" s="1700">
        <v>26.79</v>
      </c>
      <c r="DN16" s="1700">
        <v>27.1</v>
      </c>
      <c r="DO16" s="1700">
        <v>27.41</v>
      </c>
      <c r="DP16" s="1700">
        <v>27.71</v>
      </c>
      <c r="DQ16" s="1700">
        <v>28.02</v>
      </c>
      <c r="DR16" s="1700">
        <v>28.33</v>
      </c>
      <c r="DS16" s="1700"/>
      <c r="DT16" s="1700"/>
      <c r="DU16" s="1700"/>
      <c r="DV16" s="1700"/>
      <c r="DW16" s="1700"/>
      <c r="DX16" s="1700"/>
    </row>
    <row r="17" spans="1:128">
      <c r="A17" s="1622"/>
      <c r="B17" s="1691">
        <f t="shared" si="4"/>
        <v>13</v>
      </c>
      <c r="C17" s="1668" t="str">
        <f t="shared" si="1"/>
        <v>36.04</v>
      </c>
      <c r="D17" s="1672">
        <f t="shared" si="2"/>
        <v>50.46</v>
      </c>
      <c r="E17" s="1670"/>
      <c r="F17" s="1671" t="str">
        <f t="shared" si="3"/>
        <v>22.79</v>
      </c>
      <c r="G17" s="1672">
        <f t="shared" si="0"/>
        <v>31.91</v>
      </c>
      <c r="H17" s="1670"/>
      <c r="I17" s="1670"/>
      <c r="J17" s="1708">
        <v>13</v>
      </c>
      <c r="K17" s="1693">
        <v>26.58</v>
      </c>
      <c r="L17" s="1693">
        <v>27.05</v>
      </c>
      <c r="M17" s="1693">
        <v>27.53</v>
      </c>
      <c r="N17" s="1693">
        <v>28</v>
      </c>
      <c r="O17" s="1693">
        <v>28.47</v>
      </c>
      <c r="P17" s="1694">
        <v>28.95</v>
      </c>
      <c r="Q17" s="1694">
        <v>29.42</v>
      </c>
      <c r="R17" s="1694">
        <v>29.89</v>
      </c>
      <c r="S17" s="1695">
        <v>30.37</v>
      </c>
      <c r="T17" s="1696">
        <v>30.84</v>
      </c>
      <c r="U17" s="1696">
        <v>31.31</v>
      </c>
      <c r="V17" s="1695">
        <v>31.78</v>
      </c>
      <c r="W17" s="1695">
        <v>32.26</v>
      </c>
      <c r="X17" s="1695">
        <v>32.729999999999997</v>
      </c>
      <c r="Y17" s="1697">
        <v>33.200000000000003</v>
      </c>
      <c r="Z17" s="1698">
        <v>33.68</v>
      </c>
      <c r="AA17" s="1699">
        <v>34.15</v>
      </c>
      <c r="AB17" s="1699">
        <v>34.619999999999997</v>
      </c>
      <c r="AC17" s="1699">
        <v>35.1</v>
      </c>
      <c r="AD17" s="1699">
        <v>35.57</v>
      </c>
      <c r="AE17" s="1699">
        <v>36.04</v>
      </c>
      <c r="AF17" s="1683">
        <v>29.45</v>
      </c>
      <c r="AG17" s="1683">
        <v>29.92</v>
      </c>
      <c r="AH17" s="1683">
        <v>30.4</v>
      </c>
      <c r="AI17" s="1683">
        <v>30.87</v>
      </c>
      <c r="AJ17" s="1701">
        <v>31.34</v>
      </c>
      <c r="AK17" s="1701">
        <v>31.82</v>
      </c>
      <c r="AL17" s="1701">
        <v>32.29</v>
      </c>
      <c r="AM17" s="1701">
        <v>32.76</v>
      </c>
      <c r="AN17" s="1701">
        <v>33.24</v>
      </c>
      <c r="AO17" s="1702">
        <v>33.71</v>
      </c>
      <c r="AP17" s="1700">
        <v>34.18</v>
      </c>
      <c r="AQ17" s="1700">
        <v>34.659999999999997</v>
      </c>
      <c r="AR17" s="1683">
        <v>35.130000000000003</v>
      </c>
      <c r="AS17" s="1700">
        <v>35.6</v>
      </c>
      <c r="AT17" s="1683">
        <v>36.08</v>
      </c>
      <c r="AU17" s="1700">
        <v>36.549999999999997</v>
      </c>
      <c r="AV17" s="1683">
        <v>37.020000000000003</v>
      </c>
      <c r="AW17" s="1683">
        <v>37.5</v>
      </c>
      <c r="AX17" s="1683">
        <v>37.97</v>
      </c>
      <c r="AY17" s="1683">
        <v>38.44</v>
      </c>
      <c r="AZ17" s="1683">
        <v>38.909999999999997</v>
      </c>
      <c r="BA17" s="1683">
        <v>39.39</v>
      </c>
      <c r="BB17" s="1700">
        <v>39.880000000000003</v>
      </c>
      <c r="BC17" s="1683">
        <v>40.33</v>
      </c>
      <c r="BD17" s="1683">
        <v>40.81</v>
      </c>
      <c r="BE17" s="1683">
        <v>41.28</v>
      </c>
      <c r="BF17" s="1683">
        <v>41.75</v>
      </c>
      <c r="BG17" s="1700">
        <v>42.23</v>
      </c>
      <c r="BH17" s="1683">
        <v>42.7</v>
      </c>
      <c r="BI17" s="1683">
        <v>43.17</v>
      </c>
      <c r="BJ17" s="1683">
        <v>43.65</v>
      </c>
      <c r="BK17" s="1683">
        <v>44.12</v>
      </c>
      <c r="BL17" s="1683">
        <v>44.59</v>
      </c>
      <c r="BM17" s="1683">
        <v>45.07</v>
      </c>
      <c r="BN17" s="1683"/>
      <c r="BO17" s="1703">
        <v>13</v>
      </c>
      <c r="BP17" s="1693">
        <v>16.11</v>
      </c>
      <c r="BQ17" s="1693">
        <v>16.440000000000001</v>
      </c>
      <c r="BR17" s="1693">
        <v>16.78</v>
      </c>
      <c r="BS17" s="1693">
        <v>17.11</v>
      </c>
      <c r="BT17" s="1693">
        <v>17.45</v>
      </c>
      <c r="BU17" s="1694">
        <v>17.78</v>
      </c>
      <c r="BV17" s="1694">
        <v>18.12</v>
      </c>
      <c r="BW17" s="1694">
        <v>18.45</v>
      </c>
      <c r="BX17" s="1695">
        <v>18.78</v>
      </c>
      <c r="BY17" s="1696">
        <v>19.12</v>
      </c>
      <c r="BZ17" s="1696">
        <v>19.45</v>
      </c>
      <c r="CA17" s="1695">
        <v>19.79</v>
      </c>
      <c r="CB17" s="1695">
        <v>20.12</v>
      </c>
      <c r="CC17" s="1704">
        <v>20.45</v>
      </c>
      <c r="CD17" s="1697">
        <v>20.79</v>
      </c>
      <c r="CE17" s="1698">
        <v>21.12</v>
      </c>
      <c r="CF17" s="1699">
        <v>21.46</v>
      </c>
      <c r="CG17" s="1699">
        <v>21.79</v>
      </c>
      <c r="CH17" s="1699">
        <v>22.12</v>
      </c>
      <c r="CI17" s="1699">
        <v>22.46</v>
      </c>
      <c r="CJ17" s="1699">
        <v>22.79</v>
      </c>
      <c r="CK17" s="1700">
        <v>19.510000000000002</v>
      </c>
      <c r="CL17" s="1700">
        <v>19.84</v>
      </c>
      <c r="CM17" s="1700">
        <v>20.170000000000002</v>
      </c>
      <c r="CN17" s="1700">
        <v>20.51</v>
      </c>
      <c r="CO17" s="1705">
        <v>20.84</v>
      </c>
      <c r="CP17" s="1706">
        <v>21.18</v>
      </c>
      <c r="CQ17" s="1701">
        <v>21.51</v>
      </c>
      <c r="CR17" s="1701">
        <v>21.84</v>
      </c>
      <c r="CS17" s="1707">
        <v>22.18</v>
      </c>
      <c r="CT17" s="1700">
        <v>22.51</v>
      </c>
      <c r="CU17" s="1700">
        <v>22.85</v>
      </c>
      <c r="CV17" s="1700">
        <v>23.18</v>
      </c>
      <c r="CW17" s="1700">
        <v>23.51</v>
      </c>
      <c r="CX17" s="1700">
        <v>23.85</v>
      </c>
      <c r="CY17" s="1700">
        <v>24.18</v>
      </c>
      <c r="CZ17" s="1700">
        <v>24.52</v>
      </c>
      <c r="DA17" s="1700">
        <v>24.85</v>
      </c>
      <c r="DB17" s="1700">
        <v>25.18</v>
      </c>
      <c r="DC17" s="1700">
        <v>25.52</v>
      </c>
      <c r="DD17" s="1700">
        <v>25.85</v>
      </c>
      <c r="DE17" s="1700">
        <v>26.19</v>
      </c>
      <c r="DF17" s="1700">
        <v>26.52</v>
      </c>
      <c r="DG17" s="1700">
        <v>26.86</v>
      </c>
      <c r="DH17" s="1700">
        <v>27.19</v>
      </c>
      <c r="DI17" s="1700">
        <v>27.52</v>
      </c>
      <c r="DJ17" s="1700">
        <v>27.86</v>
      </c>
      <c r="DK17" s="1700">
        <v>28.19</v>
      </c>
      <c r="DL17" s="1700">
        <v>28.53</v>
      </c>
      <c r="DM17" s="1700">
        <v>28.86</v>
      </c>
      <c r="DN17" s="1700">
        <v>29.19</v>
      </c>
      <c r="DO17" s="1700">
        <v>29.53</v>
      </c>
      <c r="DP17" s="1700">
        <v>29.86</v>
      </c>
      <c r="DQ17" s="1700">
        <v>30.2</v>
      </c>
      <c r="DR17" s="1700">
        <v>30.53</v>
      </c>
      <c r="DS17" s="1700"/>
      <c r="DT17" s="1700"/>
      <c r="DU17" s="1700"/>
      <c r="DV17" s="1700"/>
      <c r="DW17" s="1700"/>
      <c r="DX17" s="1700"/>
    </row>
    <row r="18" spans="1:128">
      <c r="A18" s="1622"/>
      <c r="B18" s="1691">
        <f t="shared" si="4"/>
        <v>14</v>
      </c>
      <c r="C18" s="1668" t="str">
        <f t="shared" si="1"/>
        <v>38.72</v>
      </c>
      <c r="D18" s="1672">
        <f t="shared" si="2"/>
        <v>54.21</v>
      </c>
      <c r="E18" s="1670"/>
      <c r="F18" s="1671" t="str">
        <f t="shared" si="3"/>
        <v>24.31</v>
      </c>
      <c r="G18" s="1672">
        <f t="shared" si="0"/>
        <v>34.03</v>
      </c>
      <c r="H18" s="1670"/>
      <c r="I18" s="1670"/>
      <c r="J18" s="1708">
        <v>14</v>
      </c>
      <c r="K18" s="1693">
        <v>28.53</v>
      </c>
      <c r="L18" s="1693">
        <v>29.04</v>
      </c>
      <c r="M18" s="1693">
        <v>29.55</v>
      </c>
      <c r="N18" s="1693">
        <v>30.06</v>
      </c>
      <c r="O18" s="1693">
        <v>30.57</v>
      </c>
      <c r="P18" s="1694">
        <v>31.08</v>
      </c>
      <c r="Q18" s="1694">
        <v>31.59</v>
      </c>
      <c r="R18" s="1694">
        <v>32.1</v>
      </c>
      <c r="S18" s="1695">
        <v>32.6</v>
      </c>
      <c r="T18" s="1696">
        <v>33.11</v>
      </c>
      <c r="U18" s="1696">
        <v>33.619999999999997</v>
      </c>
      <c r="V18" s="1695">
        <v>34.130000000000003</v>
      </c>
      <c r="W18" s="1695">
        <v>34.64</v>
      </c>
      <c r="X18" s="1695">
        <v>35.15</v>
      </c>
      <c r="Y18" s="1697">
        <v>35.659999999999997</v>
      </c>
      <c r="Z18" s="1698">
        <v>36.17</v>
      </c>
      <c r="AA18" s="1699">
        <v>36.68</v>
      </c>
      <c r="AB18" s="1699">
        <v>37.19</v>
      </c>
      <c r="AC18" s="1699">
        <v>37.700000000000003</v>
      </c>
      <c r="AD18" s="1699">
        <v>38.21</v>
      </c>
      <c r="AE18" s="1699">
        <v>38.72</v>
      </c>
      <c r="AF18" s="1700">
        <v>31.66</v>
      </c>
      <c r="AG18" s="1700">
        <v>32.17</v>
      </c>
      <c r="AH18" s="1700">
        <v>32.68</v>
      </c>
      <c r="AI18" s="1700">
        <v>33.19</v>
      </c>
      <c r="AJ18" s="1701">
        <v>33.700000000000003</v>
      </c>
      <c r="AK18" s="1701">
        <v>34.21</v>
      </c>
      <c r="AL18" s="1701">
        <v>34.72</v>
      </c>
      <c r="AM18" s="1701">
        <v>35.229999999999997</v>
      </c>
      <c r="AN18" s="1701">
        <v>35.74</v>
      </c>
      <c r="AO18" s="1702">
        <v>36.25</v>
      </c>
      <c r="AP18" s="1700">
        <v>36.76</v>
      </c>
      <c r="AQ18" s="1700">
        <v>37.270000000000003</v>
      </c>
      <c r="AR18" s="1700">
        <v>37.78</v>
      </c>
      <c r="AS18" s="1700">
        <v>38.29</v>
      </c>
      <c r="AT18" s="1700">
        <v>38.79</v>
      </c>
      <c r="AU18" s="1700">
        <v>39.299999999999997</v>
      </c>
      <c r="AV18" s="1700">
        <v>39.81</v>
      </c>
      <c r="AW18" s="1700">
        <v>40.32</v>
      </c>
      <c r="AX18" s="1700">
        <v>40.83</v>
      </c>
      <c r="AY18" s="1700">
        <v>41.34</v>
      </c>
      <c r="AZ18" s="1700">
        <v>41.85</v>
      </c>
      <c r="BA18" s="1700">
        <v>42.36</v>
      </c>
      <c r="BB18" s="1700">
        <v>42.87</v>
      </c>
      <c r="BC18" s="1700">
        <v>43.38</v>
      </c>
      <c r="BD18" s="1700">
        <v>43.89</v>
      </c>
      <c r="BE18" s="1700">
        <v>44.4</v>
      </c>
      <c r="BF18" s="1700">
        <v>44.91</v>
      </c>
      <c r="BG18" s="1700">
        <v>45.42</v>
      </c>
      <c r="BH18" s="1700">
        <v>45.93</v>
      </c>
      <c r="BI18" s="1700">
        <v>46.44</v>
      </c>
      <c r="BJ18" s="1700">
        <v>46.95</v>
      </c>
      <c r="BK18" s="1700">
        <v>47.46</v>
      </c>
      <c r="BL18" s="1700">
        <v>47.97</v>
      </c>
      <c r="BM18" s="1700">
        <v>48.48</v>
      </c>
      <c r="BN18" s="1700"/>
      <c r="BO18" s="1703">
        <v>14</v>
      </c>
      <c r="BP18" s="1693">
        <v>17.11</v>
      </c>
      <c r="BQ18" s="1693">
        <v>17.47</v>
      </c>
      <c r="BR18" s="1693">
        <v>17.829999999999998</v>
      </c>
      <c r="BS18" s="1693">
        <v>18.190000000000001</v>
      </c>
      <c r="BT18" s="1693">
        <v>18.55</v>
      </c>
      <c r="BU18" s="1694">
        <v>18.91</v>
      </c>
      <c r="BV18" s="1694">
        <v>19.27</v>
      </c>
      <c r="BW18" s="1694">
        <v>19.63</v>
      </c>
      <c r="BX18" s="1695">
        <v>19.989999999999998</v>
      </c>
      <c r="BY18" s="1696">
        <v>20.350000000000001</v>
      </c>
      <c r="BZ18" s="1696">
        <v>20.71</v>
      </c>
      <c r="CA18" s="1695">
        <v>21.07</v>
      </c>
      <c r="CB18" s="1695">
        <v>21.43</v>
      </c>
      <c r="CC18" s="1704">
        <v>21.79</v>
      </c>
      <c r="CD18" s="1697">
        <v>22.15</v>
      </c>
      <c r="CE18" s="1698">
        <v>22.51</v>
      </c>
      <c r="CF18" s="1699">
        <v>22.87</v>
      </c>
      <c r="CG18" s="1699">
        <v>23.23</v>
      </c>
      <c r="CH18" s="1699">
        <v>23.59</v>
      </c>
      <c r="CI18" s="1699">
        <v>23.95</v>
      </c>
      <c r="CJ18" s="1699">
        <v>24.31</v>
      </c>
      <c r="CK18" s="1700">
        <v>20.86</v>
      </c>
      <c r="CL18" s="1700">
        <v>21.22</v>
      </c>
      <c r="CM18" s="1700">
        <v>21.58</v>
      </c>
      <c r="CN18" s="1700">
        <v>21.94</v>
      </c>
      <c r="CO18" s="1705">
        <v>22.3</v>
      </c>
      <c r="CP18" s="1706">
        <v>22.65</v>
      </c>
      <c r="CQ18" s="1701">
        <v>23.01</v>
      </c>
      <c r="CR18" s="1701">
        <v>23.37</v>
      </c>
      <c r="CS18" s="1707">
        <v>23.73</v>
      </c>
      <c r="CT18" s="1700">
        <v>24.09</v>
      </c>
      <c r="CU18" s="1700">
        <v>24.45</v>
      </c>
      <c r="CV18" s="1700">
        <v>24.81</v>
      </c>
      <c r="CW18" s="1700">
        <v>25.17</v>
      </c>
      <c r="CX18" s="1700">
        <v>25.53</v>
      </c>
      <c r="CY18" s="1700">
        <v>25.89</v>
      </c>
      <c r="CZ18" s="1700">
        <v>26.25</v>
      </c>
      <c r="DA18" s="1700">
        <v>26.61</v>
      </c>
      <c r="DB18" s="1700">
        <v>26.97</v>
      </c>
      <c r="DC18" s="1700">
        <v>27.33</v>
      </c>
      <c r="DD18" s="1700">
        <v>27.69</v>
      </c>
      <c r="DE18" s="1700">
        <v>28.05</v>
      </c>
      <c r="DF18" s="1700">
        <v>28.41</v>
      </c>
      <c r="DG18" s="1700">
        <v>28.77</v>
      </c>
      <c r="DH18" s="1700">
        <v>29.13</v>
      </c>
      <c r="DI18" s="1700">
        <v>29.49</v>
      </c>
      <c r="DJ18" s="1700">
        <v>29.85</v>
      </c>
      <c r="DK18" s="1700">
        <v>30.21</v>
      </c>
      <c r="DL18" s="1700">
        <v>30.57</v>
      </c>
      <c r="DM18" s="1700">
        <v>30.93</v>
      </c>
      <c r="DN18" s="1700">
        <v>31.29</v>
      </c>
      <c r="DO18" s="1700">
        <v>31.65</v>
      </c>
      <c r="DP18" s="1700">
        <v>32.01</v>
      </c>
      <c r="DQ18" s="1700">
        <v>32.369999999999997</v>
      </c>
      <c r="DR18" s="1700">
        <v>32.729999999999997</v>
      </c>
      <c r="DS18" s="1700"/>
      <c r="DT18" s="1700"/>
      <c r="DU18" s="1700"/>
      <c r="DV18" s="1700"/>
      <c r="DW18" s="1700"/>
      <c r="DX18" s="1700"/>
    </row>
    <row r="19" spans="1:128">
      <c r="A19" s="1622"/>
      <c r="B19" s="1691">
        <f t="shared" si="4"/>
        <v>15</v>
      </c>
      <c r="C19" s="1668" t="str">
        <f t="shared" si="1"/>
        <v>41.39</v>
      </c>
      <c r="D19" s="1672">
        <f t="shared" si="2"/>
        <v>57.95</v>
      </c>
      <c r="E19" s="1670"/>
      <c r="F19" s="1671" t="str">
        <f t="shared" si="3"/>
        <v>25.88</v>
      </c>
      <c r="G19" s="1672">
        <f t="shared" si="0"/>
        <v>36.229999999999997</v>
      </c>
      <c r="H19" s="1670"/>
      <c r="I19" s="1670"/>
      <c r="J19" s="1708">
        <v>15</v>
      </c>
      <c r="K19" s="1693">
        <v>30.47</v>
      </c>
      <c r="L19" s="1693">
        <v>31.02</v>
      </c>
      <c r="M19" s="1693">
        <v>31.57</v>
      </c>
      <c r="N19" s="1693">
        <v>32.11</v>
      </c>
      <c r="O19" s="1693">
        <v>32.659999999999997</v>
      </c>
      <c r="P19" s="1694">
        <v>33.200000000000003</v>
      </c>
      <c r="Q19" s="1694">
        <v>33.75</v>
      </c>
      <c r="R19" s="1694">
        <v>34.299999999999997</v>
      </c>
      <c r="S19" s="1695">
        <v>34.840000000000003</v>
      </c>
      <c r="T19" s="1696">
        <v>35.39</v>
      </c>
      <c r="U19" s="1696">
        <v>35.93</v>
      </c>
      <c r="V19" s="1695">
        <v>36.479999999999997</v>
      </c>
      <c r="W19" s="1695">
        <v>37.03</v>
      </c>
      <c r="X19" s="1695">
        <v>37.57</v>
      </c>
      <c r="Y19" s="1697">
        <v>38.119999999999997</v>
      </c>
      <c r="Z19" s="1698">
        <v>38.659999999999997</v>
      </c>
      <c r="AA19" s="1699">
        <v>39.21</v>
      </c>
      <c r="AB19" s="1699">
        <v>39.76</v>
      </c>
      <c r="AC19" s="1699">
        <v>40.299999999999997</v>
      </c>
      <c r="AD19" s="1699">
        <v>40.85</v>
      </c>
      <c r="AE19" s="1699">
        <v>41.39</v>
      </c>
      <c r="AF19" s="1700">
        <v>33.869999999999997</v>
      </c>
      <c r="AG19" s="1700">
        <v>34.409999999999997</v>
      </c>
      <c r="AH19" s="1700">
        <v>34.96</v>
      </c>
      <c r="AI19" s="1700">
        <v>35.51</v>
      </c>
      <c r="AJ19" s="1701">
        <v>36.049999999999997</v>
      </c>
      <c r="AK19" s="1701">
        <v>36.6</v>
      </c>
      <c r="AL19" s="1701">
        <v>37.14</v>
      </c>
      <c r="AM19" s="1701">
        <v>37.69</v>
      </c>
      <c r="AN19" s="1701">
        <v>38.24</v>
      </c>
      <c r="AO19" s="1702">
        <v>38.78</v>
      </c>
      <c r="AP19" s="1700">
        <v>39.33</v>
      </c>
      <c r="AQ19" s="1700">
        <v>39.869999999999997</v>
      </c>
      <c r="AR19" s="1683">
        <v>40.42</v>
      </c>
      <c r="AS19" s="1700">
        <v>40.97</v>
      </c>
      <c r="AT19" s="1700">
        <v>41.51</v>
      </c>
      <c r="AU19" s="1700">
        <v>42.06</v>
      </c>
      <c r="AV19" s="1700">
        <v>42.6</v>
      </c>
      <c r="AW19" s="1700">
        <v>43.15</v>
      </c>
      <c r="AX19" s="1700">
        <v>43.7</v>
      </c>
      <c r="AY19" s="1700">
        <v>44.24</v>
      </c>
      <c r="AZ19" s="1700">
        <v>44.79</v>
      </c>
      <c r="BA19" s="1700">
        <v>45.33</v>
      </c>
      <c r="BB19" s="1683">
        <v>45.88</v>
      </c>
      <c r="BC19" s="1700">
        <v>46.43</v>
      </c>
      <c r="BD19" s="1700">
        <v>46.97</v>
      </c>
      <c r="BE19" s="1700">
        <v>47.52</v>
      </c>
      <c r="BF19" s="1700">
        <v>48.06</v>
      </c>
      <c r="BG19" s="1683">
        <v>48.61</v>
      </c>
      <c r="BH19" s="1700">
        <v>49.16</v>
      </c>
      <c r="BI19" s="1700">
        <v>49.7</v>
      </c>
      <c r="BJ19" s="1700">
        <v>50.25</v>
      </c>
      <c r="BK19" s="1700">
        <v>50.79</v>
      </c>
      <c r="BL19" s="1700">
        <v>51.34</v>
      </c>
      <c r="BM19" s="1700">
        <v>51.89</v>
      </c>
      <c r="BN19" s="1700"/>
      <c r="BO19" s="1703">
        <v>15</v>
      </c>
      <c r="BP19" s="1693">
        <v>18.170000000000002</v>
      </c>
      <c r="BQ19" s="1693">
        <v>18.55</v>
      </c>
      <c r="BR19" s="1693">
        <v>18.940000000000001</v>
      </c>
      <c r="BS19" s="1693">
        <v>19.32</v>
      </c>
      <c r="BT19" s="1693">
        <v>19.71</v>
      </c>
      <c r="BU19" s="1694">
        <v>20.09</v>
      </c>
      <c r="BV19" s="1694">
        <v>20.48</v>
      </c>
      <c r="BW19" s="1694">
        <v>20.87</v>
      </c>
      <c r="BX19" s="1695">
        <v>21.25</v>
      </c>
      <c r="BY19" s="1696">
        <v>21.64</v>
      </c>
      <c r="BZ19" s="1696">
        <v>22.02</v>
      </c>
      <c r="CA19" s="1695">
        <v>22.41</v>
      </c>
      <c r="CB19" s="1695">
        <v>22.79</v>
      </c>
      <c r="CC19" s="1704">
        <v>23.18</v>
      </c>
      <c r="CD19" s="1697">
        <v>23.56</v>
      </c>
      <c r="CE19" s="1698">
        <v>23.95</v>
      </c>
      <c r="CF19" s="1699">
        <v>24.33</v>
      </c>
      <c r="CG19" s="1699">
        <v>24.72</v>
      </c>
      <c r="CH19" s="1699">
        <v>25.11</v>
      </c>
      <c r="CI19" s="1699">
        <v>25.49</v>
      </c>
      <c r="CJ19" s="1699">
        <v>25.88</v>
      </c>
      <c r="CK19" s="1700">
        <v>22.24</v>
      </c>
      <c r="CL19" s="1700">
        <v>22.63</v>
      </c>
      <c r="CM19" s="1700">
        <v>23.01</v>
      </c>
      <c r="CN19" s="1700">
        <v>23.4</v>
      </c>
      <c r="CO19" s="1705">
        <v>23.78</v>
      </c>
      <c r="CP19" s="1706">
        <v>24.17</v>
      </c>
      <c r="CQ19" s="1701">
        <v>24.56</v>
      </c>
      <c r="CR19" s="1701">
        <v>24.94</v>
      </c>
      <c r="CS19" s="1707">
        <v>25.33</v>
      </c>
      <c r="CT19" s="1700">
        <v>25.71</v>
      </c>
      <c r="CU19" s="1700">
        <v>26.1</v>
      </c>
      <c r="CV19" s="1700">
        <v>26.48</v>
      </c>
      <c r="CW19" s="1700">
        <v>26.87</v>
      </c>
      <c r="CX19" s="1700">
        <v>27.25</v>
      </c>
      <c r="CY19" s="1700">
        <v>27.64</v>
      </c>
      <c r="CZ19" s="1700">
        <v>28.02</v>
      </c>
      <c r="DA19" s="1700">
        <v>28.41</v>
      </c>
      <c r="DB19" s="1700">
        <v>28.8</v>
      </c>
      <c r="DC19" s="1700">
        <v>29.18</v>
      </c>
      <c r="DD19" s="1700">
        <v>29.57</v>
      </c>
      <c r="DE19" s="1700">
        <v>29.95</v>
      </c>
      <c r="DF19" s="1700">
        <v>30.34</v>
      </c>
      <c r="DG19" s="1700">
        <v>30.72</v>
      </c>
      <c r="DH19" s="1700">
        <v>31.11</v>
      </c>
      <c r="DI19" s="1700">
        <v>31.49</v>
      </c>
      <c r="DJ19" s="1700">
        <v>31.88</v>
      </c>
      <c r="DK19" s="1700">
        <v>32.270000000000003</v>
      </c>
      <c r="DL19" s="1700">
        <v>32.65</v>
      </c>
      <c r="DM19" s="1700">
        <v>33.04</v>
      </c>
      <c r="DN19" s="1700">
        <v>33.42</v>
      </c>
      <c r="DO19" s="1700">
        <v>33.81</v>
      </c>
      <c r="DP19" s="1700">
        <v>34.19</v>
      </c>
      <c r="DQ19" s="1700">
        <v>34.58</v>
      </c>
      <c r="DR19" s="1700">
        <v>34.96</v>
      </c>
      <c r="DS19" s="1700"/>
      <c r="DT19" s="1700"/>
      <c r="DU19" s="1700"/>
      <c r="DV19" s="1700"/>
      <c r="DW19" s="1700"/>
      <c r="DX19" s="1700"/>
    </row>
    <row r="20" spans="1:128">
      <c r="A20" s="1622"/>
      <c r="B20" s="1691">
        <f t="shared" si="4"/>
        <v>16</v>
      </c>
      <c r="C20" s="1668" t="str">
        <f t="shared" si="1"/>
        <v>44.07</v>
      </c>
      <c r="D20" s="1672">
        <f t="shared" si="2"/>
        <v>61.7</v>
      </c>
      <c r="E20" s="1670"/>
      <c r="F20" s="1671" t="str">
        <f t="shared" si="3"/>
        <v>27.56</v>
      </c>
      <c r="G20" s="1672">
        <f t="shared" si="0"/>
        <v>38.58</v>
      </c>
      <c r="H20" s="1670"/>
      <c r="I20" s="1670"/>
      <c r="J20" s="1708">
        <v>16</v>
      </c>
      <c r="K20" s="1693">
        <v>32.42</v>
      </c>
      <c r="L20" s="1693">
        <v>33.01</v>
      </c>
      <c r="M20" s="1693">
        <v>33.590000000000003</v>
      </c>
      <c r="N20" s="1693">
        <v>34.17</v>
      </c>
      <c r="O20" s="1693">
        <v>34.74</v>
      </c>
      <c r="P20" s="1694">
        <v>35.340000000000003</v>
      </c>
      <c r="Q20" s="1694">
        <v>35.92</v>
      </c>
      <c r="R20" s="1694">
        <v>36.5</v>
      </c>
      <c r="S20" s="1695">
        <v>37.08</v>
      </c>
      <c r="T20" s="1696">
        <v>37.67</v>
      </c>
      <c r="U20" s="1696">
        <v>38.25</v>
      </c>
      <c r="V20" s="1695">
        <v>38.83</v>
      </c>
      <c r="W20" s="1695">
        <v>39.409999999999997</v>
      </c>
      <c r="X20" s="1695">
        <v>40</v>
      </c>
      <c r="Y20" s="1697">
        <v>40.58</v>
      </c>
      <c r="Z20" s="1698">
        <v>41.16</v>
      </c>
      <c r="AA20" s="1699">
        <v>41.74</v>
      </c>
      <c r="AB20" s="1699">
        <v>42.33</v>
      </c>
      <c r="AC20" s="1699">
        <v>42.91</v>
      </c>
      <c r="AD20" s="1699">
        <v>43.49</v>
      </c>
      <c r="AE20" s="1699">
        <v>44.07</v>
      </c>
      <c r="AF20" s="1683">
        <v>36.08</v>
      </c>
      <c r="AG20" s="1683">
        <v>36.659999999999997</v>
      </c>
      <c r="AH20" s="1683">
        <v>37.24</v>
      </c>
      <c r="AI20" s="1683">
        <v>37.83</v>
      </c>
      <c r="AJ20" s="1701">
        <v>38.409999999999997</v>
      </c>
      <c r="AK20" s="1701">
        <v>38.99</v>
      </c>
      <c r="AL20" s="1701">
        <v>39.57</v>
      </c>
      <c r="AM20" s="1701">
        <v>40.159999999999997</v>
      </c>
      <c r="AN20" s="1701">
        <v>40.74</v>
      </c>
      <c r="AO20" s="1702">
        <v>41.32</v>
      </c>
      <c r="AP20" s="1700">
        <v>41.9</v>
      </c>
      <c r="AQ20" s="1700">
        <v>42.49</v>
      </c>
      <c r="AR20" s="1700">
        <v>43.07</v>
      </c>
      <c r="AS20" s="1700">
        <v>43.65</v>
      </c>
      <c r="AT20" s="1683">
        <v>44.23</v>
      </c>
      <c r="AU20" s="1700">
        <v>44.81</v>
      </c>
      <c r="AV20" s="1683">
        <v>45.4</v>
      </c>
      <c r="AW20" s="1683">
        <v>45.98</v>
      </c>
      <c r="AX20" s="1683">
        <v>46.56</v>
      </c>
      <c r="AY20" s="1683">
        <v>47.14</v>
      </c>
      <c r="AZ20" s="1683">
        <v>47.73</v>
      </c>
      <c r="BA20" s="1683">
        <v>48.31</v>
      </c>
      <c r="BB20" s="1700">
        <v>48.89</v>
      </c>
      <c r="BC20" s="1683">
        <v>49.47</v>
      </c>
      <c r="BD20" s="1683">
        <v>50.06</v>
      </c>
      <c r="BE20" s="1683">
        <v>50.64</v>
      </c>
      <c r="BF20" s="1683">
        <v>51.22</v>
      </c>
      <c r="BG20" s="1461">
        <v>51.8</v>
      </c>
      <c r="BH20" s="1683">
        <v>52.39</v>
      </c>
      <c r="BI20" s="1683">
        <v>52.97</v>
      </c>
      <c r="BJ20" s="1683">
        <v>53.55</v>
      </c>
      <c r="BK20" s="1683">
        <v>54.13</v>
      </c>
      <c r="BL20" s="1683">
        <v>54.72</v>
      </c>
      <c r="BM20" s="1683">
        <v>55.3</v>
      </c>
      <c r="BN20" s="1683"/>
      <c r="BO20" s="1703">
        <v>16</v>
      </c>
      <c r="BP20" s="1693">
        <v>19.34</v>
      </c>
      <c r="BQ20" s="1693">
        <v>19.75</v>
      </c>
      <c r="BR20" s="1693">
        <v>20.16</v>
      </c>
      <c r="BS20" s="1693">
        <v>20.57</v>
      </c>
      <c r="BT20" s="1693">
        <v>20.98</v>
      </c>
      <c r="BU20" s="1694">
        <v>21.39</v>
      </c>
      <c r="BV20" s="1694">
        <v>21.8</v>
      </c>
      <c r="BW20" s="1694">
        <v>22.21</v>
      </c>
      <c r="BX20" s="1695">
        <v>22.63</v>
      </c>
      <c r="BY20" s="1696">
        <v>23.04</v>
      </c>
      <c r="BZ20" s="1696">
        <v>23.45</v>
      </c>
      <c r="CA20" s="1695">
        <v>23.86</v>
      </c>
      <c r="CB20" s="1695">
        <v>24.27</v>
      </c>
      <c r="CC20" s="1704">
        <v>24.68</v>
      </c>
      <c r="CD20" s="1697">
        <v>25.09</v>
      </c>
      <c r="CE20" s="1698">
        <v>25.5</v>
      </c>
      <c r="CF20" s="1699">
        <v>25.91</v>
      </c>
      <c r="CG20" s="1699">
        <v>26.33</v>
      </c>
      <c r="CH20" s="1699">
        <v>26.74</v>
      </c>
      <c r="CI20" s="1699">
        <v>27.15</v>
      </c>
      <c r="CJ20" s="1699">
        <v>27.56</v>
      </c>
      <c r="CK20" s="1700">
        <v>23.7</v>
      </c>
      <c r="CL20" s="1700">
        <v>24.11</v>
      </c>
      <c r="CM20" s="1700">
        <v>24.52</v>
      </c>
      <c r="CN20" s="1700">
        <v>24.93</v>
      </c>
      <c r="CO20" s="1705">
        <v>25.34</v>
      </c>
      <c r="CP20" s="1706">
        <v>25.75</v>
      </c>
      <c r="CQ20" s="1701">
        <v>26.17</v>
      </c>
      <c r="CR20" s="1701">
        <v>26.58</v>
      </c>
      <c r="CS20" s="1707">
        <v>26.99</v>
      </c>
      <c r="CT20" s="1700">
        <v>27.4</v>
      </c>
      <c r="CU20" s="1700">
        <v>27.81</v>
      </c>
      <c r="CV20" s="1700">
        <v>28.22</v>
      </c>
      <c r="CW20" s="1700">
        <v>28.63</v>
      </c>
      <c r="CX20" s="1700">
        <v>29.04</v>
      </c>
      <c r="CY20" s="1700">
        <v>29.46</v>
      </c>
      <c r="CZ20" s="1700">
        <v>29.87</v>
      </c>
      <c r="DA20" s="1700">
        <v>30.28</v>
      </c>
      <c r="DB20" s="1700">
        <v>30.69</v>
      </c>
      <c r="DC20" s="1700">
        <v>31.1</v>
      </c>
      <c r="DD20" s="1700">
        <v>31.51</v>
      </c>
      <c r="DE20" s="1700">
        <v>31.92</v>
      </c>
      <c r="DF20" s="1700">
        <v>32.33</v>
      </c>
      <c r="DG20" s="1700">
        <v>32.75</v>
      </c>
      <c r="DH20" s="1700">
        <v>38.159999999999997</v>
      </c>
      <c r="DI20" s="1700">
        <v>33.57</v>
      </c>
      <c r="DJ20" s="1700">
        <v>33.979999999999997</v>
      </c>
      <c r="DK20" s="1700">
        <v>34.39</v>
      </c>
      <c r="DL20" s="1700">
        <v>34.799999999999997</v>
      </c>
      <c r="DM20" s="1700">
        <v>35.21</v>
      </c>
      <c r="DN20" s="1700">
        <v>35.619999999999997</v>
      </c>
      <c r="DO20" s="1700">
        <v>36.03</v>
      </c>
      <c r="DP20" s="1700">
        <v>36.450000000000003</v>
      </c>
      <c r="DQ20" s="1700">
        <v>36.86</v>
      </c>
      <c r="DR20" s="1700">
        <v>37.270000000000003</v>
      </c>
      <c r="DS20" s="1700"/>
      <c r="DT20" s="1700"/>
      <c r="DU20" s="1700"/>
      <c r="DV20" s="1700"/>
      <c r="DW20" s="1700"/>
      <c r="DX20" s="1700"/>
    </row>
    <row r="21" spans="1:128">
      <c r="A21" s="1622"/>
      <c r="B21" s="1691">
        <f t="shared" si="4"/>
        <v>17</v>
      </c>
      <c r="C21" s="1668" t="str">
        <f t="shared" si="1"/>
        <v>46.75</v>
      </c>
      <c r="D21" s="1672">
        <f t="shared" si="2"/>
        <v>65.45</v>
      </c>
      <c r="E21" s="1670"/>
      <c r="F21" s="1671" t="str">
        <f t="shared" si="3"/>
        <v>29.24</v>
      </c>
      <c r="G21" s="1672">
        <f t="shared" si="0"/>
        <v>40.94</v>
      </c>
      <c r="H21" s="1670"/>
      <c r="I21" s="1670"/>
      <c r="J21" s="1708">
        <v>17</v>
      </c>
      <c r="K21" s="1693">
        <v>34.369999999999997</v>
      </c>
      <c r="L21" s="1693">
        <v>34.99</v>
      </c>
      <c r="M21" s="1693">
        <v>35.61</v>
      </c>
      <c r="N21" s="1693">
        <v>36.229999999999997</v>
      </c>
      <c r="O21" s="1693">
        <v>36.85</v>
      </c>
      <c r="P21" s="1694">
        <v>37.46</v>
      </c>
      <c r="Q21" s="1694">
        <v>38.08</v>
      </c>
      <c r="R21" s="1694">
        <v>38.700000000000003</v>
      </c>
      <c r="S21" s="1695">
        <v>39.32</v>
      </c>
      <c r="T21" s="1696">
        <v>39.94</v>
      </c>
      <c r="U21" s="1696">
        <v>40.56</v>
      </c>
      <c r="V21" s="1695">
        <v>41.18</v>
      </c>
      <c r="W21" s="1695">
        <v>41.8</v>
      </c>
      <c r="X21" s="1695">
        <v>42.41</v>
      </c>
      <c r="Y21" s="1697">
        <v>43.03</v>
      </c>
      <c r="Z21" s="1698">
        <v>43.65</v>
      </c>
      <c r="AA21" s="1699">
        <v>44.27</v>
      </c>
      <c r="AB21" s="1699">
        <v>44.89</v>
      </c>
      <c r="AC21" s="1699">
        <v>45.51</v>
      </c>
      <c r="AD21" s="1699">
        <v>46.13</v>
      </c>
      <c r="AE21" s="1699">
        <v>46.75</v>
      </c>
      <c r="AF21" s="1700">
        <v>38.29</v>
      </c>
      <c r="AG21" s="1700">
        <v>38.909999999999997</v>
      </c>
      <c r="AH21" s="1700">
        <v>39.520000000000003</v>
      </c>
      <c r="AI21" s="1700">
        <v>40.14</v>
      </c>
      <c r="AJ21" s="1701">
        <v>40.76</v>
      </c>
      <c r="AK21" s="1701">
        <v>41.38</v>
      </c>
      <c r="AL21" s="1701">
        <v>42</v>
      </c>
      <c r="AM21" s="1701">
        <v>42.62</v>
      </c>
      <c r="AN21" s="1701">
        <v>43.24</v>
      </c>
      <c r="AO21" s="1702">
        <v>43.86</v>
      </c>
      <c r="AP21" s="1700">
        <v>44.47</v>
      </c>
      <c r="AQ21" s="1700">
        <v>45.09</v>
      </c>
      <c r="AR21" s="1683">
        <v>45.71</v>
      </c>
      <c r="AS21" s="1700">
        <v>46.33</v>
      </c>
      <c r="AT21" s="1700">
        <v>46.95</v>
      </c>
      <c r="AU21" s="1700">
        <v>47.57</v>
      </c>
      <c r="AV21" s="1700">
        <v>48.19</v>
      </c>
      <c r="AW21" s="1700">
        <v>48.81</v>
      </c>
      <c r="AX21" s="1700">
        <v>49.42</v>
      </c>
      <c r="AY21" s="1700">
        <v>50.04</v>
      </c>
      <c r="AZ21" s="1700">
        <v>50.66</v>
      </c>
      <c r="BA21" s="1700">
        <v>51.28</v>
      </c>
      <c r="BB21" s="1700">
        <v>51.9</v>
      </c>
      <c r="BC21" s="1700">
        <v>52.52</v>
      </c>
      <c r="BD21" s="1700">
        <v>53.14</v>
      </c>
      <c r="BE21" s="1700">
        <v>53.76</v>
      </c>
      <c r="BF21" s="1700">
        <v>54.38</v>
      </c>
      <c r="BG21" s="1700">
        <v>54.99</v>
      </c>
      <c r="BH21" s="1700">
        <v>55.61</v>
      </c>
      <c r="BI21" s="1700">
        <v>56.23</v>
      </c>
      <c r="BJ21" s="1700">
        <v>56.85</v>
      </c>
      <c r="BK21" s="1700">
        <v>57.47</v>
      </c>
      <c r="BL21" s="1700">
        <v>58.09</v>
      </c>
      <c r="BM21" s="1700">
        <v>58.71</v>
      </c>
      <c r="BN21" s="1700"/>
      <c r="BO21" s="1703">
        <v>17</v>
      </c>
      <c r="BP21" s="1693">
        <v>20.51</v>
      </c>
      <c r="BQ21" s="1693">
        <v>20.94</v>
      </c>
      <c r="BR21" s="1693">
        <v>21.38</v>
      </c>
      <c r="BS21" s="1693">
        <v>21.82</v>
      </c>
      <c r="BT21" s="1693">
        <v>22.25</v>
      </c>
      <c r="BU21" s="1694">
        <v>22.69</v>
      </c>
      <c r="BV21" s="1694">
        <v>23.13</v>
      </c>
      <c r="BW21" s="1694">
        <v>23.56</v>
      </c>
      <c r="BX21" s="1695">
        <v>24</v>
      </c>
      <c r="BY21" s="1696">
        <v>24.44</v>
      </c>
      <c r="BZ21" s="1696">
        <v>24.87</v>
      </c>
      <c r="CA21" s="1695">
        <v>25.31</v>
      </c>
      <c r="CB21" s="1695">
        <v>25.75</v>
      </c>
      <c r="CC21" s="1704">
        <v>26.19</v>
      </c>
      <c r="CD21" s="1697">
        <v>26.62</v>
      </c>
      <c r="CE21" s="1698">
        <v>27.06</v>
      </c>
      <c r="CF21" s="1699">
        <v>27.5</v>
      </c>
      <c r="CG21" s="1699">
        <v>27.93</v>
      </c>
      <c r="CH21" s="1699">
        <v>28.37</v>
      </c>
      <c r="CI21" s="1699">
        <v>28.81</v>
      </c>
      <c r="CJ21" s="1699">
        <v>29.24</v>
      </c>
      <c r="CK21" s="1700">
        <v>25.16</v>
      </c>
      <c r="CL21" s="1700">
        <v>25.59</v>
      </c>
      <c r="CM21" s="1700">
        <v>26.03</v>
      </c>
      <c r="CN21" s="1700">
        <v>26.47</v>
      </c>
      <c r="CO21" s="1705">
        <v>26.9</v>
      </c>
      <c r="CP21" s="1706">
        <v>27.34</v>
      </c>
      <c r="CQ21" s="1701">
        <v>27.78</v>
      </c>
      <c r="CR21" s="1701">
        <v>28.21</v>
      </c>
      <c r="CS21" s="1707">
        <v>28.65</v>
      </c>
      <c r="CT21" s="1700">
        <v>29.09</v>
      </c>
      <c r="CU21" s="1700">
        <v>29.52</v>
      </c>
      <c r="CV21" s="1700">
        <v>29.96</v>
      </c>
      <c r="CW21" s="1700">
        <v>30.4</v>
      </c>
      <c r="CX21" s="1700">
        <v>30.84</v>
      </c>
      <c r="CY21" s="1700">
        <v>31.27</v>
      </c>
      <c r="CZ21" s="1700">
        <v>31.71</v>
      </c>
      <c r="DA21" s="1700">
        <v>32.15</v>
      </c>
      <c r="DB21" s="1700">
        <v>32.58</v>
      </c>
      <c r="DC21" s="1700">
        <v>33.020000000000003</v>
      </c>
      <c r="DD21" s="1700">
        <v>33.46</v>
      </c>
      <c r="DE21" s="1700">
        <v>33.89</v>
      </c>
      <c r="DF21" s="1700">
        <v>34.33</v>
      </c>
      <c r="DG21" s="1700">
        <v>34.770000000000003</v>
      </c>
      <c r="DH21" s="1700">
        <v>35.200000000000003</v>
      </c>
      <c r="DI21" s="1700">
        <v>35.64</v>
      </c>
      <c r="DJ21" s="1700">
        <v>36.08</v>
      </c>
      <c r="DK21" s="1700">
        <v>36.520000000000003</v>
      </c>
      <c r="DL21" s="1700">
        <v>36.950000000000003</v>
      </c>
      <c r="DM21" s="1700">
        <v>37.39</v>
      </c>
      <c r="DN21" s="1700">
        <v>37.83</v>
      </c>
      <c r="DO21" s="1700">
        <v>38.26</v>
      </c>
      <c r="DP21" s="1700">
        <v>38.700000000000003</v>
      </c>
      <c r="DQ21" s="1700">
        <v>39.14</v>
      </c>
      <c r="DR21" s="1700">
        <v>39.57</v>
      </c>
      <c r="DS21" s="1700"/>
      <c r="DT21" s="1700"/>
      <c r="DU21" s="1700"/>
      <c r="DV21" s="1700"/>
      <c r="DW21" s="1700"/>
      <c r="DX21" s="1700"/>
    </row>
    <row r="22" spans="1:128">
      <c r="A22" s="1622"/>
      <c r="B22" s="1691">
        <f t="shared" si="4"/>
        <v>18</v>
      </c>
      <c r="C22" s="1668" t="str">
        <f t="shared" si="1"/>
        <v>49.42</v>
      </c>
      <c r="D22" s="1672">
        <f t="shared" si="2"/>
        <v>69.19</v>
      </c>
      <c r="E22" s="1670"/>
      <c r="F22" s="1671" t="str">
        <f t="shared" si="3"/>
        <v>30.93</v>
      </c>
      <c r="G22" s="1672">
        <f t="shared" si="0"/>
        <v>43.3</v>
      </c>
      <c r="H22" s="1670"/>
      <c r="I22" s="1670"/>
      <c r="J22" s="1708">
        <v>18</v>
      </c>
      <c r="K22" s="1693">
        <v>36.32</v>
      </c>
      <c r="L22" s="1693">
        <v>36.97</v>
      </c>
      <c r="M22" s="1693">
        <v>37.630000000000003</v>
      </c>
      <c r="N22" s="1693">
        <v>38.28</v>
      </c>
      <c r="O22" s="1693">
        <v>38.94</v>
      </c>
      <c r="P22" s="1694">
        <v>39.590000000000003</v>
      </c>
      <c r="Q22" s="1694">
        <v>40.25</v>
      </c>
      <c r="R22" s="1694">
        <v>40.9</v>
      </c>
      <c r="S22" s="1695">
        <v>41.56</v>
      </c>
      <c r="T22" s="1696">
        <v>42.21</v>
      </c>
      <c r="U22" s="1696">
        <v>42.87</v>
      </c>
      <c r="V22" s="1695">
        <v>43.52</v>
      </c>
      <c r="W22" s="1695">
        <v>44.18</v>
      </c>
      <c r="X22" s="1695">
        <v>44.83</v>
      </c>
      <c r="Y22" s="1697">
        <v>45.49</v>
      </c>
      <c r="Z22" s="1698">
        <v>46.14</v>
      </c>
      <c r="AA22" s="1699">
        <v>46.8</v>
      </c>
      <c r="AB22" s="1699">
        <v>47.45</v>
      </c>
      <c r="AC22" s="1699">
        <v>48.11</v>
      </c>
      <c r="AD22" s="1699">
        <v>48.76</v>
      </c>
      <c r="AE22" s="1699">
        <v>49.42</v>
      </c>
      <c r="AF22" s="1700">
        <v>40.49</v>
      </c>
      <c r="AG22" s="1700">
        <v>41.15</v>
      </c>
      <c r="AH22" s="1700">
        <v>41.8</v>
      </c>
      <c r="AI22" s="1700">
        <v>42.46</v>
      </c>
      <c r="AJ22" s="1701">
        <v>43.11</v>
      </c>
      <c r="AK22" s="1701">
        <v>43.77</v>
      </c>
      <c r="AL22" s="1701">
        <v>44.43</v>
      </c>
      <c r="AM22" s="1701">
        <v>45.08</v>
      </c>
      <c r="AN22" s="1701">
        <v>45.74</v>
      </c>
      <c r="AO22" s="1702">
        <v>46.39</v>
      </c>
      <c r="AP22" s="1700">
        <v>47.05</v>
      </c>
      <c r="AQ22" s="1700">
        <v>47.7</v>
      </c>
      <c r="AR22" s="1700">
        <v>48.36</v>
      </c>
      <c r="AS22" s="1700">
        <v>49.01</v>
      </c>
      <c r="AT22" s="1700">
        <v>49.67</v>
      </c>
      <c r="AU22" s="1700">
        <v>50.32</v>
      </c>
      <c r="AV22" s="1700">
        <v>50.98</v>
      </c>
      <c r="AW22" s="1700">
        <v>51.63</v>
      </c>
      <c r="AX22" s="1700">
        <v>52.29</v>
      </c>
      <c r="AY22" s="1700">
        <v>52.94</v>
      </c>
      <c r="AZ22" s="1700">
        <v>53.6</v>
      </c>
      <c r="BA22" s="1700">
        <v>54.25</v>
      </c>
      <c r="BB22" s="1683">
        <v>54.91</v>
      </c>
      <c r="BC22" s="1700">
        <v>55.56</v>
      </c>
      <c r="BD22" s="1700">
        <v>56.22</v>
      </c>
      <c r="BE22" s="1700">
        <v>56.87</v>
      </c>
      <c r="BF22" s="1700">
        <v>57.53</v>
      </c>
      <c r="BG22" s="1700">
        <v>58.18</v>
      </c>
      <c r="BH22" s="1700">
        <v>58.84</v>
      </c>
      <c r="BI22" s="1700">
        <v>59.49</v>
      </c>
      <c r="BJ22" s="1700">
        <v>60.15</v>
      </c>
      <c r="BK22" s="1700">
        <v>60.81</v>
      </c>
      <c r="BL22" s="1700">
        <v>61.46</v>
      </c>
      <c r="BM22" s="1700">
        <v>62.12</v>
      </c>
      <c r="BN22" s="1700"/>
      <c r="BO22" s="1703">
        <v>18</v>
      </c>
      <c r="BP22" s="1693">
        <v>21.68</v>
      </c>
      <c r="BQ22" s="1693">
        <v>22.14</v>
      </c>
      <c r="BR22" s="1693">
        <v>22.6</v>
      </c>
      <c r="BS22" s="1693">
        <v>23.06</v>
      </c>
      <c r="BT22" s="1693">
        <v>23.53</v>
      </c>
      <c r="BU22" s="1694">
        <v>23.99</v>
      </c>
      <c r="BV22" s="1694">
        <v>24.45</v>
      </c>
      <c r="BW22" s="1694">
        <v>24.91</v>
      </c>
      <c r="BX22" s="1695">
        <v>25.38</v>
      </c>
      <c r="BY22" s="1696">
        <v>25.84</v>
      </c>
      <c r="BZ22" s="1696">
        <v>26.3</v>
      </c>
      <c r="CA22" s="1695">
        <v>26.76</v>
      </c>
      <c r="CB22" s="1695">
        <v>27.23</v>
      </c>
      <c r="CC22" s="1704">
        <v>27.69</v>
      </c>
      <c r="CD22" s="1697">
        <v>28.15</v>
      </c>
      <c r="CE22" s="1698">
        <v>28.61</v>
      </c>
      <c r="CF22" s="1699">
        <v>29.08</v>
      </c>
      <c r="CG22" s="1699">
        <v>29.54</v>
      </c>
      <c r="CH22" s="1699">
        <v>30</v>
      </c>
      <c r="CI22" s="1699">
        <v>30.46</v>
      </c>
      <c r="CJ22" s="1699">
        <v>30.93</v>
      </c>
      <c r="CK22" s="1700">
        <v>26.61</v>
      </c>
      <c r="CL22" s="1700">
        <v>27.08</v>
      </c>
      <c r="CM22" s="1700">
        <v>27.54</v>
      </c>
      <c r="CN22" s="1700">
        <v>28</v>
      </c>
      <c r="CO22" s="1705">
        <v>28.46</v>
      </c>
      <c r="CP22" s="1706">
        <v>28.93</v>
      </c>
      <c r="CQ22" s="1701">
        <v>29.39</v>
      </c>
      <c r="CR22" s="1701">
        <v>29.85</v>
      </c>
      <c r="CS22" s="1707">
        <v>30.31</v>
      </c>
      <c r="CT22" s="1700">
        <v>30.78</v>
      </c>
      <c r="CU22" s="1700">
        <v>31.24</v>
      </c>
      <c r="CV22" s="1700">
        <v>31.7</v>
      </c>
      <c r="CW22" s="1700">
        <v>32.159999999999997</v>
      </c>
      <c r="CX22" s="1700">
        <v>32.630000000000003</v>
      </c>
      <c r="CY22" s="1700">
        <v>33.090000000000003</v>
      </c>
      <c r="CZ22" s="1700">
        <v>33.549999999999997</v>
      </c>
      <c r="DA22" s="1700">
        <v>34.01</v>
      </c>
      <c r="DB22" s="1700">
        <v>34.479999999999997</v>
      </c>
      <c r="DC22" s="1700">
        <v>34.94</v>
      </c>
      <c r="DD22" s="1700">
        <v>35.4</v>
      </c>
      <c r="DE22" s="1700">
        <v>35.86</v>
      </c>
      <c r="DF22" s="1700">
        <v>36.33</v>
      </c>
      <c r="DG22" s="1700">
        <v>36.79</v>
      </c>
      <c r="DH22" s="1700">
        <v>37.25</v>
      </c>
      <c r="DI22" s="1700">
        <v>37.71</v>
      </c>
      <c r="DJ22" s="1700">
        <v>38.18</v>
      </c>
      <c r="DK22" s="1700">
        <v>38.64</v>
      </c>
      <c r="DL22" s="1700">
        <v>39.1</v>
      </c>
      <c r="DM22" s="1700">
        <v>39.57</v>
      </c>
      <c r="DN22" s="1700">
        <v>40.03</v>
      </c>
      <c r="DO22" s="1700">
        <v>40.49</v>
      </c>
      <c r="DP22" s="1700">
        <v>40.950000000000003</v>
      </c>
      <c r="DQ22" s="1700">
        <v>41.42</v>
      </c>
      <c r="DR22" s="1700">
        <v>41.88</v>
      </c>
      <c r="DS22" s="1700"/>
      <c r="DT22" s="1700"/>
      <c r="DU22" s="1700"/>
      <c r="DV22" s="1700"/>
      <c r="DW22" s="1700"/>
      <c r="DX22" s="1700"/>
    </row>
    <row r="23" spans="1:128">
      <c r="A23" s="1622"/>
      <c r="B23" s="1691">
        <f t="shared" si="4"/>
        <v>19</v>
      </c>
      <c r="C23" s="1668" t="str">
        <f t="shared" si="1"/>
        <v>52.1</v>
      </c>
      <c r="D23" s="1672">
        <f t="shared" si="2"/>
        <v>72.94</v>
      </c>
      <c r="E23" s="1670"/>
      <c r="F23" s="1671" t="str">
        <f t="shared" si="3"/>
        <v>32.61</v>
      </c>
      <c r="G23" s="1672">
        <f t="shared" si="0"/>
        <v>45.65</v>
      </c>
      <c r="H23" s="1670"/>
      <c r="I23" s="1670"/>
      <c r="J23" s="1708">
        <v>19</v>
      </c>
      <c r="K23" s="1693">
        <v>38.270000000000003</v>
      </c>
      <c r="L23" s="1693">
        <v>38.96</v>
      </c>
      <c r="M23" s="1693">
        <v>39.65</v>
      </c>
      <c r="N23" s="1693">
        <v>40.340000000000003</v>
      </c>
      <c r="O23" s="1693">
        <v>41.03</v>
      </c>
      <c r="P23" s="1694">
        <v>41.73</v>
      </c>
      <c r="Q23" s="1694">
        <v>42.42</v>
      </c>
      <c r="R23" s="1694">
        <v>43.11</v>
      </c>
      <c r="S23" s="1695">
        <v>43.8</v>
      </c>
      <c r="T23" s="1696">
        <v>44.49</v>
      </c>
      <c r="U23" s="1696">
        <v>45.18</v>
      </c>
      <c r="V23" s="1695">
        <v>45.88</v>
      </c>
      <c r="W23" s="1695">
        <v>46.57</v>
      </c>
      <c r="X23" s="1695">
        <v>47.26</v>
      </c>
      <c r="Y23" s="1697">
        <v>47.95</v>
      </c>
      <c r="Z23" s="1698">
        <v>48.64</v>
      </c>
      <c r="AA23" s="1699">
        <v>49.33</v>
      </c>
      <c r="AB23" s="1699">
        <v>50.03</v>
      </c>
      <c r="AC23" s="1699">
        <v>50.72</v>
      </c>
      <c r="AD23" s="1699">
        <v>51.41</v>
      </c>
      <c r="AE23" s="1699">
        <v>52.1</v>
      </c>
      <c r="AF23" s="1683">
        <v>42.71</v>
      </c>
      <c r="AG23" s="1683">
        <v>43.4</v>
      </c>
      <c r="AH23" s="1683">
        <v>44.09</v>
      </c>
      <c r="AI23" s="1683">
        <v>44.78</v>
      </c>
      <c r="AJ23" s="1701">
        <v>45.47</v>
      </c>
      <c r="AK23" s="1701">
        <v>46.16</v>
      </c>
      <c r="AL23" s="1701">
        <v>46.86</v>
      </c>
      <c r="AM23" s="1701">
        <v>47.55</v>
      </c>
      <c r="AN23" s="1701">
        <v>48.24</v>
      </c>
      <c r="AO23" s="1702">
        <v>48.93</v>
      </c>
      <c r="AP23" s="1700">
        <v>49.62</v>
      </c>
      <c r="AQ23" s="1700">
        <v>50.31</v>
      </c>
      <c r="AR23" s="1683">
        <v>51</v>
      </c>
      <c r="AS23" s="1700">
        <v>51.7</v>
      </c>
      <c r="AT23" s="1683">
        <v>52.39</v>
      </c>
      <c r="AU23" s="1700">
        <v>53.08</v>
      </c>
      <c r="AV23" s="1683">
        <v>53.77</v>
      </c>
      <c r="AW23" s="1683">
        <v>54.46</v>
      </c>
      <c r="AX23" s="1683">
        <v>55.15</v>
      </c>
      <c r="AY23" s="1683">
        <v>55.85</v>
      </c>
      <c r="AZ23" s="1683">
        <v>56.54</v>
      </c>
      <c r="BA23" s="1683">
        <v>57.23</v>
      </c>
      <c r="BB23" s="1700">
        <v>57.92</v>
      </c>
      <c r="BC23" s="1683">
        <v>58.61</v>
      </c>
      <c r="BD23" s="1683">
        <v>59.3</v>
      </c>
      <c r="BE23" s="1683">
        <v>60</v>
      </c>
      <c r="BF23" s="1683">
        <v>60.69</v>
      </c>
      <c r="BG23" s="1683">
        <v>61.38</v>
      </c>
      <c r="BH23" s="1683">
        <v>62.07</v>
      </c>
      <c r="BI23" s="1683">
        <v>62.76</v>
      </c>
      <c r="BJ23" s="1683">
        <v>63.45</v>
      </c>
      <c r="BK23" s="1683">
        <v>64.150000000000006</v>
      </c>
      <c r="BL23" s="1683">
        <v>64.84</v>
      </c>
      <c r="BM23" s="1683">
        <v>65.53</v>
      </c>
      <c r="BN23" s="1683"/>
      <c r="BO23" s="1703">
        <v>19</v>
      </c>
      <c r="BP23" s="1693">
        <v>22.85</v>
      </c>
      <c r="BQ23" s="1693">
        <v>23.33</v>
      </c>
      <c r="BR23" s="1693">
        <v>23.82</v>
      </c>
      <c r="BS23" s="1693">
        <v>24.31</v>
      </c>
      <c r="BT23" s="1693">
        <v>24.8</v>
      </c>
      <c r="BU23" s="1694">
        <v>25.29</v>
      </c>
      <c r="BV23" s="1694">
        <v>25.78</v>
      </c>
      <c r="BW23" s="1694">
        <v>26.26</v>
      </c>
      <c r="BX23" s="1695">
        <v>26.75</v>
      </c>
      <c r="BY23" s="1696">
        <v>27.24</v>
      </c>
      <c r="BZ23" s="1696">
        <v>27.73</v>
      </c>
      <c r="CA23" s="1695">
        <v>28.22</v>
      </c>
      <c r="CB23" s="1695">
        <v>28.7</v>
      </c>
      <c r="CC23" s="1704">
        <v>29.19</v>
      </c>
      <c r="CD23" s="1697">
        <v>29.68</v>
      </c>
      <c r="CE23" s="1698">
        <v>30.17</v>
      </c>
      <c r="CF23" s="1699">
        <v>30.66</v>
      </c>
      <c r="CG23" s="1699">
        <v>31.15</v>
      </c>
      <c r="CH23" s="1699">
        <v>31.63</v>
      </c>
      <c r="CI23" s="1699">
        <v>32.119999999999997</v>
      </c>
      <c r="CJ23" s="1699">
        <v>32.61</v>
      </c>
      <c r="CK23" s="1700">
        <v>28.07</v>
      </c>
      <c r="CL23" s="1700">
        <v>28.56</v>
      </c>
      <c r="CM23" s="1700">
        <v>29.05</v>
      </c>
      <c r="CN23" s="1700">
        <v>29.53</v>
      </c>
      <c r="CO23" s="1705">
        <v>30.02</v>
      </c>
      <c r="CP23" s="1706">
        <v>30.51</v>
      </c>
      <c r="CQ23" s="1701">
        <v>31</v>
      </c>
      <c r="CR23" s="1701">
        <v>31.49</v>
      </c>
      <c r="CS23" s="1707">
        <v>31.98</v>
      </c>
      <c r="CT23" s="1700">
        <v>32.46</v>
      </c>
      <c r="CU23" s="1700">
        <v>32.950000000000003</v>
      </c>
      <c r="CV23" s="1700">
        <v>33.44</v>
      </c>
      <c r="CW23" s="1700">
        <v>33.93</v>
      </c>
      <c r="CX23" s="1700">
        <v>34.42</v>
      </c>
      <c r="CY23" s="1700">
        <v>34.909999999999997</v>
      </c>
      <c r="CZ23" s="1700">
        <v>35.39</v>
      </c>
      <c r="DA23" s="1700">
        <v>35.880000000000003</v>
      </c>
      <c r="DB23" s="1700">
        <v>36.369999999999997</v>
      </c>
      <c r="DC23" s="1700">
        <v>36.86</v>
      </c>
      <c r="DD23" s="1700">
        <v>37.35</v>
      </c>
      <c r="DE23" s="1700">
        <v>37.840000000000003</v>
      </c>
      <c r="DF23" s="1700">
        <v>38.32</v>
      </c>
      <c r="DG23" s="1700">
        <v>38.81</v>
      </c>
      <c r="DH23" s="1700">
        <v>39.299999999999997</v>
      </c>
      <c r="DI23" s="1700">
        <v>39.79</v>
      </c>
      <c r="DJ23" s="1700">
        <v>40.28</v>
      </c>
      <c r="DK23" s="1700">
        <v>40.770000000000003</v>
      </c>
      <c r="DL23" s="1700">
        <v>41.25</v>
      </c>
      <c r="DM23" s="1700">
        <v>41.74</v>
      </c>
      <c r="DN23" s="1700">
        <v>42.23</v>
      </c>
      <c r="DO23" s="1700">
        <v>42.72</v>
      </c>
      <c r="DP23" s="1700">
        <v>43.21</v>
      </c>
      <c r="DQ23" s="1700">
        <v>43.7</v>
      </c>
      <c r="DR23" s="1700">
        <v>44.18</v>
      </c>
      <c r="DS23" s="1700"/>
      <c r="DT23" s="1700"/>
      <c r="DU23" s="1700"/>
      <c r="DV23" s="1700"/>
      <c r="DW23" s="1700"/>
      <c r="DX23" s="1700"/>
    </row>
    <row r="24" spans="1:128">
      <c r="A24" s="1622"/>
      <c r="B24" s="1691">
        <f t="shared" si="4"/>
        <v>20</v>
      </c>
      <c r="C24" s="1668" t="str">
        <f t="shared" si="1"/>
        <v>54.78</v>
      </c>
      <c r="D24" s="1672">
        <f t="shared" si="2"/>
        <v>76.69</v>
      </c>
      <c r="E24" s="1670"/>
      <c r="F24" s="1671" t="str">
        <f t="shared" si="3"/>
        <v>34.29</v>
      </c>
      <c r="G24" s="1672">
        <f t="shared" si="0"/>
        <v>48.01</v>
      </c>
      <c r="H24" s="1670"/>
      <c r="I24" s="1670"/>
      <c r="J24" s="1708">
        <v>20</v>
      </c>
      <c r="K24" s="1693">
        <v>40.22</v>
      </c>
      <c r="L24" s="1693">
        <v>40.94</v>
      </c>
      <c r="M24" s="1693">
        <v>41.67</v>
      </c>
      <c r="N24" s="1693">
        <v>42.4</v>
      </c>
      <c r="O24" s="1693">
        <v>43.13</v>
      </c>
      <c r="P24" s="1694">
        <v>43.86</v>
      </c>
      <c r="Q24" s="1694">
        <v>44.58</v>
      </c>
      <c r="R24" s="1694">
        <v>45.31</v>
      </c>
      <c r="S24" s="1695">
        <v>46.04</v>
      </c>
      <c r="T24" s="1696">
        <v>46.77</v>
      </c>
      <c r="U24" s="1696">
        <v>47.5</v>
      </c>
      <c r="V24" s="1695">
        <v>48.22</v>
      </c>
      <c r="W24" s="1695">
        <v>48.95</v>
      </c>
      <c r="X24" s="1695">
        <v>49.68</v>
      </c>
      <c r="Y24" s="1697">
        <v>50.41</v>
      </c>
      <c r="Z24" s="1698">
        <v>51.14</v>
      </c>
      <c r="AA24" s="1699">
        <v>51.86</v>
      </c>
      <c r="AB24" s="1699">
        <v>52.59</v>
      </c>
      <c r="AC24" s="1699">
        <v>53.32</v>
      </c>
      <c r="AD24" s="1699">
        <v>54.05</v>
      </c>
      <c r="AE24" s="1699">
        <v>54.78</v>
      </c>
      <c r="AF24" s="1700">
        <v>44.91</v>
      </c>
      <c r="AG24" s="1700">
        <v>45.64</v>
      </c>
      <c r="AH24" s="1700">
        <v>46.37</v>
      </c>
      <c r="AI24" s="1700">
        <v>47.1</v>
      </c>
      <c r="AJ24" s="1701">
        <v>47.83</v>
      </c>
      <c r="AK24" s="1701">
        <v>48.55</v>
      </c>
      <c r="AL24" s="1701">
        <v>49.28</v>
      </c>
      <c r="AM24" s="1701">
        <v>50.01</v>
      </c>
      <c r="AN24" s="1701">
        <v>50.74</v>
      </c>
      <c r="AO24" s="1702">
        <v>51.47</v>
      </c>
      <c r="AP24" s="1700">
        <v>52.19</v>
      </c>
      <c r="AQ24" s="1700">
        <v>52.92</v>
      </c>
      <c r="AR24" s="1700">
        <v>53.65</v>
      </c>
      <c r="AS24" s="1700">
        <v>54.38</v>
      </c>
      <c r="AT24" s="1700">
        <v>55.11</v>
      </c>
      <c r="AU24" s="1700">
        <v>55.83</v>
      </c>
      <c r="AV24" s="1700">
        <v>56.56</v>
      </c>
      <c r="AW24" s="1700">
        <v>57.29</v>
      </c>
      <c r="AX24" s="1700">
        <v>58.02</v>
      </c>
      <c r="AY24" s="1700">
        <v>58.75</v>
      </c>
      <c r="AZ24" s="1700">
        <v>59.47</v>
      </c>
      <c r="BA24" s="1700">
        <v>60.2</v>
      </c>
      <c r="BB24" s="1700">
        <v>60.93</v>
      </c>
      <c r="BC24" s="1700">
        <v>61.66</v>
      </c>
      <c r="BD24" s="1700">
        <v>62.39</v>
      </c>
      <c r="BE24" s="1700">
        <v>63.11</v>
      </c>
      <c r="BF24" s="1700">
        <v>63.84</v>
      </c>
      <c r="BG24" s="1700">
        <v>64.569999999999993</v>
      </c>
      <c r="BH24" s="1700">
        <v>65.3</v>
      </c>
      <c r="BI24" s="1700">
        <v>66.03</v>
      </c>
      <c r="BJ24" s="1700">
        <v>66.75</v>
      </c>
      <c r="BK24" s="1700">
        <v>67.48</v>
      </c>
      <c r="BL24" s="1700">
        <v>68.209999999999994</v>
      </c>
      <c r="BM24" s="1700">
        <v>68.94</v>
      </c>
      <c r="BN24" s="1700"/>
      <c r="BO24" s="1703">
        <v>20</v>
      </c>
      <c r="BP24" s="1693">
        <v>24.01</v>
      </c>
      <c r="BQ24" s="1693">
        <v>24.53</v>
      </c>
      <c r="BR24" s="1693">
        <v>25.04</v>
      </c>
      <c r="BS24" s="1693">
        <v>25.56</v>
      </c>
      <c r="BT24" s="1693">
        <v>26.07</v>
      </c>
      <c r="BU24" s="1694">
        <v>26.58</v>
      </c>
      <c r="BV24" s="1694">
        <v>27.1</v>
      </c>
      <c r="BW24" s="1694">
        <v>27.61</v>
      </c>
      <c r="BX24" s="1695">
        <v>28.13</v>
      </c>
      <c r="BY24" s="1696">
        <v>28.64</v>
      </c>
      <c r="BZ24" s="1696">
        <v>29.15</v>
      </c>
      <c r="CA24" s="1695">
        <v>29.67</v>
      </c>
      <c r="CB24" s="1695">
        <v>30.18</v>
      </c>
      <c r="CC24" s="1704">
        <v>30.7</v>
      </c>
      <c r="CD24" s="1697">
        <v>31.21</v>
      </c>
      <c r="CE24" s="1698">
        <v>31.72</v>
      </c>
      <c r="CF24" s="1699">
        <v>32.24</v>
      </c>
      <c r="CG24" s="1699">
        <v>32.75</v>
      </c>
      <c r="CH24" s="1699">
        <v>33.270000000000003</v>
      </c>
      <c r="CI24" s="1699">
        <v>33.78</v>
      </c>
      <c r="CJ24" s="1699">
        <v>34.29</v>
      </c>
      <c r="CK24" s="1700">
        <v>29.53</v>
      </c>
      <c r="CL24" s="1700">
        <v>30.04</v>
      </c>
      <c r="CM24" s="1700">
        <v>30.55</v>
      </c>
      <c r="CN24" s="1700">
        <v>31.07</v>
      </c>
      <c r="CO24" s="1705">
        <v>31.58</v>
      </c>
      <c r="CP24" s="1706">
        <v>32.1</v>
      </c>
      <c r="CQ24" s="1701">
        <v>32.61</v>
      </c>
      <c r="CR24" s="1701">
        <v>33.119999999999997</v>
      </c>
      <c r="CS24" s="1707">
        <v>33.64</v>
      </c>
      <c r="CT24" s="1700">
        <v>34.15</v>
      </c>
      <c r="CU24" s="1700">
        <v>34.67</v>
      </c>
      <c r="CV24" s="1700">
        <v>35.18</v>
      </c>
      <c r="CW24" s="1700">
        <v>35.69</v>
      </c>
      <c r="CX24" s="1700">
        <v>36.21</v>
      </c>
      <c r="CY24" s="1700">
        <v>36.72</v>
      </c>
      <c r="CZ24" s="1700">
        <v>37.24</v>
      </c>
      <c r="DA24" s="1700">
        <v>37.75</v>
      </c>
      <c r="DB24" s="1700">
        <v>38.26</v>
      </c>
      <c r="DC24" s="1700">
        <v>38.78</v>
      </c>
      <c r="DD24" s="1700">
        <v>39.29</v>
      </c>
      <c r="DE24" s="1700">
        <v>39.81</v>
      </c>
      <c r="DF24" s="1700">
        <v>40.32</v>
      </c>
      <c r="DG24" s="1700">
        <v>40.83</v>
      </c>
      <c r="DH24" s="1700">
        <v>41.35</v>
      </c>
      <c r="DI24" s="1700">
        <v>41.86</v>
      </c>
      <c r="DJ24" s="1700">
        <v>42.38</v>
      </c>
      <c r="DK24" s="1700">
        <v>42.89</v>
      </c>
      <c r="DL24" s="1700">
        <v>43.4</v>
      </c>
      <c r="DM24" s="1700">
        <v>43.92</v>
      </c>
      <c r="DN24" s="1700">
        <v>44.43</v>
      </c>
      <c r="DO24" s="1700">
        <v>44.95</v>
      </c>
      <c r="DP24" s="1700">
        <v>45.46</v>
      </c>
      <c r="DQ24" s="1700">
        <v>45.97</v>
      </c>
      <c r="DR24" s="1700">
        <v>46.49</v>
      </c>
      <c r="DS24" s="1700"/>
      <c r="DT24" s="1700"/>
      <c r="DU24" s="1700"/>
      <c r="DV24" s="1700"/>
      <c r="DW24" s="1700"/>
      <c r="DX24" s="1700"/>
    </row>
    <row r="25" spans="1:128">
      <c r="A25" s="1622"/>
      <c r="B25" s="1691">
        <f t="shared" si="4"/>
        <v>21</v>
      </c>
      <c r="C25" s="1668" t="str">
        <f t="shared" si="1"/>
        <v>57.45</v>
      </c>
      <c r="D25" s="1672">
        <f t="shared" si="2"/>
        <v>80.430000000000007</v>
      </c>
      <c r="E25" s="1670"/>
      <c r="F25" s="1671" t="str">
        <f t="shared" si="3"/>
        <v>35.98</v>
      </c>
      <c r="G25" s="1672">
        <f t="shared" si="0"/>
        <v>50.37</v>
      </c>
      <c r="H25" s="1670"/>
      <c r="I25" s="1670"/>
      <c r="J25" s="1708">
        <v>21</v>
      </c>
      <c r="K25" s="1693">
        <v>42.16</v>
      </c>
      <c r="L25" s="1693">
        <v>42.92</v>
      </c>
      <c r="M25" s="1693">
        <v>43.69</v>
      </c>
      <c r="N25" s="1693">
        <v>44.45</v>
      </c>
      <c r="O25" s="1693">
        <v>45.22</v>
      </c>
      <c r="P25" s="1694">
        <v>45.98</v>
      </c>
      <c r="Q25" s="1694">
        <v>46.75</v>
      </c>
      <c r="R25" s="1694">
        <v>47.51</v>
      </c>
      <c r="S25" s="1695">
        <v>48.28</v>
      </c>
      <c r="T25" s="1696">
        <v>49.04</v>
      </c>
      <c r="U25" s="1696">
        <v>49.8</v>
      </c>
      <c r="V25" s="1695">
        <v>50.57</v>
      </c>
      <c r="W25" s="1695">
        <v>51.33</v>
      </c>
      <c r="X25" s="1695">
        <v>52.1</v>
      </c>
      <c r="Y25" s="1697">
        <v>52.86</v>
      </c>
      <c r="Z25" s="1698">
        <v>53.63</v>
      </c>
      <c r="AA25" s="1699">
        <v>54.39</v>
      </c>
      <c r="AB25" s="1699">
        <v>55.16</v>
      </c>
      <c r="AC25" s="1699">
        <v>55.92</v>
      </c>
      <c r="AD25" s="1699">
        <v>56.68</v>
      </c>
      <c r="AE25" s="1699">
        <v>57.45</v>
      </c>
      <c r="AF25" s="1700">
        <v>47.12</v>
      </c>
      <c r="AG25" s="1700">
        <v>47.89</v>
      </c>
      <c r="AH25" s="1700">
        <v>48.65</v>
      </c>
      <c r="AI25" s="1700">
        <v>49.41</v>
      </c>
      <c r="AJ25" s="1701">
        <v>50.18</v>
      </c>
      <c r="AK25" s="1701">
        <v>50.94</v>
      </c>
      <c r="AL25" s="1701">
        <v>51.71</v>
      </c>
      <c r="AM25" s="1701">
        <v>52.47</v>
      </c>
      <c r="AN25" s="1701">
        <v>53.24</v>
      </c>
      <c r="AO25" s="1702">
        <v>54</v>
      </c>
      <c r="AP25" s="1700">
        <v>54.77</v>
      </c>
      <c r="AQ25" s="1700">
        <v>55.53</v>
      </c>
      <c r="AR25" s="1683">
        <v>56.29</v>
      </c>
      <c r="AS25" s="1700">
        <v>57.06</v>
      </c>
      <c r="AT25" s="1700">
        <v>57.82</v>
      </c>
      <c r="AU25" s="1700">
        <v>58.59</v>
      </c>
      <c r="AV25" s="1700">
        <v>59.35</v>
      </c>
      <c r="AW25" s="1700">
        <v>60.12</v>
      </c>
      <c r="AX25" s="1700">
        <v>60.88</v>
      </c>
      <c r="AY25" s="1700">
        <v>61.65</v>
      </c>
      <c r="AZ25" s="1700">
        <v>62.41</v>
      </c>
      <c r="BA25" s="1700">
        <v>63.17</v>
      </c>
      <c r="BB25" s="1683">
        <v>63.94</v>
      </c>
      <c r="BC25" s="1700">
        <v>64.7</v>
      </c>
      <c r="BD25" s="1683">
        <v>65.47</v>
      </c>
      <c r="BE25" s="1700">
        <v>66.23</v>
      </c>
      <c r="BF25" s="1700">
        <v>67</v>
      </c>
      <c r="BG25" s="1700">
        <v>67.760000000000005</v>
      </c>
      <c r="BH25" s="1700">
        <v>68.52</v>
      </c>
      <c r="BI25" s="1700">
        <v>69.290000000000006</v>
      </c>
      <c r="BJ25" s="1700">
        <v>70.05</v>
      </c>
      <c r="BK25" s="1700">
        <v>70.819999999999993</v>
      </c>
      <c r="BL25" s="1700">
        <v>71.58</v>
      </c>
      <c r="BM25" s="1700">
        <v>72.349999999999994</v>
      </c>
      <c r="BN25" s="1700"/>
      <c r="BO25" s="1703">
        <v>21</v>
      </c>
      <c r="BP25" s="1693">
        <v>25.19</v>
      </c>
      <c r="BQ25" s="1693">
        <v>25.73</v>
      </c>
      <c r="BR25" s="1693">
        <v>26.26</v>
      </c>
      <c r="BS25" s="1693">
        <v>26.8</v>
      </c>
      <c r="BT25" s="1693">
        <v>27.34</v>
      </c>
      <c r="BU25" s="1694">
        <v>27.88</v>
      </c>
      <c r="BV25" s="1694">
        <v>28.42</v>
      </c>
      <c r="BW25" s="1694">
        <v>28.96</v>
      </c>
      <c r="BX25" s="1695">
        <v>29.5</v>
      </c>
      <c r="BY25" s="1696">
        <v>30.04</v>
      </c>
      <c r="BZ25" s="1696">
        <v>30.58</v>
      </c>
      <c r="CA25" s="1695">
        <v>31.12</v>
      </c>
      <c r="CB25" s="1695">
        <v>31.66</v>
      </c>
      <c r="CC25" s="1704">
        <v>32.200000000000003</v>
      </c>
      <c r="CD25" s="1697">
        <v>32.74</v>
      </c>
      <c r="CE25" s="1698">
        <v>33.28</v>
      </c>
      <c r="CF25" s="1699">
        <v>33.82</v>
      </c>
      <c r="CG25" s="1699">
        <v>34.36</v>
      </c>
      <c r="CH25" s="1699">
        <v>34.9</v>
      </c>
      <c r="CI25" s="1699">
        <v>35.44</v>
      </c>
      <c r="CJ25" s="1699">
        <v>35.979999999999997</v>
      </c>
      <c r="CK25" s="1700">
        <v>30.98</v>
      </c>
      <c r="CL25" s="1700">
        <v>31.52</v>
      </c>
      <c r="CM25" s="1700">
        <v>32.06</v>
      </c>
      <c r="CN25" s="1700">
        <v>32.6</v>
      </c>
      <c r="CO25" s="1705">
        <v>33.14</v>
      </c>
      <c r="CP25" s="1706">
        <v>33.68</v>
      </c>
      <c r="CQ25" s="1701">
        <v>34.22</v>
      </c>
      <c r="CR25" s="1701">
        <v>34.76</v>
      </c>
      <c r="CS25" s="1707">
        <v>35.299999999999997</v>
      </c>
      <c r="CT25" s="1700">
        <v>35.840000000000003</v>
      </c>
      <c r="CU25" s="1700">
        <v>36.380000000000003</v>
      </c>
      <c r="CV25" s="1700">
        <v>36.92</v>
      </c>
      <c r="CW25" s="1700">
        <v>37.46</v>
      </c>
      <c r="CX25" s="1700">
        <v>38</v>
      </c>
      <c r="CY25" s="1700">
        <v>38.54</v>
      </c>
      <c r="CZ25" s="1700">
        <v>39.08</v>
      </c>
      <c r="DA25" s="1700">
        <v>39.619999999999997</v>
      </c>
      <c r="DB25" s="1700">
        <v>40.159999999999997</v>
      </c>
      <c r="DC25" s="1700">
        <v>40.700000000000003</v>
      </c>
      <c r="DD25" s="1700">
        <v>41.24</v>
      </c>
      <c r="DE25" s="1700">
        <v>41.78</v>
      </c>
      <c r="DF25" s="1700">
        <v>42.32</v>
      </c>
      <c r="DG25" s="1700">
        <v>42.86</v>
      </c>
      <c r="DH25" s="1700">
        <v>43.4</v>
      </c>
      <c r="DI25" s="1700">
        <v>43.94</v>
      </c>
      <c r="DJ25" s="1700">
        <v>44.48</v>
      </c>
      <c r="DK25" s="1700">
        <v>45.02</v>
      </c>
      <c r="DL25" s="1700">
        <v>45.56</v>
      </c>
      <c r="DM25" s="1700">
        <v>46.1</v>
      </c>
      <c r="DN25" s="1700">
        <v>46.64</v>
      </c>
      <c r="DO25" s="1700">
        <v>47.18</v>
      </c>
      <c r="DP25" s="1700">
        <v>47.71</v>
      </c>
      <c r="DQ25" s="1700">
        <v>48.25</v>
      </c>
      <c r="DR25" s="1700">
        <v>48.79</v>
      </c>
      <c r="DS25" s="1700"/>
      <c r="DT25" s="1700"/>
      <c r="DU25" s="1700"/>
      <c r="DV25" s="1700"/>
      <c r="DW25" s="1700"/>
      <c r="DX25" s="1700"/>
    </row>
    <row r="26" spans="1:128">
      <c r="A26" s="1622"/>
      <c r="B26" s="1691">
        <f t="shared" si="4"/>
        <v>22</v>
      </c>
      <c r="C26" s="1668" t="str">
        <f t="shared" si="1"/>
        <v>60.13</v>
      </c>
      <c r="D26" s="1672">
        <f t="shared" si="2"/>
        <v>84.18</v>
      </c>
      <c r="E26" s="1670"/>
      <c r="F26" s="1671" t="str">
        <f t="shared" si="3"/>
        <v>37.66</v>
      </c>
      <c r="G26" s="1672">
        <f t="shared" si="0"/>
        <v>52.72</v>
      </c>
      <c r="H26" s="1670"/>
      <c r="I26" s="1670"/>
      <c r="J26" s="1708">
        <v>22</v>
      </c>
      <c r="K26" s="1693">
        <v>44.11</v>
      </c>
      <c r="L26" s="1693">
        <v>44.92</v>
      </c>
      <c r="M26" s="1693">
        <v>45.72</v>
      </c>
      <c r="N26" s="1693">
        <v>46.522221999999999</v>
      </c>
      <c r="O26" s="1693">
        <v>47.32</v>
      </c>
      <c r="P26" s="1694">
        <v>48.12</v>
      </c>
      <c r="Q26" s="1694">
        <v>48.92</v>
      </c>
      <c r="R26" s="1694">
        <v>49.72</v>
      </c>
      <c r="S26" s="1695">
        <v>50.52</v>
      </c>
      <c r="T26" s="1696">
        <v>51.32</v>
      </c>
      <c r="U26" s="1696">
        <v>52.12</v>
      </c>
      <c r="V26" s="1695">
        <v>52.92</v>
      </c>
      <c r="W26" s="1695">
        <v>53.72</v>
      </c>
      <c r="X26" s="1695">
        <v>54.52</v>
      </c>
      <c r="Y26" s="1697">
        <v>55.33</v>
      </c>
      <c r="Z26" s="1698">
        <v>56.13</v>
      </c>
      <c r="AA26" s="1699">
        <v>56.93</v>
      </c>
      <c r="AB26" s="1699">
        <v>57.73</v>
      </c>
      <c r="AC26" s="1699">
        <v>58.53</v>
      </c>
      <c r="AD26" s="1699">
        <v>59.33</v>
      </c>
      <c r="AE26" s="1699">
        <v>60.13</v>
      </c>
      <c r="AF26" s="1683">
        <v>49.33</v>
      </c>
      <c r="AG26" s="1683">
        <v>50.14</v>
      </c>
      <c r="AH26" s="1683">
        <v>50.94</v>
      </c>
      <c r="AI26" s="1683">
        <v>51.74</v>
      </c>
      <c r="AJ26" s="1701">
        <v>52.54</v>
      </c>
      <c r="AK26" s="1701">
        <v>53.34</v>
      </c>
      <c r="AL26" s="1701">
        <v>54.14</v>
      </c>
      <c r="AM26" s="1701">
        <v>54.94</v>
      </c>
      <c r="AN26" s="1701">
        <v>55.74</v>
      </c>
      <c r="AO26" s="1702">
        <v>56.54</v>
      </c>
      <c r="AP26" s="1700">
        <v>57.34</v>
      </c>
      <c r="AQ26" s="1700">
        <v>58.14</v>
      </c>
      <c r="AR26" s="1700">
        <v>58.94</v>
      </c>
      <c r="AS26" s="1700">
        <v>59.74</v>
      </c>
      <c r="AT26" s="1683">
        <v>60.55</v>
      </c>
      <c r="AU26" s="1700">
        <v>61.35</v>
      </c>
      <c r="AV26" s="1683">
        <v>62.15</v>
      </c>
      <c r="AW26" s="1683">
        <v>62.95</v>
      </c>
      <c r="AX26" s="1683">
        <v>63.75</v>
      </c>
      <c r="AY26" s="1683">
        <v>64.55</v>
      </c>
      <c r="AZ26" s="1683">
        <v>65.349999999999994</v>
      </c>
      <c r="BA26" s="1683">
        <v>66.150000000000006</v>
      </c>
      <c r="BB26" s="1700">
        <v>66.95</v>
      </c>
      <c r="BC26" s="1683">
        <v>67.75</v>
      </c>
      <c r="BD26" s="1700">
        <v>68.55</v>
      </c>
      <c r="BE26" s="1683">
        <v>69.349999999999994</v>
      </c>
      <c r="BF26" s="1683">
        <v>70.16</v>
      </c>
      <c r="BG26" s="1683">
        <v>70.959999999999994</v>
      </c>
      <c r="BH26" s="1683">
        <v>71.760000000000005</v>
      </c>
      <c r="BI26" s="1683">
        <v>72.56</v>
      </c>
      <c r="BJ26" s="1683">
        <v>73.36</v>
      </c>
      <c r="BK26" s="1683">
        <v>74.16</v>
      </c>
      <c r="BL26" s="1683">
        <v>74.959999999999994</v>
      </c>
      <c r="BM26" s="1683">
        <v>75.760000000000005</v>
      </c>
      <c r="BN26" s="1683"/>
      <c r="BO26" s="1703">
        <v>22</v>
      </c>
      <c r="BP26" s="1693">
        <v>26.35</v>
      </c>
      <c r="BQ26" s="1693">
        <v>26.92</v>
      </c>
      <c r="BR26" s="1693">
        <v>27.48</v>
      </c>
      <c r="BS26" s="1693">
        <v>28.05</v>
      </c>
      <c r="BT26" s="1693">
        <v>28.61</v>
      </c>
      <c r="BU26" s="1694">
        <v>29.18</v>
      </c>
      <c r="BV26" s="1694">
        <v>29.75</v>
      </c>
      <c r="BW26" s="1694">
        <v>30.31</v>
      </c>
      <c r="BX26" s="1695">
        <v>30.88</v>
      </c>
      <c r="BY26" s="1696">
        <v>31.44</v>
      </c>
      <c r="BZ26" s="1696">
        <v>32.01</v>
      </c>
      <c r="CA26" s="1695">
        <v>32.57</v>
      </c>
      <c r="CB26" s="1695">
        <v>33.14</v>
      </c>
      <c r="CC26" s="1704">
        <v>33.700000000000003</v>
      </c>
      <c r="CD26" s="1697">
        <v>34.270000000000003</v>
      </c>
      <c r="CE26" s="1698">
        <v>34.83</v>
      </c>
      <c r="CF26" s="1699">
        <v>35.4</v>
      </c>
      <c r="CG26" s="1699">
        <v>35.96</v>
      </c>
      <c r="CH26" s="1699">
        <v>36.53</v>
      </c>
      <c r="CI26" s="1699">
        <v>37.1</v>
      </c>
      <c r="CJ26" s="1699">
        <v>37.659999999999997</v>
      </c>
      <c r="CK26" s="1700">
        <v>32.44</v>
      </c>
      <c r="CL26" s="1700">
        <v>33.01</v>
      </c>
      <c r="CM26" s="1700">
        <v>33.57</v>
      </c>
      <c r="CN26" s="1700">
        <v>34.14</v>
      </c>
      <c r="CO26" s="1705">
        <v>34.700000000000003</v>
      </c>
      <c r="CP26" s="1706">
        <v>35.270000000000003</v>
      </c>
      <c r="CQ26" s="1701">
        <v>35.83</v>
      </c>
      <c r="CR26" s="1701">
        <v>36.4</v>
      </c>
      <c r="CS26" s="1707">
        <v>36.96</v>
      </c>
      <c r="CT26" s="1700">
        <v>37.53</v>
      </c>
      <c r="CU26" s="1700">
        <v>38.090000000000003</v>
      </c>
      <c r="CV26" s="1700">
        <v>38.659999999999997</v>
      </c>
      <c r="CW26" s="1700">
        <v>39.22</v>
      </c>
      <c r="CX26" s="1700">
        <v>39.79</v>
      </c>
      <c r="CY26" s="1700">
        <v>40.36</v>
      </c>
      <c r="CZ26" s="1700">
        <v>40.92</v>
      </c>
      <c r="DA26" s="1700">
        <v>41.49</v>
      </c>
      <c r="DB26" s="1700">
        <v>42.05</v>
      </c>
      <c r="DC26" s="1700">
        <v>42.62</v>
      </c>
      <c r="DD26" s="1700">
        <v>43.18</v>
      </c>
      <c r="DE26" s="1700">
        <v>43.75</v>
      </c>
      <c r="DF26" s="1700">
        <v>44.31</v>
      </c>
      <c r="DG26" s="1700">
        <v>44.88</v>
      </c>
      <c r="DH26" s="1700">
        <v>45.44</v>
      </c>
      <c r="DI26" s="1700">
        <v>46.01</v>
      </c>
      <c r="DJ26" s="1700">
        <v>46.57</v>
      </c>
      <c r="DK26" s="1700">
        <v>47.14</v>
      </c>
      <c r="DL26" s="1700">
        <v>47.71</v>
      </c>
      <c r="DM26" s="1700">
        <v>48.27</v>
      </c>
      <c r="DN26" s="1700">
        <v>48.84</v>
      </c>
      <c r="DO26" s="1700">
        <v>49.4</v>
      </c>
      <c r="DP26" s="1700">
        <v>49.97</v>
      </c>
      <c r="DQ26" s="1700">
        <v>50.53</v>
      </c>
      <c r="DR26" s="1700">
        <v>51.1</v>
      </c>
      <c r="DS26" s="1700"/>
      <c r="DT26" s="1700"/>
      <c r="DU26" s="1700"/>
      <c r="DV26" s="1700"/>
      <c r="DW26" s="1700"/>
      <c r="DX26" s="1700"/>
    </row>
    <row r="27" spans="1:128">
      <c r="A27" s="1622"/>
      <c r="B27" s="1691">
        <f t="shared" si="4"/>
        <v>23</v>
      </c>
      <c r="C27" s="1668" t="str">
        <f t="shared" si="1"/>
        <v>62.8</v>
      </c>
      <c r="D27" s="1672">
        <f t="shared" si="2"/>
        <v>87.92</v>
      </c>
      <c r="E27" s="1670"/>
      <c r="F27" s="1671" t="str">
        <f t="shared" si="3"/>
        <v>39.35</v>
      </c>
      <c r="G27" s="1672">
        <f t="shared" si="0"/>
        <v>55.09</v>
      </c>
      <c r="H27" s="1670"/>
      <c r="I27" s="1670"/>
      <c r="J27" s="1708">
        <v>23</v>
      </c>
      <c r="K27" s="1693">
        <v>46.05</v>
      </c>
      <c r="L27" s="1693">
        <v>46.89</v>
      </c>
      <c r="M27" s="1693">
        <v>47.73</v>
      </c>
      <c r="N27" s="1693">
        <v>48.57</v>
      </c>
      <c r="O27" s="1693">
        <v>49.4</v>
      </c>
      <c r="P27" s="1694">
        <v>50.24</v>
      </c>
      <c r="Q27" s="1694">
        <v>51.08</v>
      </c>
      <c r="R27" s="1694">
        <v>51.91</v>
      </c>
      <c r="S27" s="1695">
        <v>52.75</v>
      </c>
      <c r="T27" s="1696">
        <v>53.59</v>
      </c>
      <c r="U27" s="1696">
        <v>54.43</v>
      </c>
      <c r="V27" s="1695">
        <v>55.26</v>
      </c>
      <c r="W27" s="1695">
        <v>56.1</v>
      </c>
      <c r="X27" s="1695">
        <v>56.94</v>
      </c>
      <c r="Y27" s="1697">
        <v>57.78</v>
      </c>
      <c r="Z27" s="1698">
        <v>58.61</v>
      </c>
      <c r="AA27" s="1699">
        <v>59.45</v>
      </c>
      <c r="AB27" s="1699">
        <v>60.29</v>
      </c>
      <c r="AC27" s="1699">
        <v>61.12</v>
      </c>
      <c r="AD27" s="1699">
        <v>61.96</v>
      </c>
      <c r="AE27" s="1699">
        <v>62.8</v>
      </c>
      <c r="AF27" s="1700">
        <v>51.54</v>
      </c>
      <c r="AG27" s="1700">
        <v>52.38</v>
      </c>
      <c r="AH27" s="1700">
        <v>53.21</v>
      </c>
      <c r="AI27" s="1700">
        <v>54.05</v>
      </c>
      <c r="AJ27" s="1701">
        <v>54.89</v>
      </c>
      <c r="AK27" s="1701">
        <v>55.72</v>
      </c>
      <c r="AL27" s="1701">
        <v>56.56</v>
      </c>
      <c r="AM27" s="1701">
        <v>57.4</v>
      </c>
      <c r="AN27" s="1701">
        <v>58.24</v>
      </c>
      <c r="AO27" s="1702">
        <v>59.07</v>
      </c>
      <c r="AP27" s="1700">
        <v>59.91</v>
      </c>
      <c r="AQ27" s="1700">
        <v>60.75</v>
      </c>
      <c r="AR27" s="1683">
        <v>61.59</v>
      </c>
      <c r="AS27" s="1700">
        <v>62.42</v>
      </c>
      <c r="AT27" s="1700">
        <v>63.26</v>
      </c>
      <c r="AU27" s="1700">
        <v>64.099999999999994</v>
      </c>
      <c r="AV27" s="1700">
        <v>64.930000000000007</v>
      </c>
      <c r="AW27" s="1700">
        <v>65.77</v>
      </c>
      <c r="AX27" s="1700">
        <v>66.61</v>
      </c>
      <c r="AY27" s="1700">
        <v>67.45</v>
      </c>
      <c r="AZ27" s="1700">
        <v>68.28</v>
      </c>
      <c r="BA27" s="1700">
        <v>69.12</v>
      </c>
      <c r="BB27" s="1700">
        <v>69.959999999999994</v>
      </c>
      <c r="BC27" s="1700">
        <v>70.790000000000006</v>
      </c>
      <c r="BD27" s="1700">
        <v>71.63</v>
      </c>
      <c r="BE27" s="1700">
        <v>72.47</v>
      </c>
      <c r="BF27" s="1700">
        <v>73.31</v>
      </c>
      <c r="BG27" s="1700">
        <v>74.14</v>
      </c>
      <c r="BH27" s="1700">
        <v>74.98</v>
      </c>
      <c r="BI27" s="1700">
        <v>75.819999999999993</v>
      </c>
      <c r="BJ27" s="1700">
        <v>76.650000000000006</v>
      </c>
      <c r="BK27" s="1700">
        <v>77.489999999999995</v>
      </c>
      <c r="BL27" s="1700">
        <v>78.33</v>
      </c>
      <c r="BM27" s="1700">
        <v>79.17</v>
      </c>
      <c r="BN27" s="1700"/>
      <c r="BO27" s="1703">
        <v>23</v>
      </c>
      <c r="BP27" s="1693">
        <v>27.53</v>
      </c>
      <c r="BQ27" s="1693">
        <v>28.12</v>
      </c>
      <c r="BR27" s="1693">
        <v>28.71</v>
      </c>
      <c r="BS27" s="1693">
        <v>29.3</v>
      </c>
      <c r="BT27" s="1693">
        <v>29.89</v>
      </c>
      <c r="BU27" s="1694">
        <v>30.48</v>
      </c>
      <c r="BV27" s="1694">
        <v>31.07</v>
      </c>
      <c r="BW27" s="1694">
        <v>31.66</v>
      </c>
      <c r="BX27" s="1695">
        <v>32.25</v>
      </c>
      <c r="BY27" s="1696">
        <v>32.85</v>
      </c>
      <c r="BZ27" s="1696">
        <v>33.44</v>
      </c>
      <c r="CA27" s="1695">
        <v>34.03</v>
      </c>
      <c r="CB27" s="1695">
        <v>34.619999999999997</v>
      </c>
      <c r="CC27" s="1704">
        <v>35.21</v>
      </c>
      <c r="CD27" s="1697">
        <v>35.799999999999997</v>
      </c>
      <c r="CE27" s="1698">
        <v>36.39</v>
      </c>
      <c r="CF27" s="1699">
        <v>36.979999999999997</v>
      </c>
      <c r="CG27" s="1699">
        <v>37.57</v>
      </c>
      <c r="CH27" s="1699">
        <v>38.17</v>
      </c>
      <c r="CI27" s="1699">
        <v>38.76</v>
      </c>
      <c r="CJ27" s="1699">
        <v>39.35</v>
      </c>
      <c r="CK27" s="1700">
        <v>33.9</v>
      </c>
      <c r="CL27" s="1700">
        <v>34.49</v>
      </c>
      <c r="CM27" s="1700">
        <v>35.08</v>
      </c>
      <c r="CN27" s="1700">
        <v>35.67</v>
      </c>
      <c r="CO27" s="1705">
        <v>36.26</v>
      </c>
      <c r="CP27" s="1706">
        <v>36.85</v>
      </c>
      <c r="CQ27" s="1701">
        <v>37.450000000000003</v>
      </c>
      <c r="CR27" s="1701">
        <v>38.04</v>
      </c>
      <c r="CS27" s="1707">
        <v>38.630000000000003</v>
      </c>
      <c r="CT27" s="1700">
        <v>39.22</v>
      </c>
      <c r="CU27" s="1700">
        <v>39.81</v>
      </c>
      <c r="CV27" s="1700">
        <v>40.4</v>
      </c>
      <c r="CW27" s="1700">
        <v>40.99</v>
      </c>
      <c r="CX27" s="1700">
        <v>41.58</v>
      </c>
      <c r="CY27" s="1700">
        <v>42.17</v>
      </c>
      <c r="CZ27" s="1700">
        <v>42.77</v>
      </c>
      <c r="DA27" s="1700">
        <v>43.36</v>
      </c>
      <c r="DB27" s="1700">
        <v>43.95</v>
      </c>
      <c r="DC27" s="1700">
        <v>44.54</v>
      </c>
      <c r="DD27" s="1700">
        <v>45.13</v>
      </c>
      <c r="DE27" s="1700">
        <v>45.72</v>
      </c>
      <c r="DF27" s="1700">
        <v>46.31</v>
      </c>
      <c r="DG27" s="1700">
        <v>46.9</v>
      </c>
      <c r="DH27" s="1700">
        <v>47.49</v>
      </c>
      <c r="DI27" s="1700">
        <v>48.08</v>
      </c>
      <c r="DJ27" s="1700">
        <v>48.68</v>
      </c>
      <c r="DK27" s="1700">
        <v>49.27</v>
      </c>
      <c r="DL27" s="1700">
        <v>49.86</v>
      </c>
      <c r="DM27" s="1700">
        <v>50.45</v>
      </c>
      <c r="DN27" s="1700">
        <v>51.04</v>
      </c>
      <c r="DO27" s="1700">
        <v>51.63</v>
      </c>
      <c r="DP27" s="1700">
        <v>52.22</v>
      </c>
      <c r="DQ27" s="1700">
        <v>52.81</v>
      </c>
      <c r="DR27" s="1700">
        <v>53.4</v>
      </c>
      <c r="DS27" s="1700"/>
      <c r="DT27" s="1700"/>
      <c r="DU27" s="1700"/>
      <c r="DV27" s="1700"/>
      <c r="DW27" s="1700"/>
      <c r="DX27" s="1700"/>
    </row>
    <row r="28" spans="1:128">
      <c r="A28" s="1622"/>
      <c r="B28" s="1691">
        <f t="shared" si="4"/>
        <v>24</v>
      </c>
      <c r="C28" s="1668" t="str">
        <f t="shared" si="1"/>
        <v>65.48</v>
      </c>
      <c r="D28" s="1672">
        <f t="shared" si="2"/>
        <v>91.67</v>
      </c>
      <c r="E28" s="1670"/>
      <c r="F28" s="1671" t="str">
        <f t="shared" si="3"/>
        <v>41.03</v>
      </c>
      <c r="G28" s="1672">
        <f t="shared" si="0"/>
        <v>57.44</v>
      </c>
      <c r="H28" s="1670"/>
      <c r="I28" s="1670"/>
      <c r="J28" s="1708">
        <v>24</v>
      </c>
      <c r="K28" s="1693">
        <v>48.01</v>
      </c>
      <c r="L28" s="1693">
        <v>48.88</v>
      </c>
      <c r="M28" s="1693">
        <v>49.75</v>
      </c>
      <c r="N28" s="1693">
        <v>50.63</v>
      </c>
      <c r="O28" s="1693">
        <v>51.5</v>
      </c>
      <c r="P28" s="1694">
        <v>52.38</v>
      </c>
      <c r="Q28" s="1694">
        <v>53.25</v>
      </c>
      <c r="R28" s="1694">
        <v>54.12</v>
      </c>
      <c r="S28" s="1695">
        <v>55</v>
      </c>
      <c r="T28" s="1696">
        <v>55.87</v>
      </c>
      <c r="U28" s="1696">
        <v>56.74</v>
      </c>
      <c r="V28" s="1695">
        <v>57.62</v>
      </c>
      <c r="W28" s="1695">
        <v>58.49</v>
      </c>
      <c r="X28" s="1695">
        <v>59.36</v>
      </c>
      <c r="Y28" s="1697">
        <v>60.24</v>
      </c>
      <c r="Z28" s="1698">
        <v>61.11</v>
      </c>
      <c r="AA28" s="1699">
        <v>61.98</v>
      </c>
      <c r="AB28" s="1699">
        <v>62.86</v>
      </c>
      <c r="AC28" s="1699">
        <v>63.73</v>
      </c>
      <c r="AD28" s="1699">
        <v>64.61</v>
      </c>
      <c r="AE28" s="1699">
        <v>65.48</v>
      </c>
      <c r="AF28" s="1700">
        <v>53.75</v>
      </c>
      <c r="AG28" s="1700">
        <v>54.62</v>
      </c>
      <c r="AH28" s="1700">
        <v>55.5</v>
      </c>
      <c r="AI28" s="1700">
        <v>56.37</v>
      </c>
      <c r="AJ28" s="1701">
        <v>57.25</v>
      </c>
      <c r="AK28" s="1701">
        <v>58.12</v>
      </c>
      <c r="AL28" s="1701">
        <v>58.99</v>
      </c>
      <c r="AM28" s="1701">
        <v>59.87</v>
      </c>
      <c r="AN28" s="1701">
        <v>60.74</v>
      </c>
      <c r="AO28" s="1702">
        <v>61.61</v>
      </c>
      <c r="AP28" s="1700">
        <v>62.49</v>
      </c>
      <c r="AQ28" s="1700">
        <v>63.36</v>
      </c>
      <c r="AR28" s="1700">
        <v>64.23</v>
      </c>
      <c r="AS28" s="1700">
        <v>65.11</v>
      </c>
      <c r="AT28" s="1700">
        <v>65.98</v>
      </c>
      <c r="AU28" s="1700">
        <v>66.849999999999994</v>
      </c>
      <c r="AV28" s="1700">
        <v>67.73</v>
      </c>
      <c r="AW28" s="1700">
        <v>68.599999999999994</v>
      </c>
      <c r="AX28" s="1700">
        <v>69.48</v>
      </c>
      <c r="AY28" s="1700">
        <v>70.349999999999994</v>
      </c>
      <c r="AZ28" s="1700">
        <v>71.22</v>
      </c>
      <c r="BA28" s="1700">
        <v>72.099999999999994</v>
      </c>
      <c r="BB28" s="1683">
        <v>72.97</v>
      </c>
      <c r="BC28" s="1700">
        <v>73.84</v>
      </c>
      <c r="BD28" s="1683">
        <v>74.72</v>
      </c>
      <c r="BE28" s="1700">
        <v>75.59</v>
      </c>
      <c r="BF28" s="1700">
        <v>76.459999999999994</v>
      </c>
      <c r="BG28" s="1700">
        <v>77.34</v>
      </c>
      <c r="BH28" s="1700">
        <v>78.209999999999994</v>
      </c>
      <c r="BI28" s="1700">
        <v>79.09</v>
      </c>
      <c r="BJ28" s="1700">
        <v>79.959999999999994</v>
      </c>
      <c r="BK28" s="1700">
        <v>80.83</v>
      </c>
      <c r="BL28" s="1700">
        <v>81.709999999999994</v>
      </c>
      <c r="BM28" s="1700">
        <v>82.58</v>
      </c>
      <c r="BN28" s="1700"/>
      <c r="BO28" s="1703">
        <v>24</v>
      </c>
      <c r="BP28" s="1693">
        <v>28.69</v>
      </c>
      <c r="BQ28" s="1693">
        <v>29.31</v>
      </c>
      <c r="BR28" s="1693">
        <v>29.93</v>
      </c>
      <c r="BS28" s="1693">
        <v>30.54</v>
      </c>
      <c r="BT28" s="1693">
        <v>31.16</v>
      </c>
      <c r="BU28" s="1694">
        <v>31.78</v>
      </c>
      <c r="BV28" s="1694">
        <v>32.39</v>
      </c>
      <c r="BW28" s="1694">
        <v>33.01</v>
      </c>
      <c r="BX28" s="1695">
        <v>33.630000000000003</v>
      </c>
      <c r="BY28" s="1696">
        <v>34.24</v>
      </c>
      <c r="BZ28" s="1696">
        <v>34.86</v>
      </c>
      <c r="CA28" s="1695">
        <v>35.479999999999997</v>
      </c>
      <c r="CB28" s="1695">
        <v>36.090000000000003</v>
      </c>
      <c r="CC28" s="1704">
        <v>36.71</v>
      </c>
      <c r="CD28" s="1697">
        <v>37.33</v>
      </c>
      <c r="CE28" s="1698">
        <v>37.94</v>
      </c>
      <c r="CF28" s="1699">
        <v>38.56</v>
      </c>
      <c r="CG28" s="1699">
        <v>39.18</v>
      </c>
      <c r="CH28" s="1699">
        <v>39.79</v>
      </c>
      <c r="CI28" s="1699">
        <v>40.409999999999997</v>
      </c>
      <c r="CJ28" s="1699">
        <v>41.03</v>
      </c>
      <c r="CK28" s="1700">
        <v>35.35</v>
      </c>
      <c r="CL28" s="1700">
        <v>35.97</v>
      </c>
      <c r="CM28" s="1700">
        <v>36.590000000000003</v>
      </c>
      <c r="CN28" s="1700">
        <v>37.200000000000003</v>
      </c>
      <c r="CO28" s="1705">
        <v>37.82</v>
      </c>
      <c r="CP28" s="1706">
        <v>38.44</v>
      </c>
      <c r="CQ28" s="1701">
        <v>39.049999999999997</v>
      </c>
      <c r="CR28" s="1701">
        <v>39.67</v>
      </c>
      <c r="CS28" s="1707">
        <v>40.29</v>
      </c>
      <c r="CT28" s="1700">
        <v>40.909999999999997</v>
      </c>
      <c r="CU28" s="1700">
        <v>41.52</v>
      </c>
      <c r="CV28" s="1700">
        <v>42.14</v>
      </c>
      <c r="CW28" s="1700">
        <v>42.76</v>
      </c>
      <c r="CX28" s="1700">
        <v>43.37</v>
      </c>
      <c r="CY28" s="1700">
        <v>43.99</v>
      </c>
      <c r="CZ28" s="1700">
        <v>44.61</v>
      </c>
      <c r="DA28" s="1700">
        <v>45.22</v>
      </c>
      <c r="DB28" s="1700">
        <v>45.84</v>
      </c>
      <c r="DC28" s="1700">
        <v>46.46</v>
      </c>
      <c r="DD28" s="1700">
        <v>47.07</v>
      </c>
      <c r="DE28" s="1700">
        <v>47.69</v>
      </c>
      <c r="DF28" s="1700">
        <v>48.31</v>
      </c>
      <c r="DG28" s="1700">
        <v>48.92</v>
      </c>
      <c r="DH28" s="1700">
        <v>49.54</v>
      </c>
      <c r="DI28" s="1700">
        <v>50.16</v>
      </c>
      <c r="DJ28" s="1700">
        <v>50.77</v>
      </c>
      <c r="DK28" s="1700">
        <v>51.39</v>
      </c>
      <c r="DL28" s="1700">
        <v>52.01</v>
      </c>
      <c r="DM28" s="1700">
        <v>52.62</v>
      </c>
      <c r="DN28" s="1700">
        <v>53.24</v>
      </c>
      <c r="DO28" s="1700">
        <v>53.86</v>
      </c>
      <c r="DP28" s="1700">
        <v>54.47</v>
      </c>
      <c r="DQ28" s="1700">
        <v>55.09</v>
      </c>
      <c r="DR28" s="1700">
        <v>55.71</v>
      </c>
      <c r="DS28" s="1700"/>
      <c r="DT28" s="1700"/>
      <c r="DU28" s="1700"/>
      <c r="DV28" s="1700"/>
      <c r="DW28" s="1700"/>
      <c r="DX28" s="1700"/>
    </row>
    <row r="29" spans="1:128">
      <c r="A29" s="1622"/>
      <c r="B29" s="1691">
        <f t="shared" si="4"/>
        <v>25</v>
      </c>
      <c r="C29" s="1668" t="str">
        <f t="shared" si="1"/>
        <v>68.16</v>
      </c>
      <c r="D29" s="1672">
        <f t="shared" si="2"/>
        <v>95.42</v>
      </c>
      <c r="E29" s="1670"/>
      <c r="F29" s="1671" t="str">
        <f t="shared" si="3"/>
        <v>42.71</v>
      </c>
      <c r="G29" s="1672">
        <f t="shared" si="0"/>
        <v>59.79</v>
      </c>
      <c r="H29" s="1670"/>
      <c r="I29" s="1670"/>
      <c r="J29" s="1708">
        <v>25</v>
      </c>
      <c r="K29" s="1693">
        <v>49.96</v>
      </c>
      <c r="L29" s="1693">
        <v>50.87</v>
      </c>
      <c r="M29" s="1693">
        <v>51.78</v>
      </c>
      <c r="N29" s="1693">
        <v>52.69</v>
      </c>
      <c r="O29" s="1693">
        <v>53.6</v>
      </c>
      <c r="P29" s="1694">
        <v>54.51</v>
      </c>
      <c r="Q29" s="1694">
        <v>55.42</v>
      </c>
      <c r="R29" s="1694">
        <v>56.33</v>
      </c>
      <c r="S29" s="1695">
        <v>57.24</v>
      </c>
      <c r="T29" s="1696">
        <v>58.15</v>
      </c>
      <c r="U29" s="1696">
        <v>59.06</v>
      </c>
      <c r="V29" s="1695">
        <v>59.97</v>
      </c>
      <c r="W29" s="1695">
        <v>60.88</v>
      </c>
      <c r="X29" s="1695">
        <v>61.79</v>
      </c>
      <c r="Y29" s="1697">
        <v>62.7</v>
      </c>
      <c r="Z29" s="1698">
        <v>63.61</v>
      </c>
      <c r="AA29" s="1699">
        <v>64.52</v>
      </c>
      <c r="AB29" s="1699">
        <v>65.430000000000007</v>
      </c>
      <c r="AC29" s="1699">
        <v>66.34</v>
      </c>
      <c r="AD29" s="1699">
        <v>67.25</v>
      </c>
      <c r="AE29" s="1699">
        <v>68.16</v>
      </c>
      <c r="AF29" s="1683">
        <v>55.96</v>
      </c>
      <c r="AG29" s="1683">
        <v>56.87</v>
      </c>
      <c r="AH29" s="1683">
        <v>57.78</v>
      </c>
      <c r="AI29" s="1683">
        <v>58.69</v>
      </c>
      <c r="AJ29" s="1701">
        <v>59.6</v>
      </c>
      <c r="AK29" s="1701">
        <v>60.51</v>
      </c>
      <c r="AL29" s="1701">
        <v>61.42</v>
      </c>
      <c r="AM29" s="1701">
        <v>62.33</v>
      </c>
      <c r="AN29" s="1701">
        <v>63.24</v>
      </c>
      <c r="AO29" s="1702">
        <v>64.150000000000006</v>
      </c>
      <c r="AP29" s="1700">
        <v>65.06</v>
      </c>
      <c r="AQ29" s="1700">
        <v>65.97</v>
      </c>
      <c r="AR29" s="1683">
        <v>66.88</v>
      </c>
      <c r="AS29" s="1700">
        <v>67.790000000000006</v>
      </c>
      <c r="AT29" s="1683">
        <v>68.7</v>
      </c>
      <c r="AU29" s="1700">
        <v>69.61</v>
      </c>
      <c r="AV29" s="1683">
        <v>70.52</v>
      </c>
      <c r="AW29" s="1683">
        <v>71.430000000000007</v>
      </c>
      <c r="AX29" s="1683">
        <v>72.34</v>
      </c>
      <c r="AY29" s="1683">
        <v>73.25</v>
      </c>
      <c r="AZ29" s="1683">
        <v>74.16</v>
      </c>
      <c r="BA29" s="1683">
        <v>75.069999999999993</v>
      </c>
      <c r="BB29" s="1700">
        <v>75.98</v>
      </c>
      <c r="BC29" s="1683">
        <v>76.89</v>
      </c>
      <c r="BD29" s="1700">
        <v>77.8</v>
      </c>
      <c r="BE29" s="1683">
        <v>78.709999999999994</v>
      </c>
      <c r="BF29" s="1683">
        <v>79.62</v>
      </c>
      <c r="BG29" s="1683">
        <v>80.53</v>
      </c>
      <c r="BH29" s="1683">
        <v>81.44</v>
      </c>
      <c r="BI29" s="1683">
        <v>82.35</v>
      </c>
      <c r="BJ29" s="1683">
        <v>83.26</v>
      </c>
      <c r="BK29" s="1683">
        <v>84.17</v>
      </c>
      <c r="BL29" s="1683">
        <v>85.08</v>
      </c>
      <c r="BM29" s="1683">
        <v>85.99</v>
      </c>
      <c r="BN29" s="1683"/>
      <c r="BO29" s="1703">
        <v>25</v>
      </c>
      <c r="BP29" s="1693">
        <v>29.86</v>
      </c>
      <c r="BQ29" s="1693">
        <v>30.51</v>
      </c>
      <c r="BR29" s="1693">
        <v>31.15</v>
      </c>
      <c r="BS29" s="1693">
        <v>31.79</v>
      </c>
      <c r="BT29" s="1693">
        <v>32.43</v>
      </c>
      <c r="BU29" s="1694">
        <v>33.08</v>
      </c>
      <c r="BV29" s="1694">
        <v>33.72</v>
      </c>
      <c r="BW29" s="1694">
        <v>34.36</v>
      </c>
      <c r="BX29" s="1695">
        <v>35</v>
      </c>
      <c r="BY29" s="1696">
        <v>35.65</v>
      </c>
      <c r="BZ29" s="1696">
        <v>36.29</v>
      </c>
      <c r="CA29" s="1695">
        <v>36.93</v>
      </c>
      <c r="CB29" s="1695">
        <v>37.57</v>
      </c>
      <c r="CC29" s="1704">
        <v>38.22</v>
      </c>
      <c r="CD29" s="1697">
        <v>38.86</v>
      </c>
      <c r="CE29" s="1698">
        <v>39.5</v>
      </c>
      <c r="CF29" s="1699">
        <v>40.14</v>
      </c>
      <c r="CG29" s="1699">
        <v>40.79</v>
      </c>
      <c r="CH29" s="1699">
        <v>41.43</v>
      </c>
      <c r="CI29" s="1699">
        <v>42.07</v>
      </c>
      <c r="CJ29" s="1699">
        <v>42.71</v>
      </c>
      <c r="CK29" s="1700">
        <v>36.81</v>
      </c>
      <c r="CL29" s="1700">
        <v>37.450000000000003</v>
      </c>
      <c r="CM29" s="1700">
        <v>38.1</v>
      </c>
      <c r="CN29" s="1700">
        <v>38.74</v>
      </c>
      <c r="CO29" s="1705">
        <v>39.380000000000003</v>
      </c>
      <c r="CP29" s="1706">
        <v>40.020000000000003</v>
      </c>
      <c r="CQ29" s="1701">
        <v>40.67</v>
      </c>
      <c r="CR29" s="1701">
        <v>41.31</v>
      </c>
      <c r="CS29" s="1707">
        <v>41.95</v>
      </c>
      <c r="CT29" s="1700">
        <v>42.59</v>
      </c>
      <c r="CU29" s="1700">
        <v>43.24</v>
      </c>
      <c r="CV29" s="1700">
        <v>43.88</v>
      </c>
      <c r="CW29" s="1700">
        <v>44.52</v>
      </c>
      <c r="CX29" s="1700">
        <v>45.16</v>
      </c>
      <c r="CY29" s="1700">
        <v>45.81</v>
      </c>
      <c r="CZ29" s="1700">
        <v>46.45</v>
      </c>
      <c r="DA29" s="1700">
        <v>47.09</v>
      </c>
      <c r="DB29" s="1700">
        <v>47.73</v>
      </c>
      <c r="DC29" s="1700">
        <v>48.38</v>
      </c>
      <c r="DD29" s="1700">
        <v>49.02</v>
      </c>
      <c r="DE29" s="1700">
        <v>49.66</v>
      </c>
      <c r="DF29" s="1700">
        <v>50.3</v>
      </c>
      <c r="DG29" s="1700">
        <v>50.95</v>
      </c>
      <c r="DH29" s="1700">
        <v>51.59</v>
      </c>
      <c r="DI29" s="1700">
        <v>52.23</v>
      </c>
      <c r="DJ29" s="1700">
        <v>52.87</v>
      </c>
      <c r="DK29" s="1700">
        <v>53.52</v>
      </c>
      <c r="DL29" s="1700">
        <v>54.16</v>
      </c>
      <c r="DM29" s="1700">
        <v>54.8</v>
      </c>
      <c r="DN29" s="1700">
        <v>55.44</v>
      </c>
      <c r="DO29" s="1700">
        <v>56.09</v>
      </c>
      <c r="DP29" s="1700">
        <v>56.73</v>
      </c>
      <c r="DQ29" s="1700">
        <v>57.37</v>
      </c>
      <c r="DR29" s="1700">
        <v>58.01</v>
      </c>
      <c r="DS29" s="1700"/>
      <c r="DT29" s="1700"/>
      <c r="DU29" s="1700"/>
      <c r="DV29" s="1700"/>
      <c r="DW29" s="1700"/>
      <c r="DX29" s="1700"/>
    </row>
    <row r="30" spans="1:128">
      <c r="A30" s="1622"/>
      <c r="B30" s="1691">
        <f t="shared" si="4"/>
        <v>26</v>
      </c>
      <c r="C30" s="1668" t="str">
        <f t="shared" si="1"/>
        <v>70.83</v>
      </c>
      <c r="D30" s="1672">
        <f t="shared" si="2"/>
        <v>99.16</v>
      </c>
      <c r="E30" s="1670"/>
      <c r="F30" s="1671" t="str">
        <f t="shared" si="3"/>
        <v>44.39</v>
      </c>
      <c r="G30" s="1672">
        <f t="shared" si="0"/>
        <v>62.15</v>
      </c>
      <c r="H30" s="1670"/>
      <c r="I30" s="1670"/>
      <c r="J30" s="1708">
        <v>26</v>
      </c>
      <c r="K30" s="1693">
        <v>51.9</v>
      </c>
      <c r="L30" s="1693">
        <v>52.85</v>
      </c>
      <c r="M30" s="1693">
        <v>53.8</v>
      </c>
      <c r="N30" s="1693">
        <v>54.74</v>
      </c>
      <c r="O30" s="1693">
        <v>55.69</v>
      </c>
      <c r="P30" s="1694">
        <v>56.64</v>
      </c>
      <c r="Q30" s="1694">
        <v>57.58</v>
      </c>
      <c r="R30" s="1694">
        <v>58.53</v>
      </c>
      <c r="S30" s="1695">
        <v>59.48</v>
      </c>
      <c r="T30" s="1696">
        <v>60.42</v>
      </c>
      <c r="U30" s="1696">
        <v>61.37</v>
      </c>
      <c r="V30" s="1695">
        <v>62.31</v>
      </c>
      <c r="W30" s="1695">
        <v>63.26</v>
      </c>
      <c r="X30" s="1695">
        <v>64.209999999999994</v>
      </c>
      <c r="Y30" s="1697">
        <v>65.150000000000006</v>
      </c>
      <c r="Z30" s="1698">
        <v>66.099999999999994</v>
      </c>
      <c r="AA30" s="1699">
        <v>67.05</v>
      </c>
      <c r="AB30" s="1699">
        <v>67.989999999999995</v>
      </c>
      <c r="AC30" s="1699">
        <v>68.94</v>
      </c>
      <c r="AD30" s="1699">
        <v>69.89</v>
      </c>
      <c r="AE30" s="1699">
        <v>70.83</v>
      </c>
      <c r="AF30" s="1700">
        <v>58.17</v>
      </c>
      <c r="AG30" s="1700">
        <v>59.12</v>
      </c>
      <c r="AH30" s="1700">
        <v>60.06</v>
      </c>
      <c r="AI30" s="1700">
        <v>61.01</v>
      </c>
      <c r="AJ30" s="1701">
        <v>61.96</v>
      </c>
      <c r="AK30" s="1701">
        <v>62.9</v>
      </c>
      <c r="AL30" s="1701">
        <v>63.85</v>
      </c>
      <c r="AM30" s="1701">
        <v>64.790000000000006</v>
      </c>
      <c r="AN30" s="1701">
        <v>65.739999999999995</v>
      </c>
      <c r="AO30" s="1702">
        <v>66.69</v>
      </c>
      <c r="AP30" s="1700">
        <v>67.63</v>
      </c>
      <c r="AQ30" s="1700">
        <v>68.58</v>
      </c>
      <c r="AR30" s="1700">
        <v>69.53</v>
      </c>
      <c r="AS30" s="1700">
        <v>70.47</v>
      </c>
      <c r="AT30" s="1700">
        <v>71.42</v>
      </c>
      <c r="AU30" s="1700">
        <v>72.37</v>
      </c>
      <c r="AV30" s="1700">
        <v>73.31</v>
      </c>
      <c r="AW30" s="1700">
        <v>74.260000000000005</v>
      </c>
      <c r="AX30" s="1700">
        <v>75.2</v>
      </c>
      <c r="AY30" s="1700">
        <v>76.150000000000006</v>
      </c>
      <c r="AZ30" s="1700">
        <v>77.099999999999994</v>
      </c>
      <c r="BA30" s="1700">
        <v>78.040000000000006</v>
      </c>
      <c r="BB30" s="1700">
        <v>78.989999999999995</v>
      </c>
      <c r="BC30" s="1700">
        <v>79.94</v>
      </c>
      <c r="BD30" s="1700">
        <v>80.88</v>
      </c>
      <c r="BE30" s="1700">
        <v>81.83</v>
      </c>
      <c r="BF30" s="1700">
        <v>82.78</v>
      </c>
      <c r="BG30" s="1700">
        <v>83.72</v>
      </c>
      <c r="BH30" s="1700">
        <v>84.67</v>
      </c>
      <c r="BI30" s="1700">
        <v>85.62</v>
      </c>
      <c r="BJ30" s="1700">
        <v>86.56</v>
      </c>
      <c r="BK30" s="1700">
        <v>87.51</v>
      </c>
      <c r="BL30" s="1700">
        <v>88.45</v>
      </c>
      <c r="BM30" s="1700">
        <v>89.4</v>
      </c>
      <c r="BN30" s="1700"/>
      <c r="BO30" s="1703">
        <v>26</v>
      </c>
      <c r="BP30" s="1693">
        <v>31.03</v>
      </c>
      <c r="BQ30" s="1693">
        <v>31.7</v>
      </c>
      <c r="BR30" s="1693">
        <v>32.369999999999997</v>
      </c>
      <c r="BS30" s="1693">
        <v>33.04</v>
      </c>
      <c r="BT30" s="1693">
        <v>33.700000000000003</v>
      </c>
      <c r="BU30" s="1694">
        <v>34.369999999999997</v>
      </c>
      <c r="BV30" s="1694">
        <v>35.04</v>
      </c>
      <c r="BW30" s="1694">
        <v>35.71</v>
      </c>
      <c r="BX30" s="1695">
        <v>36.380000000000003</v>
      </c>
      <c r="BY30" s="1696">
        <v>37.04</v>
      </c>
      <c r="BZ30" s="1696">
        <v>37.71</v>
      </c>
      <c r="CA30" s="1695">
        <v>38.380000000000003</v>
      </c>
      <c r="CB30" s="1695">
        <v>39.049999999999997</v>
      </c>
      <c r="CC30" s="1704">
        <v>39.72</v>
      </c>
      <c r="CD30" s="1697">
        <v>40.39</v>
      </c>
      <c r="CE30" s="1698">
        <v>41.05</v>
      </c>
      <c r="CF30" s="1699">
        <v>41.72</v>
      </c>
      <c r="CG30" s="1699">
        <v>42.39</v>
      </c>
      <c r="CH30" s="1699">
        <v>43.06</v>
      </c>
      <c r="CI30" s="1699">
        <v>43.73</v>
      </c>
      <c r="CJ30" s="1699">
        <v>44.39</v>
      </c>
      <c r="CK30" s="1700">
        <v>38.270000000000003</v>
      </c>
      <c r="CL30" s="1700">
        <v>38.94</v>
      </c>
      <c r="CM30" s="1700">
        <v>39.6</v>
      </c>
      <c r="CN30" s="1700">
        <v>40.270000000000003</v>
      </c>
      <c r="CO30" s="1705">
        <v>40.94</v>
      </c>
      <c r="CP30" s="1706">
        <v>41.61</v>
      </c>
      <c r="CQ30" s="1701">
        <v>42.28</v>
      </c>
      <c r="CR30" s="1701">
        <v>42.94</v>
      </c>
      <c r="CS30" s="1707">
        <v>43.61</v>
      </c>
      <c r="CT30" s="1700">
        <v>44.28</v>
      </c>
      <c r="CU30" s="1700">
        <v>44.95</v>
      </c>
      <c r="CV30" s="1700">
        <v>45.62</v>
      </c>
      <c r="CW30" s="1700">
        <v>46.29</v>
      </c>
      <c r="CX30" s="1700">
        <v>46.95</v>
      </c>
      <c r="CY30" s="1700">
        <v>47.62</v>
      </c>
      <c r="CZ30" s="1700">
        <v>48.29</v>
      </c>
      <c r="DA30" s="1700">
        <v>48.96</v>
      </c>
      <c r="DB30" s="1700">
        <v>49.63</v>
      </c>
      <c r="DC30" s="1700">
        <v>50.29</v>
      </c>
      <c r="DD30" s="1700">
        <v>50.96</v>
      </c>
      <c r="DE30" s="1700">
        <v>51.63</v>
      </c>
      <c r="DF30" s="1700">
        <v>52.3</v>
      </c>
      <c r="DG30" s="1700">
        <v>52.97</v>
      </c>
      <c r="DH30" s="1700">
        <v>53.64</v>
      </c>
      <c r="DI30" s="1700">
        <v>54.3</v>
      </c>
      <c r="DJ30" s="1700">
        <v>54.97</v>
      </c>
      <c r="DK30" s="1700">
        <v>55.64</v>
      </c>
      <c r="DL30" s="1700">
        <v>56.31</v>
      </c>
      <c r="DM30" s="1700">
        <v>56.98</v>
      </c>
      <c r="DN30" s="1700">
        <v>57.65</v>
      </c>
      <c r="DO30" s="1700">
        <v>58.31</v>
      </c>
      <c r="DP30" s="1700">
        <v>58.98</v>
      </c>
      <c r="DQ30" s="1700">
        <v>59.65</v>
      </c>
      <c r="DR30" s="1700">
        <v>60.32</v>
      </c>
      <c r="DS30" s="1700"/>
      <c r="DT30" s="1700"/>
      <c r="DU30" s="1700"/>
      <c r="DV30" s="1700"/>
      <c r="DW30" s="1700"/>
      <c r="DX30" s="1700"/>
    </row>
    <row r="31" spans="1:128">
      <c r="A31" s="1622"/>
      <c r="B31" s="1691">
        <f t="shared" si="4"/>
        <v>27</v>
      </c>
      <c r="C31" s="1668" t="str">
        <f t="shared" si="1"/>
        <v>73.51</v>
      </c>
      <c r="D31" s="1672">
        <f t="shared" si="2"/>
        <v>102.91</v>
      </c>
      <c r="E31" s="1670"/>
      <c r="F31" s="1671" t="str">
        <f t="shared" si="3"/>
        <v>46.08</v>
      </c>
      <c r="G31" s="1672">
        <f t="shared" si="0"/>
        <v>64.510000000000005</v>
      </c>
      <c r="H31" s="1670"/>
      <c r="I31" s="1670"/>
      <c r="J31" s="1708">
        <v>27</v>
      </c>
      <c r="K31" s="1693">
        <v>53.85</v>
      </c>
      <c r="L31" s="1693">
        <v>54.84</v>
      </c>
      <c r="M31" s="1693">
        <v>55.82</v>
      </c>
      <c r="N31" s="1693">
        <v>56.8</v>
      </c>
      <c r="O31" s="1693">
        <v>57.78</v>
      </c>
      <c r="P31" s="1694">
        <v>58.77</v>
      </c>
      <c r="Q31" s="1694">
        <v>59.75</v>
      </c>
      <c r="R31" s="1694">
        <v>60.73</v>
      </c>
      <c r="S31" s="1695">
        <v>61.72</v>
      </c>
      <c r="T31" s="1696">
        <v>62.7</v>
      </c>
      <c r="U31" s="1696">
        <v>63.68</v>
      </c>
      <c r="V31" s="1695">
        <v>64.66</v>
      </c>
      <c r="W31" s="1695">
        <v>65.650000000000006</v>
      </c>
      <c r="X31" s="1695">
        <v>66.63</v>
      </c>
      <c r="Y31" s="1697">
        <v>67.61</v>
      </c>
      <c r="Z31" s="1698">
        <v>68.599999999999994</v>
      </c>
      <c r="AA31" s="1699">
        <v>69.58</v>
      </c>
      <c r="AB31" s="1699">
        <v>70.56</v>
      </c>
      <c r="AC31" s="1699">
        <v>71.540000000000006</v>
      </c>
      <c r="AD31" s="1699">
        <v>72.53</v>
      </c>
      <c r="AE31" s="1699">
        <v>73.510000000000005</v>
      </c>
      <c r="AF31" s="1700">
        <v>60.38</v>
      </c>
      <c r="AG31" s="1700">
        <v>61.36</v>
      </c>
      <c r="AH31" s="1700">
        <v>62.35</v>
      </c>
      <c r="AI31" s="1700">
        <v>63.33</v>
      </c>
      <c r="AJ31" s="1701">
        <v>64.31</v>
      </c>
      <c r="AK31" s="1701">
        <v>65.290000000000006</v>
      </c>
      <c r="AL31" s="1701">
        <v>66.28</v>
      </c>
      <c r="AM31" s="1701">
        <v>67.260000000000005</v>
      </c>
      <c r="AN31" s="1701">
        <v>68.239999999999995</v>
      </c>
      <c r="AO31" s="1702">
        <v>69.22</v>
      </c>
      <c r="AP31" s="1700">
        <v>70.209999999999994</v>
      </c>
      <c r="AQ31" s="1700">
        <v>71.19</v>
      </c>
      <c r="AR31" s="1683">
        <v>72.17</v>
      </c>
      <c r="AS31" s="1700">
        <v>73.16</v>
      </c>
      <c r="AT31" s="1700">
        <v>74.14</v>
      </c>
      <c r="AU31" s="1700">
        <v>75.12</v>
      </c>
      <c r="AV31" s="1700">
        <v>76.099999999999994</v>
      </c>
      <c r="AW31" s="1700">
        <v>77.09</v>
      </c>
      <c r="AX31" s="1700">
        <v>78.069999999999993</v>
      </c>
      <c r="AY31" s="1700">
        <v>79.05</v>
      </c>
      <c r="AZ31" s="1700">
        <v>80.040000000000006</v>
      </c>
      <c r="BA31" s="1700">
        <v>81.02</v>
      </c>
      <c r="BB31" s="1683">
        <v>82</v>
      </c>
      <c r="BC31" s="1700">
        <v>82.98</v>
      </c>
      <c r="BD31" s="1683">
        <v>83.97</v>
      </c>
      <c r="BE31" s="1700">
        <v>84.95</v>
      </c>
      <c r="BF31" s="1700">
        <v>85.93</v>
      </c>
      <c r="BG31" s="1700">
        <v>86.92</v>
      </c>
      <c r="BH31" s="1700">
        <v>87.9</v>
      </c>
      <c r="BI31" s="1700">
        <v>88.88</v>
      </c>
      <c r="BJ31" s="1700">
        <v>89.86</v>
      </c>
      <c r="BK31" s="1700">
        <v>90.85</v>
      </c>
      <c r="BL31" s="1700">
        <v>91.83</v>
      </c>
      <c r="BM31" s="1700">
        <v>92.81</v>
      </c>
      <c r="BN31" s="1700"/>
      <c r="BO31" s="1703">
        <v>27</v>
      </c>
      <c r="BP31" s="1693">
        <v>32.200000000000003</v>
      </c>
      <c r="BQ31" s="1693">
        <v>32.9</v>
      </c>
      <c r="BR31" s="1693">
        <v>33.590000000000003</v>
      </c>
      <c r="BS31" s="1693">
        <v>34.28</v>
      </c>
      <c r="BT31" s="1693">
        <v>34.979999999999997</v>
      </c>
      <c r="BU31" s="1694">
        <v>35.67</v>
      </c>
      <c r="BV31" s="1694">
        <v>36.36</v>
      </c>
      <c r="BW31" s="1694">
        <v>37.06</v>
      </c>
      <c r="BX31" s="1695">
        <v>37.75</v>
      </c>
      <c r="BY31" s="1696">
        <v>38.450000000000003</v>
      </c>
      <c r="BZ31" s="1696">
        <v>39.14</v>
      </c>
      <c r="CA31" s="1695">
        <v>39.83</v>
      </c>
      <c r="CB31" s="1695">
        <v>40.53</v>
      </c>
      <c r="CC31" s="1704">
        <v>41.22</v>
      </c>
      <c r="CD31" s="1697">
        <v>41.92</v>
      </c>
      <c r="CE31" s="1698">
        <v>42.61</v>
      </c>
      <c r="CF31" s="1699">
        <v>43.3</v>
      </c>
      <c r="CG31" s="1699">
        <v>44</v>
      </c>
      <c r="CH31" s="1699">
        <v>44.69</v>
      </c>
      <c r="CI31" s="1699">
        <v>45.39</v>
      </c>
      <c r="CJ31" s="1699">
        <v>46.08</v>
      </c>
      <c r="CK31" s="1700">
        <v>39.72</v>
      </c>
      <c r="CL31" s="1700">
        <v>40.42</v>
      </c>
      <c r="CM31" s="1700">
        <v>41.11</v>
      </c>
      <c r="CN31" s="1700">
        <v>41.81</v>
      </c>
      <c r="CO31" s="1705">
        <v>42.5</v>
      </c>
      <c r="CP31" s="1706">
        <v>43.19</v>
      </c>
      <c r="CQ31" s="1701">
        <v>43.89</v>
      </c>
      <c r="CR31" s="1701">
        <v>44.58</v>
      </c>
      <c r="CS31" s="1707">
        <v>45.28</v>
      </c>
      <c r="CT31" s="1700">
        <v>45.97</v>
      </c>
      <c r="CU31" s="1700">
        <v>46.66</v>
      </c>
      <c r="CV31" s="1700">
        <v>47.36</v>
      </c>
      <c r="CW31" s="1700">
        <v>48.05</v>
      </c>
      <c r="CX31" s="1700">
        <v>48.75</v>
      </c>
      <c r="CY31" s="1700">
        <v>49.44</v>
      </c>
      <c r="CZ31" s="1700">
        <v>50.13</v>
      </c>
      <c r="DA31" s="1700">
        <v>50.83</v>
      </c>
      <c r="DB31" s="1700">
        <v>51.52</v>
      </c>
      <c r="DC31" s="1700">
        <v>52.21</v>
      </c>
      <c r="DD31" s="1700">
        <v>52.91</v>
      </c>
      <c r="DE31" s="1700">
        <v>53.6</v>
      </c>
      <c r="DF31" s="1700">
        <v>54.3</v>
      </c>
      <c r="DG31" s="1700">
        <v>54.99</v>
      </c>
      <c r="DH31" s="1700">
        <v>55.68</v>
      </c>
      <c r="DI31" s="1700">
        <v>56.38</v>
      </c>
      <c r="DJ31" s="1700">
        <v>57.07</v>
      </c>
      <c r="DK31" s="1700">
        <v>57.77</v>
      </c>
      <c r="DL31" s="1700">
        <v>58.46</v>
      </c>
      <c r="DM31" s="1700">
        <v>59.15</v>
      </c>
      <c r="DN31" s="1700">
        <v>59.85</v>
      </c>
      <c r="DO31" s="1700">
        <v>60.54</v>
      </c>
      <c r="DP31" s="1700">
        <v>61.42</v>
      </c>
      <c r="DQ31" s="1700">
        <v>61.93</v>
      </c>
      <c r="DR31" s="1700">
        <v>62.62</v>
      </c>
      <c r="DS31" s="1700"/>
      <c r="DT31" s="1700"/>
      <c r="DU31" s="1700"/>
      <c r="DV31" s="1700"/>
      <c r="DW31" s="1700"/>
      <c r="DX31" s="1700"/>
    </row>
    <row r="32" spans="1:128">
      <c r="A32" s="1622"/>
      <c r="B32" s="1691">
        <f t="shared" si="4"/>
        <v>28</v>
      </c>
      <c r="C32" s="1668" t="str">
        <f t="shared" si="1"/>
        <v>76.19</v>
      </c>
      <c r="D32" s="1672">
        <f t="shared" si="2"/>
        <v>106.67</v>
      </c>
      <c r="E32" s="1670"/>
      <c r="F32" s="1671" t="str">
        <f t="shared" si="3"/>
        <v>47.77</v>
      </c>
      <c r="G32" s="1672">
        <f t="shared" si="0"/>
        <v>66.88</v>
      </c>
      <c r="H32" s="1670"/>
      <c r="I32" s="1670"/>
      <c r="J32" s="1708">
        <v>28</v>
      </c>
      <c r="K32" s="1693">
        <v>55.8</v>
      </c>
      <c r="L32" s="1693">
        <v>56.82</v>
      </c>
      <c r="M32" s="1693">
        <v>57.84</v>
      </c>
      <c r="N32" s="1693">
        <v>58.86</v>
      </c>
      <c r="O32" s="1693">
        <v>59.88</v>
      </c>
      <c r="P32" s="1694">
        <v>60.9</v>
      </c>
      <c r="Q32" s="1694">
        <v>61.92</v>
      </c>
      <c r="R32" s="1694">
        <v>62.94</v>
      </c>
      <c r="S32" s="1695">
        <v>63.96</v>
      </c>
      <c r="T32" s="1696">
        <v>64.98</v>
      </c>
      <c r="U32" s="1696">
        <v>66</v>
      </c>
      <c r="V32" s="1695">
        <v>67.02</v>
      </c>
      <c r="W32" s="1695">
        <v>68.03</v>
      </c>
      <c r="X32" s="1695">
        <v>69.05</v>
      </c>
      <c r="Y32" s="1697">
        <v>70.069999999999993</v>
      </c>
      <c r="Z32" s="1698">
        <v>71.09</v>
      </c>
      <c r="AA32" s="1699">
        <v>72.11</v>
      </c>
      <c r="AB32" s="1699">
        <v>73.13</v>
      </c>
      <c r="AC32" s="1699">
        <v>74.150000000000006</v>
      </c>
      <c r="AD32" s="1699">
        <v>75.17</v>
      </c>
      <c r="AE32" s="1699">
        <v>76.19</v>
      </c>
      <c r="AF32" s="1683">
        <v>62.59</v>
      </c>
      <c r="AG32" s="1683">
        <v>63.61</v>
      </c>
      <c r="AH32" s="1683">
        <v>64.63</v>
      </c>
      <c r="AI32" s="1683">
        <v>65.650000000000006</v>
      </c>
      <c r="AJ32" s="1701">
        <v>66.67</v>
      </c>
      <c r="AK32" s="1701">
        <v>67.69</v>
      </c>
      <c r="AL32" s="1701">
        <v>68.709999999999994</v>
      </c>
      <c r="AM32" s="1701">
        <v>69.72</v>
      </c>
      <c r="AN32" s="1701">
        <v>70.739999999999995</v>
      </c>
      <c r="AO32" s="1702">
        <v>71.760000000000005</v>
      </c>
      <c r="AP32" s="1700">
        <v>72.78</v>
      </c>
      <c r="AQ32" s="1700">
        <v>73.8</v>
      </c>
      <c r="AR32" s="1700">
        <v>74.819999999999993</v>
      </c>
      <c r="AS32" s="1700">
        <v>75.84</v>
      </c>
      <c r="AT32" s="1683">
        <v>76.86</v>
      </c>
      <c r="AU32" s="1700">
        <v>77.88</v>
      </c>
      <c r="AV32" s="1683">
        <v>78.900000000000006</v>
      </c>
      <c r="AW32" s="1683">
        <v>79.92</v>
      </c>
      <c r="AX32" s="1683">
        <v>80.94</v>
      </c>
      <c r="AY32" s="1683">
        <v>81.95</v>
      </c>
      <c r="AZ32" s="1683">
        <v>82.97</v>
      </c>
      <c r="BA32" s="1683">
        <v>83.99</v>
      </c>
      <c r="BB32" s="1700">
        <v>85.01</v>
      </c>
      <c r="BC32" s="1683">
        <v>86.03</v>
      </c>
      <c r="BD32" s="1700">
        <v>87.05</v>
      </c>
      <c r="BE32" s="1683">
        <v>88.07</v>
      </c>
      <c r="BF32" s="1683">
        <v>89.09</v>
      </c>
      <c r="BG32" s="1683">
        <v>90.11</v>
      </c>
      <c r="BH32" s="1683">
        <v>91.13</v>
      </c>
      <c r="BI32" s="1683">
        <v>92.15</v>
      </c>
      <c r="BJ32" s="1683">
        <v>93.17</v>
      </c>
      <c r="BK32" s="1683">
        <v>94.19</v>
      </c>
      <c r="BL32" s="1683">
        <v>95.2</v>
      </c>
      <c r="BM32" s="1683">
        <v>96.22</v>
      </c>
      <c r="BN32" s="1683"/>
      <c r="BO32" s="1703">
        <v>28</v>
      </c>
      <c r="BP32" s="1693">
        <v>3.37</v>
      </c>
      <c r="BQ32" s="1693">
        <v>34.090000000000003</v>
      </c>
      <c r="BR32" s="1693">
        <v>34.81</v>
      </c>
      <c r="BS32" s="1693">
        <v>35.53</v>
      </c>
      <c r="BT32" s="1693">
        <v>36.25</v>
      </c>
      <c r="BU32" s="1694">
        <v>36.97</v>
      </c>
      <c r="BV32" s="1694">
        <v>37.69</v>
      </c>
      <c r="BW32" s="1694">
        <v>38.409999999999997</v>
      </c>
      <c r="BX32" s="1695">
        <v>39.130000000000003</v>
      </c>
      <c r="BY32" s="1696">
        <v>39.85</v>
      </c>
      <c r="BZ32" s="1696">
        <v>40.57</v>
      </c>
      <c r="CA32" s="1695">
        <v>41.29</v>
      </c>
      <c r="CB32" s="1695">
        <v>42.01</v>
      </c>
      <c r="CC32" s="1704">
        <v>42.73</v>
      </c>
      <c r="CD32" s="1697">
        <v>43.45</v>
      </c>
      <c r="CE32" s="1698">
        <v>44.17</v>
      </c>
      <c r="CF32" s="1699">
        <v>44.89</v>
      </c>
      <c r="CG32" s="1699">
        <v>45.61</v>
      </c>
      <c r="CH32" s="1699">
        <v>46.33</v>
      </c>
      <c r="CI32" s="1699">
        <v>47.05</v>
      </c>
      <c r="CJ32" s="1699">
        <v>47.77</v>
      </c>
      <c r="CK32" s="1700">
        <v>41.18</v>
      </c>
      <c r="CL32" s="1700">
        <v>41.9</v>
      </c>
      <c r="CM32" s="1700">
        <v>42.62</v>
      </c>
      <c r="CN32" s="1700">
        <v>43.34</v>
      </c>
      <c r="CO32" s="1705">
        <v>44.06</v>
      </c>
      <c r="CP32" s="1706">
        <v>44.78</v>
      </c>
      <c r="CQ32" s="1701">
        <v>45.5</v>
      </c>
      <c r="CR32" s="1701">
        <v>46.22</v>
      </c>
      <c r="CS32" s="1707">
        <v>46.94</v>
      </c>
      <c r="CT32" s="1700">
        <v>47.66</v>
      </c>
      <c r="CU32" s="1700">
        <v>48.38</v>
      </c>
      <c r="CV32" s="1700">
        <v>49.1</v>
      </c>
      <c r="CW32" s="1700">
        <v>49.82</v>
      </c>
      <c r="CX32" s="1700">
        <v>50.54</v>
      </c>
      <c r="CY32" s="1700">
        <v>51.26</v>
      </c>
      <c r="CZ32" s="1700">
        <v>51.98</v>
      </c>
      <c r="DA32" s="1700">
        <v>52.7</v>
      </c>
      <c r="DB32" s="1700">
        <v>53.42</v>
      </c>
      <c r="DC32" s="1700">
        <v>54.14</v>
      </c>
      <c r="DD32" s="1700">
        <v>54.86</v>
      </c>
      <c r="DE32" s="1700">
        <v>55.58</v>
      </c>
      <c r="DF32" s="1700">
        <v>56.3</v>
      </c>
      <c r="DG32" s="1700">
        <v>57.01</v>
      </c>
      <c r="DH32" s="1700">
        <v>57.73</v>
      </c>
      <c r="DI32" s="1700">
        <v>58.45</v>
      </c>
      <c r="DJ32" s="1700">
        <v>59.17</v>
      </c>
      <c r="DK32" s="1700">
        <v>59.89</v>
      </c>
      <c r="DL32" s="1700">
        <v>60.61</v>
      </c>
      <c r="DM32" s="1700">
        <v>61.33</v>
      </c>
      <c r="DN32" s="1700">
        <v>62.05</v>
      </c>
      <c r="DO32" s="1700">
        <v>62.77</v>
      </c>
      <c r="DP32" s="1700">
        <v>63.49</v>
      </c>
      <c r="DQ32" s="1700">
        <v>64.209999999999994</v>
      </c>
      <c r="DR32" s="1700">
        <v>64.930000000000007</v>
      </c>
      <c r="DS32" s="1700"/>
      <c r="DT32" s="1700"/>
      <c r="DU32" s="1700"/>
      <c r="DV32" s="1700"/>
      <c r="DW32" s="1700"/>
      <c r="DX32" s="1700"/>
    </row>
    <row r="33" spans="1:128">
      <c r="A33" s="1622"/>
      <c r="B33" s="1691">
        <f t="shared" si="4"/>
        <v>29</v>
      </c>
      <c r="C33" s="1668" t="str">
        <f t="shared" si="1"/>
        <v>78.85</v>
      </c>
      <c r="D33" s="1672">
        <f t="shared" si="2"/>
        <v>110.39</v>
      </c>
      <c r="E33" s="1670"/>
      <c r="F33" s="1671" t="str">
        <f t="shared" si="3"/>
        <v>49.45</v>
      </c>
      <c r="G33" s="1672">
        <f t="shared" si="0"/>
        <v>69.23</v>
      </c>
      <c r="H33" s="1670"/>
      <c r="I33" s="1670"/>
      <c r="J33" s="1708">
        <v>29</v>
      </c>
      <c r="K33" s="1693">
        <v>57.74</v>
      </c>
      <c r="L33" s="1693">
        <v>58.79</v>
      </c>
      <c r="M33" s="1693">
        <v>59.85</v>
      </c>
      <c r="N33" s="1693">
        <v>60.9</v>
      </c>
      <c r="O33" s="1693">
        <v>61.96</v>
      </c>
      <c r="P33" s="1694">
        <v>63.02</v>
      </c>
      <c r="Q33" s="1694">
        <v>64.069999999999993</v>
      </c>
      <c r="R33" s="1694">
        <v>65.13</v>
      </c>
      <c r="S33" s="1695">
        <v>66.180000000000007</v>
      </c>
      <c r="T33" s="1696">
        <v>67.239999999999995</v>
      </c>
      <c r="U33" s="1696">
        <v>68.290000000000006</v>
      </c>
      <c r="V33" s="1695">
        <v>69.349999999999994</v>
      </c>
      <c r="W33" s="1695">
        <v>70.400000000000006</v>
      </c>
      <c r="X33" s="1695">
        <v>71.459999999999994</v>
      </c>
      <c r="Y33" s="1697">
        <v>72.52</v>
      </c>
      <c r="Z33" s="1698">
        <v>73.569999999999993</v>
      </c>
      <c r="AA33" s="1699">
        <v>74.63</v>
      </c>
      <c r="AB33" s="1699">
        <v>75.680000000000007</v>
      </c>
      <c r="AC33" s="1699">
        <v>76.739999999999995</v>
      </c>
      <c r="AD33" s="1699">
        <v>77.790000000000006</v>
      </c>
      <c r="AE33" s="1699">
        <v>78.849999999999994</v>
      </c>
      <c r="AF33" s="1700">
        <v>64.790000000000006</v>
      </c>
      <c r="AG33" s="1700">
        <v>65.849999999999994</v>
      </c>
      <c r="AH33" s="1700">
        <v>66.900000000000006</v>
      </c>
      <c r="AI33" s="1700">
        <v>67.959999999999994</v>
      </c>
      <c r="AJ33" s="1701">
        <v>69.010000000000005</v>
      </c>
      <c r="AK33" s="1701">
        <v>70.069999999999993</v>
      </c>
      <c r="AL33" s="1701">
        <v>71.12</v>
      </c>
      <c r="AM33" s="1701">
        <v>72.180000000000007</v>
      </c>
      <c r="AN33" s="1701">
        <v>73.239999999999995</v>
      </c>
      <c r="AO33" s="1702">
        <v>74.290000000000006</v>
      </c>
      <c r="AP33" s="1700">
        <v>75.349999999999994</v>
      </c>
      <c r="AQ33" s="1700">
        <v>76.400000000000006</v>
      </c>
      <c r="AR33" s="1683">
        <v>77.459999999999994</v>
      </c>
      <c r="AS33" s="1700">
        <v>78.510000000000005</v>
      </c>
      <c r="AT33" s="1700">
        <v>79.569999999999993</v>
      </c>
      <c r="AU33" s="1700">
        <v>80.62</v>
      </c>
      <c r="AV33" s="1700">
        <v>81.680000000000007</v>
      </c>
      <c r="AW33" s="1700">
        <v>82.74</v>
      </c>
      <c r="AX33" s="1700">
        <v>83.79</v>
      </c>
      <c r="AY33" s="1700">
        <v>84.85</v>
      </c>
      <c r="AZ33" s="1700">
        <v>85.9</v>
      </c>
      <c r="BA33" s="1700">
        <v>86.96</v>
      </c>
      <c r="BB33" s="1700">
        <v>88.01</v>
      </c>
      <c r="BC33" s="1700">
        <v>89.07</v>
      </c>
      <c r="BD33" s="1700">
        <v>90.12</v>
      </c>
      <c r="BE33" s="1700">
        <v>91.18</v>
      </c>
      <c r="BF33" s="1700">
        <v>92.24</v>
      </c>
      <c r="BG33" s="1700">
        <v>93.29</v>
      </c>
      <c r="BH33" s="1700">
        <v>94.35</v>
      </c>
      <c r="BI33" s="1700">
        <v>95.4</v>
      </c>
      <c r="BJ33" s="1700">
        <v>96.46</v>
      </c>
      <c r="BK33" s="1700">
        <v>97.51</v>
      </c>
      <c r="BL33" s="1700">
        <v>98.57</v>
      </c>
      <c r="BM33" s="1700">
        <v>99.63</v>
      </c>
      <c r="BN33" s="1700"/>
      <c r="BO33" s="1703">
        <v>29</v>
      </c>
      <c r="BP33" s="1693">
        <v>34.54</v>
      </c>
      <c r="BQ33" s="1693">
        <v>35.29</v>
      </c>
      <c r="BR33" s="1693">
        <v>36.03</v>
      </c>
      <c r="BS33" s="1693">
        <v>36.78</v>
      </c>
      <c r="BT33" s="1693">
        <v>37.520000000000003</v>
      </c>
      <c r="BU33" s="1694">
        <v>38.270000000000003</v>
      </c>
      <c r="BV33" s="1694">
        <v>39.01</v>
      </c>
      <c r="BW33" s="1694">
        <v>39.76</v>
      </c>
      <c r="BX33" s="1695">
        <v>40.5</v>
      </c>
      <c r="BY33" s="1696">
        <v>41.25</v>
      </c>
      <c r="BZ33" s="1696">
        <v>41.99</v>
      </c>
      <c r="CA33" s="1695">
        <v>42.74</v>
      </c>
      <c r="CB33" s="1695">
        <v>43.48</v>
      </c>
      <c r="CC33" s="1704">
        <v>44.23</v>
      </c>
      <c r="CD33" s="1697">
        <v>44.97</v>
      </c>
      <c r="CE33" s="1698">
        <v>45.72</v>
      </c>
      <c r="CF33" s="1699">
        <v>46.46</v>
      </c>
      <c r="CG33" s="1699">
        <v>47.21</v>
      </c>
      <c r="CH33" s="1699">
        <v>47.96</v>
      </c>
      <c r="CI33" s="1699">
        <v>48.7</v>
      </c>
      <c r="CJ33" s="1699">
        <v>49.45</v>
      </c>
      <c r="CK33" s="1700">
        <v>42.64</v>
      </c>
      <c r="CL33" s="1700">
        <v>43.38</v>
      </c>
      <c r="CM33" s="1700">
        <v>44.13</v>
      </c>
      <c r="CN33" s="1700">
        <v>44.87</v>
      </c>
      <c r="CO33" s="1705">
        <v>45.62</v>
      </c>
      <c r="CP33" s="1706">
        <v>46.36</v>
      </c>
      <c r="CQ33" s="1701">
        <v>47.11</v>
      </c>
      <c r="CR33" s="1701">
        <v>47.86</v>
      </c>
      <c r="CS33" s="1707">
        <v>48.6</v>
      </c>
      <c r="CT33" s="1700">
        <v>49.35</v>
      </c>
      <c r="CU33" s="1700">
        <v>50.09</v>
      </c>
      <c r="CV33" s="1700">
        <v>50.84</v>
      </c>
      <c r="CW33" s="1700">
        <v>51.58</v>
      </c>
      <c r="CX33" s="1700">
        <v>52.33</v>
      </c>
      <c r="CY33" s="1700">
        <v>53.07</v>
      </c>
      <c r="CZ33" s="1700">
        <v>53.82</v>
      </c>
      <c r="DA33" s="1700">
        <v>54.56</v>
      </c>
      <c r="DB33" s="1700">
        <v>55.31</v>
      </c>
      <c r="DC33" s="1700">
        <v>56.05</v>
      </c>
      <c r="DD33" s="1700">
        <v>56.8</v>
      </c>
      <c r="DE33" s="1700">
        <v>57.54</v>
      </c>
      <c r="DF33" s="1700">
        <v>58.29</v>
      </c>
      <c r="DG33" s="1700">
        <v>59.03</v>
      </c>
      <c r="DH33" s="1700">
        <v>59.78</v>
      </c>
      <c r="DI33" s="1700">
        <v>60.53</v>
      </c>
      <c r="DJ33" s="1700">
        <v>61.27</v>
      </c>
      <c r="DK33" s="1700">
        <v>62.02</v>
      </c>
      <c r="DL33" s="1700">
        <v>62.76</v>
      </c>
      <c r="DM33" s="1700">
        <v>63.51</v>
      </c>
      <c r="DN33" s="1700">
        <v>64.25</v>
      </c>
      <c r="DO33" s="1700">
        <v>65</v>
      </c>
      <c r="DP33" s="1700">
        <v>65.739999999999995</v>
      </c>
      <c r="DQ33" s="1700">
        <v>66.489999999999995</v>
      </c>
      <c r="DR33" s="1700">
        <v>67.23</v>
      </c>
      <c r="DS33" s="1700"/>
      <c r="DT33" s="1700"/>
      <c r="DU33" s="1700"/>
      <c r="DV33" s="1700"/>
      <c r="DW33" s="1700"/>
      <c r="DX33" s="1700"/>
    </row>
    <row r="34" spans="1:128">
      <c r="A34" s="1622"/>
      <c r="B34" s="1691">
        <f t="shared" si="4"/>
        <v>30</v>
      </c>
      <c r="C34" s="1668" t="str">
        <f t="shared" si="1"/>
        <v>81.54</v>
      </c>
      <c r="D34" s="1672">
        <f t="shared" si="2"/>
        <v>114.16</v>
      </c>
      <c r="E34" s="1670"/>
      <c r="F34" s="1671" t="str">
        <f t="shared" si="3"/>
        <v>51.13</v>
      </c>
      <c r="G34" s="1672">
        <f t="shared" si="0"/>
        <v>71.58</v>
      </c>
      <c r="H34" s="1670"/>
      <c r="I34" s="1670"/>
      <c r="J34" s="1708">
        <v>30</v>
      </c>
      <c r="K34" s="1693">
        <v>59.7</v>
      </c>
      <c r="L34" s="1693">
        <v>60.79</v>
      </c>
      <c r="M34" s="1693">
        <v>61.88</v>
      </c>
      <c r="N34" s="1693">
        <v>62.97</v>
      </c>
      <c r="O34" s="1693">
        <v>64.069999999999993</v>
      </c>
      <c r="P34" s="1694">
        <v>65.16</v>
      </c>
      <c r="Q34" s="1694">
        <v>66.25</v>
      </c>
      <c r="R34" s="1694">
        <v>67.34</v>
      </c>
      <c r="S34" s="1695">
        <v>68.430000000000007</v>
      </c>
      <c r="T34" s="1696">
        <v>69.53</v>
      </c>
      <c r="U34" s="1696">
        <v>70.62</v>
      </c>
      <c r="V34" s="1695">
        <v>71.709999999999994</v>
      </c>
      <c r="W34" s="1695">
        <v>72.8</v>
      </c>
      <c r="X34" s="1695">
        <v>73.89</v>
      </c>
      <c r="Y34" s="1697">
        <v>74.989999999999995</v>
      </c>
      <c r="Z34" s="1698">
        <v>76.08</v>
      </c>
      <c r="AA34" s="1699">
        <v>77.17</v>
      </c>
      <c r="AB34" s="1699">
        <v>78.260000000000005</v>
      </c>
      <c r="AC34" s="1699">
        <v>79.349999999999994</v>
      </c>
      <c r="AD34" s="1699">
        <v>80.45</v>
      </c>
      <c r="AE34" s="1699">
        <v>81.540000000000006</v>
      </c>
      <c r="AF34" s="1700">
        <v>67.010000000000005</v>
      </c>
      <c r="AG34" s="1700">
        <v>68.099999999999994</v>
      </c>
      <c r="AH34" s="1700">
        <v>69.19</v>
      </c>
      <c r="AI34" s="1700">
        <v>70.28</v>
      </c>
      <c r="AJ34" s="1701">
        <v>71.37</v>
      </c>
      <c r="AK34" s="1701">
        <v>72.47</v>
      </c>
      <c r="AL34" s="1701">
        <v>73.56</v>
      </c>
      <c r="AM34" s="1701">
        <v>74.650000000000006</v>
      </c>
      <c r="AN34" s="1701">
        <v>75.739999999999995</v>
      </c>
      <c r="AO34" s="1702">
        <v>76.83</v>
      </c>
      <c r="AP34" s="1700">
        <v>77.930000000000007</v>
      </c>
      <c r="AQ34" s="1700">
        <v>79.02</v>
      </c>
      <c r="AR34" s="1700">
        <v>80.11</v>
      </c>
      <c r="AS34" s="1700">
        <v>81.2</v>
      </c>
      <c r="AT34" s="1700">
        <v>82.29</v>
      </c>
      <c r="AU34" s="1700">
        <v>83.39</v>
      </c>
      <c r="AV34" s="1700">
        <v>84.48</v>
      </c>
      <c r="AW34" s="1700">
        <v>85.57</v>
      </c>
      <c r="AX34" s="1700">
        <v>86.66</v>
      </c>
      <c r="AY34" s="1700">
        <v>87.75</v>
      </c>
      <c r="AZ34" s="1700">
        <v>88.85</v>
      </c>
      <c r="BA34" s="1700">
        <v>89.94</v>
      </c>
      <c r="BB34" s="1683">
        <v>91.03</v>
      </c>
      <c r="BC34" s="1700">
        <v>92.12</v>
      </c>
      <c r="BD34" s="1683">
        <v>93.21</v>
      </c>
      <c r="BE34" s="1700">
        <v>94.31</v>
      </c>
      <c r="BF34" s="1700">
        <v>95.4</v>
      </c>
      <c r="BG34" s="1700">
        <v>96.49</v>
      </c>
      <c r="BH34" s="1700">
        <v>97.58</v>
      </c>
      <c r="BI34" s="1700">
        <v>98.67</v>
      </c>
      <c r="BJ34" s="1700">
        <v>99.77</v>
      </c>
      <c r="BK34" s="1700">
        <v>100.86</v>
      </c>
      <c r="BL34" s="1700">
        <v>101.95</v>
      </c>
      <c r="BM34" s="1700">
        <v>103.04</v>
      </c>
      <c r="BN34" s="1700"/>
      <c r="BO34" s="1703">
        <v>30</v>
      </c>
      <c r="BP34" s="1693">
        <v>35.71</v>
      </c>
      <c r="BQ34" s="1693">
        <v>36.479999999999997</v>
      </c>
      <c r="BR34" s="1693">
        <v>37.25</v>
      </c>
      <c r="BS34" s="1693">
        <v>38.03</v>
      </c>
      <c r="BT34" s="1693">
        <v>38.799999999999997</v>
      </c>
      <c r="BU34" s="1694">
        <v>39.57</v>
      </c>
      <c r="BV34" s="1694">
        <v>40.340000000000003</v>
      </c>
      <c r="BW34" s="1694">
        <v>41.11</v>
      </c>
      <c r="BX34" s="1695">
        <v>41.88</v>
      </c>
      <c r="BY34" s="1696">
        <v>42.65</v>
      </c>
      <c r="BZ34" s="1696">
        <v>43.42</v>
      </c>
      <c r="CA34" s="1695">
        <v>44.19</v>
      </c>
      <c r="CB34" s="1695">
        <v>44.96</v>
      </c>
      <c r="CC34" s="1704">
        <v>45.74</v>
      </c>
      <c r="CD34" s="1697">
        <v>46.51</v>
      </c>
      <c r="CE34" s="1698">
        <v>47.28</v>
      </c>
      <c r="CF34" s="1699">
        <v>48.05</v>
      </c>
      <c r="CG34" s="1699">
        <v>48.82</v>
      </c>
      <c r="CH34" s="1699">
        <v>49.59</v>
      </c>
      <c r="CI34" s="1699">
        <v>50.36</v>
      </c>
      <c r="CJ34" s="1699">
        <v>51.13</v>
      </c>
      <c r="CK34" s="1700">
        <v>44.1</v>
      </c>
      <c r="CL34" s="1700">
        <v>44.87</v>
      </c>
      <c r="CM34" s="1700">
        <v>45.64</v>
      </c>
      <c r="CN34" s="1700">
        <v>46.41</v>
      </c>
      <c r="CO34" s="1705">
        <v>47.18</v>
      </c>
      <c r="CP34" s="1706">
        <v>47.95</v>
      </c>
      <c r="CQ34" s="1701">
        <v>48.72</v>
      </c>
      <c r="CR34" s="1701">
        <v>49.49</v>
      </c>
      <c r="CS34" s="1707">
        <v>50.26</v>
      </c>
      <c r="CT34" s="1700">
        <v>51.04</v>
      </c>
      <c r="CU34" s="1700">
        <v>51.81</v>
      </c>
      <c r="CV34" s="1700">
        <v>52.58</v>
      </c>
      <c r="CW34" s="1700">
        <v>53.35</v>
      </c>
      <c r="CX34" s="1700">
        <v>54.12</v>
      </c>
      <c r="CY34" s="1700">
        <v>54.89</v>
      </c>
      <c r="CZ34" s="1700">
        <v>55.66</v>
      </c>
      <c r="DA34" s="1700">
        <v>56.43</v>
      </c>
      <c r="DB34" s="1700">
        <v>57.2</v>
      </c>
      <c r="DC34" s="1700">
        <v>57.97</v>
      </c>
      <c r="DD34" s="1700">
        <v>58.75</v>
      </c>
      <c r="DE34" s="1700">
        <v>59.52</v>
      </c>
      <c r="DF34" s="1700">
        <v>60.29</v>
      </c>
      <c r="DG34" s="1700">
        <v>61.06</v>
      </c>
      <c r="DH34" s="1700">
        <v>61.83</v>
      </c>
      <c r="DI34" s="1700">
        <v>62.6</v>
      </c>
      <c r="DJ34" s="1700">
        <v>63.37</v>
      </c>
      <c r="DK34" s="1700">
        <v>64.14</v>
      </c>
      <c r="DL34" s="1700">
        <v>64.91</v>
      </c>
      <c r="DM34" s="1700">
        <v>65.680000000000007</v>
      </c>
      <c r="DN34" s="1700">
        <v>66.459999999999994</v>
      </c>
      <c r="DO34" s="1700">
        <v>67.23</v>
      </c>
      <c r="DP34" s="1700">
        <v>68</v>
      </c>
      <c r="DQ34" s="1700">
        <v>68.77</v>
      </c>
      <c r="DR34" s="1700">
        <v>69.540000000000006</v>
      </c>
      <c r="DS34" s="1700"/>
      <c r="DT34" s="1700"/>
      <c r="DU34" s="1700"/>
      <c r="DV34" s="1700"/>
      <c r="DW34" s="1700"/>
      <c r="DX34" s="1700"/>
    </row>
    <row r="35" spans="1:128">
      <c r="A35" s="1622"/>
      <c r="B35" s="1691">
        <f t="shared" si="4"/>
        <v>31</v>
      </c>
      <c r="C35" s="1668" t="str">
        <f t="shared" si="1"/>
        <v>84.2</v>
      </c>
      <c r="D35" s="1672">
        <f t="shared" si="2"/>
        <v>117.88</v>
      </c>
      <c r="E35" s="1670"/>
      <c r="F35" s="1671" t="str">
        <f t="shared" si="3"/>
        <v>52.81</v>
      </c>
      <c r="G35" s="1672">
        <f t="shared" si="0"/>
        <v>73.930000000000007</v>
      </c>
      <c r="H35" s="1670"/>
      <c r="I35" s="1670"/>
      <c r="J35" s="1708">
        <v>31</v>
      </c>
      <c r="K35" s="1693">
        <v>61.63</v>
      </c>
      <c r="L35" s="1693">
        <v>62.76</v>
      </c>
      <c r="M35" s="1693">
        <v>63.89</v>
      </c>
      <c r="N35" s="1693">
        <v>65.02</v>
      </c>
      <c r="O35" s="1693">
        <v>66.150000000000006</v>
      </c>
      <c r="P35" s="1694">
        <v>67.27</v>
      </c>
      <c r="Q35" s="1694">
        <v>68.400000000000006</v>
      </c>
      <c r="R35" s="1694">
        <v>69.53</v>
      </c>
      <c r="S35" s="1695">
        <v>70.66</v>
      </c>
      <c r="T35" s="1696">
        <v>71.790000000000006</v>
      </c>
      <c r="U35" s="1696">
        <v>72.92</v>
      </c>
      <c r="V35" s="1695">
        <v>74.05</v>
      </c>
      <c r="W35" s="1695">
        <v>75.17</v>
      </c>
      <c r="X35" s="1695">
        <v>76.3</v>
      </c>
      <c r="Y35" s="1697">
        <v>77.430000000000007</v>
      </c>
      <c r="Z35" s="1698">
        <v>78.56</v>
      </c>
      <c r="AA35" s="1699">
        <v>79.69</v>
      </c>
      <c r="AB35" s="1699">
        <v>80.819999999999993</v>
      </c>
      <c r="AC35" s="1699">
        <v>81.94</v>
      </c>
      <c r="AD35" s="1699">
        <v>83.07</v>
      </c>
      <c r="AE35" s="1699">
        <v>84.2</v>
      </c>
      <c r="AF35" s="1683">
        <v>69.209999999999994</v>
      </c>
      <c r="AG35" s="1683">
        <v>70.34</v>
      </c>
      <c r="AH35" s="1683">
        <v>71.47</v>
      </c>
      <c r="AI35" s="1683">
        <v>72.59</v>
      </c>
      <c r="AJ35" s="1701">
        <v>73.72</v>
      </c>
      <c r="AK35" s="1701">
        <v>74.849999999999994</v>
      </c>
      <c r="AL35" s="1701">
        <v>75.98</v>
      </c>
      <c r="AM35" s="1701">
        <v>77.11</v>
      </c>
      <c r="AN35" s="1701">
        <v>78.239999999999995</v>
      </c>
      <c r="AO35" s="1702">
        <v>79.36</v>
      </c>
      <c r="AP35" s="1700">
        <v>80.489999999999995</v>
      </c>
      <c r="AQ35" s="1700">
        <v>81.62</v>
      </c>
      <c r="AR35" s="1683">
        <v>82.75</v>
      </c>
      <c r="AS35" s="1700">
        <v>83.88</v>
      </c>
      <c r="AT35" s="1683">
        <v>85.01</v>
      </c>
      <c r="AU35" s="1700">
        <v>86.13</v>
      </c>
      <c r="AV35" s="1683">
        <v>87.26</v>
      </c>
      <c r="AW35" s="1683">
        <v>88.39</v>
      </c>
      <c r="AX35" s="1683">
        <v>89.52</v>
      </c>
      <c r="AY35" s="1683">
        <v>90.65</v>
      </c>
      <c r="AZ35" s="1683">
        <v>91.78</v>
      </c>
      <c r="BA35" s="1683">
        <v>92.9</v>
      </c>
      <c r="BB35" s="1700">
        <v>94.03</v>
      </c>
      <c r="BC35" s="1683">
        <v>95.16</v>
      </c>
      <c r="BD35" s="1700">
        <v>96.29</v>
      </c>
      <c r="BE35" s="1683">
        <v>97.42</v>
      </c>
      <c r="BF35" s="1683">
        <v>98.55</v>
      </c>
      <c r="BG35" s="1683">
        <v>99.68</v>
      </c>
      <c r="BH35" s="1683">
        <v>100.8</v>
      </c>
      <c r="BI35" s="1683">
        <v>101.93</v>
      </c>
      <c r="BJ35" s="1683">
        <v>103.06</v>
      </c>
      <c r="BK35" s="1683">
        <v>104.19</v>
      </c>
      <c r="BL35" s="1683">
        <v>105.32</v>
      </c>
      <c r="BM35" s="1683">
        <v>106.45</v>
      </c>
      <c r="BN35" s="1683"/>
      <c r="BO35" s="1703">
        <v>31</v>
      </c>
      <c r="BP35" s="1693">
        <v>36.880000000000003</v>
      </c>
      <c r="BQ35" s="1693">
        <v>37.68</v>
      </c>
      <c r="BR35" s="1693">
        <v>38.47</v>
      </c>
      <c r="BS35" s="1693">
        <v>39.270000000000003</v>
      </c>
      <c r="BT35" s="1693">
        <v>40.07</v>
      </c>
      <c r="BU35" s="1694">
        <v>40.86</v>
      </c>
      <c r="BV35" s="1694">
        <v>41.66</v>
      </c>
      <c r="BW35" s="1694">
        <v>42.46</v>
      </c>
      <c r="BX35" s="1695">
        <v>43.25</v>
      </c>
      <c r="BY35" s="1696">
        <v>44.05</v>
      </c>
      <c r="BZ35" s="1696">
        <v>44.85</v>
      </c>
      <c r="CA35" s="1695">
        <v>45.64</v>
      </c>
      <c r="CB35" s="1695">
        <v>46.44</v>
      </c>
      <c r="CC35" s="1704">
        <v>47.24</v>
      </c>
      <c r="CD35" s="1697">
        <v>48.03</v>
      </c>
      <c r="CE35" s="1698">
        <v>48.83</v>
      </c>
      <c r="CF35" s="1699">
        <v>49.63</v>
      </c>
      <c r="CG35" s="1699">
        <v>50.42</v>
      </c>
      <c r="CH35" s="1699">
        <v>51.22</v>
      </c>
      <c r="CI35" s="1699">
        <v>52.02</v>
      </c>
      <c r="CJ35" s="1699">
        <v>52.81</v>
      </c>
      <c r="CK35" s="1700">
        <v>45.55</v>
      </c>
      <c r="CL35" s="1700">
        <v>46.35</v>
      </c>
      <c r="CM35" s="1700">
        <v>47.15</v>
      </c>
      <c r="CN35" s="1700">
        <v>47.94</v>
      </c>
      <c r="CO35" s="1705">
        <v>48.74</v>
      </c>
      <c r="CP35" s="1706">
        <v>49.54</v>
      </c>
      <c r="CQ35" s="1701">
        <v>50.33</v>
      </c>
      <c r="CR35" s="1701">
        <v>51.13</v>
      </c>
      <c r="CS35" s="1707">
        <v>51.93</v>
      </c>
      <c r="CT35" s="1700">
        <v>52.72</v>
      </c>
      <c r="CU35" s="1700">
        <v>53.52</v>
      </c>
      <c r="CV35" s="1700">
        <v>54.32</v>
      </c>
      <c r="CW35" s="1700">
        <v>55.11</v>
      </c>
      <c r="CX35" s="1700">
        <v>55.91</v>
      </c>
      <c r="CY35" s="1700">
        <v>56.71</v>
      </c>
      <c r="CZ35" s="1700">
        <v>57.5</v>
      </c>
      <c r="DA35" s="1700">
        <v>58.3</v>
      </c>
      <c r="DB35" s="1700">
        <v>59.1</v>
      </c>
      <c r="DC35" s="1700">
        <v>59.89</v>
      </c>
      <c r="DD35" s="1700">
        <v>60.69</v>
      </c>
      <c r="DE35" s="1700">
        <v>61.49</v>
      </c>
      <c r="DF35" s="1700">
        <v>62.28</v>
      </c>
      <c r="DG35" s="1700">
        <v>63.08</v>
      </c>
      <c r="DH35" s="1700">
        <v>63.88</v>
      </c>
      <c r="DI35" s="1700">
        <v>64.67</v>
      </c>
      <c r="DJ35" s="1700">
        <v>65.47</v>
      </c>
      <c r="DK35" s="1700">
        <v>66.27</v>
      </c>
      <c r="DL35" s="1700">
        <v>67.06</v>
      </c>
      <c r="DM35" s="1700">
        <v>67.86</v>
      </c>
      <c r="DN35" s="1700">
        <v>68.66</v>
      </c>
      <c r="DO35" s="1700">
        <v>69.45</v>
      </c>
      <c r="DP35" s="1700">
        <v>70.25</v>
      </c>
      <c r="DQ35" s="1700">
        <v>71.05</v>
      </c>
      <c r="DR35" s="1700">
        <v>71.84</v>
      </c>
      <c r="DS35" s="1700"/>
      <c r="DT35" s="1700"/>
      <c r="DU35" s="1700"/>
      <c r="DV35" s="1700"/>
      <c r="DW35" s="1700"/>
      <c r="DX35" s="1700"/>
    </row>
    <row r="36" spans="1:128">
      <c r="A36" s="1622"/>
      <c r="B36" s="1691">
        <f t="shared" si="4"/>
        <v>32</v>
      </c>
      <c r="C36" s="1668" t="str">
        <f t="shared" si="1"/>
        <v>86.89</v>
      </c>
      <c r="D36" s="1672">
        <f t="shared" si="2"/>
        <v>121.65</v>
      </c>
      <c r="E36" s="1670"/>
      <c r="F36" s="1671" t="str">
        <f t="shared" si="3"/>
        <v>54.5</v>
      </c>
      <c r="G36" s="1672">
        <f t="shared" si="0"/>
        <v>76.3</v>
      </c>
      <c r="H36" s="1670"/>
      <c r="I36" s="1670"/>
      <c r="J36" s="1708">
        <v>32</v>
      </c>
      <c r="K36" s="1693">
        <v>63.59</v>
      </c>
      <c r="L36" s="1693">
        <v>64.760000000000005</v>
      </c>
      <c r="M36" s="1693">
        <v>65.92</v>
      </c>
      <c r="N36" s="1693">
        <v>67.09</v>
      </c>
      <c r="O36" s="1693">
        <v>68.25</v>
      </c>
      <c r="P36" s="1694">
        <v>69.42</v>
      </c>
      <c r="Q36" s="1694">
        <v>70.58</v>
      </c>
      <c r="R36" s="1694">
        <v>71.75</v>
      </c>
      <c r="S36" s="1695">
        <v>72.91</v>
      </c>
      <c r="T36" s="1696">
        <v>74.08</v>
      </c>
      <c r="U36" s="1696">
        <v>75.239999999999995</v>
      </c>
      <c r="V36" s="1695">
        <v>76.41</v>
      </c>
      <c r="W36" s="1695">
        <v>77.569999999999993</v>
      </c>
      <c r="X36" s="1695">
        <v>78.739999999999995</v>
      </c>
      <c r="Y36" s="1697">
        <v>79.900000000000006</v>
      </c>
      <c r="Z36" s="1698">
        <v>81.069999999999993</v>
      </c>
      <c r="AA36" s="1699">
        <v>82.23</v>
      </c>
      <c r="AB36" s="1699">
        <v>83.4</v>
      </c>
      <c r="AC36" s="1699">
        <v>84.56</v>
      </c>
      <c r="AD36" s="1699">
        <v>85.73</v>
      </c>
      <c r="AE36" s="1699">
        <v>86.89</v>
      </c>
      <c r="AF36" s="1700">
        <v>71.430000000000007</v>
      </c>
      <c r="AG36" s="1700">
        <v>72.59</v>
      </c>
      <c r="AH36" s="1700">
        <v>73.75</v>
      </c>
      <c r="AI36" s="1700">
        <v>74.92</v>
      </c>
      <c r="AJ36" s="1701">
        <v>76.08</v>
      </c>
      <c r="AK36" s="1701">
        <v>77.25</v>
      </c>
      <c r="AL36" s="1701">
        <v>78.41</v>
      </c>
      <c r="AM36" s="1701">
        <v>79.58</v>
      </c>
      <c r="AN36" s="1701">
        <v>80.739999999999995</v>
      </c>
      <c r="AO36" s="1702">
        <v>81.91</v>
      </c>
      <c r="AP36" s="1700">
        <v>83.07</v>
      </c>
      <c r="AQ36" s="1700">
        <v>84.24</v>
      </c>
      <c r="AR36" s="1700">
        <v>85.4</v>
      </c>
      <c r="AS36" s="1700">
        <v>86.57</v>
      </c>
      <c r="AT36" s="1700">
        <v>87.73</v>
      </c>
      <c r="AU36" s="1700">
        <v>88.9</v>
      </c>
      <c r="AV36" s="1700">
        <v>90.06</v>
      </c>
      <c r="AW36" s="1700">
        <v>91.23</v>
      </c>
      <c r="AX36" s="1700">
        <v>92.39</v>
      </c>
      <c r="AY36" s="1700">
        <v>93.56</v>
      </c>
      <c r="AZ36" s="1700">
        <v>94.72</v>
      </c>
      <c r="BA36" s="1700">
        <v>95.89</v>
      </c>
      <c r="BB36" s="1700">
        <v>97.05</v>
      </c>
      <c r="BC36" s="1700">
        <v>98.22</v>
      </c>
      <c r="BD36" s="1700">
        <v>99.38</v>
      </c>
      <c r="BE36" s="1700">
        <v>100.55</v>
      </c>
      <c r="BF36" s="1700">
        <v>101.71</v>
      </c>
      <c r="BG36" s="1700">
        <v>102.87</v>
      </c>
      <c r="BH36" s="1700">
        <v>104.04</v>
      </c>
      <c r="BI36" s="1700">
        <v>105.2</v>
      </c>
      <c r="BJ36" s="1700">
        <v>106.37</v>
      </c>
      <c r="BK36" s="1700">
        <v>107.53</v>
      </c>
      <c r="BL36" s="1700">
        <v>108.7</v>
      </c>
      <c r="BM36" s="1700">
        <v>109.86</v>
      </c>
      <c r="BN36" s="1700"/>
      <c r="BO36" s="1703">
        <v>32</v>
      </c>
      <c r="BP36" s="1693">
        <v>38.049999999999997</v>
      </c>
      <c r="BQ36" s="1693">
        <v>38.869999999999997</v>
      </c>
      <c r="BR36" s="1693">
        <v>39.69</v>
      </c>
      <c r="BS36" s="1693">
        <v>40.520000000000003</v>
      </c>
      <c r="BT36" s="1693">
        <v>41.34</v>
      </c>
      <c r="BU36" s="1694">
        <v>42.16</v>
      </c>
      <c r="BV36" s="1694">
        <v>42.98</v>
      </c>
      <c r="BW36" s="1694">
        <v>43.81</v>
      </c>
      <c r="BX36" s="1695">
        <v>44.63</v>
      </c>
      <c r="BY36" s="1696">
        <v>45.45</v>
      </c>
      <c r="BZ36" s="1696">
        <v>46.27</v>
      </c>
      <c r="CA36" s="1695">
        <v>47.1</v>
      </c>
      <c r="CB36" s="1695">
        <v>47.92</v>
      </c>
      <c r="CC36" s="1704">
        <v>48.74</v>
      </c>
      <c r="CD36" s="1697">
        <v>49.56</v>
      </c>
      <c r="CE36" s="1698">
        <v>50.39</v>
      </c>
      <c r="CF36" s="1699">
        <v>51.21</v>
      </c>
      <c r="CG36" s="1699">
        <v>52.03</v>
      </c>
      <c r="CH36" s="1699">
        <v>52.85</v>
      </c>
      <c r="CI36" s="1699">
        <v>53.68</v>
      </c>
      <c r="CJ36" s="1699">
        <v>54.5</v>
      </c>
      <c r="CK36" s="1700">
        <v>47.01</v>
      </c>
      <c r="CL36" s="1700">
        <v>47.83</v>
      </c>
      <c r="CM36" s="1700">
        <v>48.65</v>
      </c>
      <c r="CN36" s="1700">
        <v>49.48</v>
      </c>
      <c r="CO36" s="1705">
        <v>50.3</v>
      </c>
      <c r="CP36" s="1706">
        <v>51.12</v>
      </c>
      <c r="CQ36" s="1701">
        <v>51.94</v>
      </c>
      <c r="CR36" s="1701">
        <v>52.77</v>
      </c>
      <c r="CS36" s="1707">
        <v>53.59</v>
      </c>
      <c r="CT36" s="1700">
        <v>54.41</v>
      </c>
      <c r="CU36" s="1700">
        <v>55.23</v>
      </c>
      <c r="CV36" s="1700">
        <v>56.06</v>
      </c>
      <c r="CW36" s="1700">
        <v>56.88</v>
      </c>
      <c r="CX36" s="1700">
        <v>57.7</v>
      </c>
      <c r="CY36" s="1700">
        <v>58.52</v>
      </c>
      <c r="CZ36" s="1700">
        <v>59.35</v>
      </c>
      <c r="DA36" s="1700">
        <v>60.17</v>
      </c>
      <c r="DB36" s="1700">
        <v>60.99</v>
      </c>
      <c r="DC36" s="1700">
        <v>61.81</v>
      </c>
      <c r="DD36" s="1700">
        <v>62.64</v>
      </c>
      <c r="DE36" s="1700">
        <v>63.46</v>
      </c>
      <c r="DF36" s="1700">
        <v>64.28</v>
      </c>
      <c r="DG36" s="1700">
        <v>65.099999999999994</v>
      </c>
      <c r="DH36" s="1700">
        <v>65.92</v>
      </c>
      <c r="DI36" s="1700">
        <v>66.75</v>
      </c>
      <c r="DJ36" s="1700">
        <v>67.569999999999993</v>
      </c>
      <c r="DK36" s="1700">
        <v>68.39</v>
      </c>
      <c r="DL36" s="1700">
        <v>69.209999999999994</v>
      </c>
      <c r="DM36" s="1700">
        <v>70.040000000000006</v>
      </c>
      <c r="DN36" s="1700">
        <v>70.86</v>
      </c>
      <c r="DO36" s="1700">
        <v>71.680000000000007</v>
      </c>
      <c r="DP36" s="1700">
        <v>72.5</v>
      </c>
      <c r="DQ36" s="1700">
        <v>73.33</v>
      </c>
      <c r="DR36" s="1700">
        <v>74.150000000000006</v>
      </c>
      <c r="DS36" s="1700"/>
      <c r="DT36" s="1700"/>
      <c r="DU36" s="1700"/>
      <c r="DV36" s="1700"/>
      <c r="DW36" s="1700"/>
      <c r="DX36" s="1700"/>
    </row>
    <row r="37" spans="1:128">
      <c r="A37" s="1622"/>
      <c r="B37" s="1691">
        <f t="shared" si="4"/>
        <v>33</v>
      </c>
      <c r="C37" s="1668" t="str">
        <f t="shared" si="1"/>
        <v>89.57</v>
      </c>
      <c r="D37" s="1672">
        <f t="shared" si="2"/>
        <v>125.4</v>
      </c>
      <c r="E37" s="1670"/>
      <c r="F37" s="1671" t="str">
        <f t="shared" si="3"/>
        <v>56.18</v>
      </c>
      <c r="G37" s="1672">
        <f t="shared" si="0"/>
        <v>78.650000000000006</v>
      </c>
      <c r="H37" s="1670"/>
      <c r="I37" s="1670"/>
      <c r="J37" s="1708">
        <v>33</v>
      </c>
      <c r="K37" s="1693">
        <v>65.540000000000006</v>
      </c>
      <c r="L37" s="1693">
        <v>66.739999999999995</v>
      </c>
      <c r="M37" s="1693">
        <v>67.94</v>
      </c>
      <c r="N37" s="1693">
        <v>69.150000000000006</v>
      </c>
      <c r="O37" s="1693">
        <v>70.349999999999994</v>
      </c>
      <c r="P37" s="1694">
        <v>71.55</v>
      </c>
      <c r="Q37" s="1694">
        <v>72.75</v>
      </c>
      <c r="R37" s="1694">
        <v>73.95</v>
      </c>
      <c r="S37" s="1695">
        <v>75.150000000000006</v>
      </c>
      <c r="T37" s="1696">
        <v>76.349999999999994</v>
      </c>
      <c r="U37" s="1696">
        <v>77.55</v>
      </c>
      <c r="V37" s="1695">
        <v>78.760000000000005</v>
      </c>
      <c r="W37" s="1695">
        <v>79.959999999999994</v>
      </c>
      <c r="X37" s="1695">
        <v>81.16</v>
      </c>
      <c r="Y37" s="1697">
        <v>82.36</v>
      </c>
      <c r="Z37" s="1698">
        <v>83.56</v>
      </c>
      <c r="AA37" s="1699">
        <v>84.76</v>
      </c>
      <c r="AB37" s="1699">
        <v>85.96</v>
      </c>
      <c r="AC37" s="1699">
        <v>87.16</v>
      </c>
      <c r="AD37" s="1699">
        <v>88.37</v>
      </c>
      <c r="AE37" s="1699">
        <v>89.57</v>
      </c>
      <c r="AF37" s="1700">
        <v>73.63</v>
      </c>
      <c r="AG37" s="1700">
        <v>74.84</v>
      </c>
      <c r="AH37" s="1700">
        <v>76.040000000000006</v>
      </c>
      <c r="AI37" s="1700">
        <v>77.239999999999995</v>
      </c>
      <c r="AJ37" s="1701">
        <v>78.44</v>
      </c>
      <c r="AK37" s="1701">
        <v>79.64</v>
      </c>
      <c r="AL37" s="1701">
        <v>80.84</v>
      </c>
      <c r="AM37" s="1701">
        <v>82.04</v>
      </c>
      <c r="AN37" s="1701">
        <v>83.24</v>
      </c>
      <c r="AO37" s="1702">
        <v>84.45</v>
      </c>
      <c r="AP37" s="1700">
        <v>85.65</v>
      </c>
      <c r="AQ37" s="1700">
        <v>86.85</v>
      </c>
      <c r="AR37" s="1683">
        <v>88.05</v>
      </c>
      <c r="AS37" s="1700">
        <v>89.25</v>
      </c>
      <c r="AT37" s="1700">
        <v>90.45</v>
      </c>
      <c r="AU37" s="1700">
        <v>91.65</v>
      </c>
      <c r="AV37" s="1700">
        <v>92.85</v>
      </c>
      <c r="AW37" s="1700">
        <v>94.05</v>
      </c>
      <c r="AX37" s="1700">
        <v>95.26</v>
      </c>
      <c r="AY37" s="1700">
        <v>96.46</v>
      </c>
      <c r="AZ37" s="1700">
        <v>97.66</v>
      </c>
      <c r="BA37" s="1700">
        <v>98.86</v>
      </c>
      <c r="BB37" s="1683">
        <v>100.06</v>
      </c>
      <c r="BC37" s="1700">
        <v>101.26</v>
      </c>
      <c r="BD37" s="1683">
        <v>102.46</v>
      </c>
      <c r="BE37" s="1700">
        <v>103.66</v>
      </c>
      <c r="BF37" s="1700">
        <v>104.87</v>
      </c>
      <c r="BG37" s="1700">
        <v>106.07</v>
      </c>
      <c r="BH37" s="1700">
        <v>107.27</v>
      </c>
      <c r="BI37" s="1700">
        <v>108.47</v>
      </c>
      <c r="BJ37" s="1700">
        <v>109.67</v>
      </c>
      <c r="BK37" s="1700">
        <v>110.87</v>
      </c>
      <c r="BL37" s="1700">
        <v>112.07</v>
      </c>
      <c r="BM37" s="1700">
        <v>113.27</v>
      </c>
      <c r="BN37" s="1700"/>
      <c r="BO37" s="1703">
        <v>33</v>
      </c>
      <c r="BP37" s="1693">
        <v>39.22</v>
      </c>
      <c r="BQ37" s="1693">
        <v>40.07</v>
      </c>
      <c r="BR37" s="1693">
        <v>40.92</v>
      </c>
      <c r="BS37" s="1693">
        <v>41.76</v>
      </c>
      <c r="BT37" s="1693">
        <v>42.61</v>
      </c>
      <c r="BU37" s="1694">
        <v>43.46</v>
      </c>
      <c r="BV37" s="1694">
        <v>44.31</v>
      </c>
      <c r="BW37" s="1694">
        <v>45.16</v>
      </c>
      <c r="BX37" s="1695">
        <v>46</v>
      </c>
      <c r="BY37" s="1696">
        <v>46.85</v>
      </c>
      <c r="BZ37" s="1696">
        <v>47.7</v>
      </c>
      <c r="CA37" s="1695">
        <v>48.55</v>
      </c>
      <c r="CB37" s="1695">
        <v>49.4</v>
      </c>
      <c r="CC37" s="1704">
        <v>50.24</v>
      </c>
      <c r="CD37" s="1697">
        <v>51.09</v>
      </c>
      <c r="CE37" s="1698">
        <v>51.94</v>
      </c>
      <c r="CF37" s="1699">
        <v>52.79</v>
      </c>
      <c r="CG37" s="1699">
        <v>53.64</v>
      </c>
      <c r="CH37" s="1699">
        <v>54.49</v>
      </c>
      <c r="CI37" s="1699">
        <v>55.33</v>
      </c>
      <c r="CJ37" s="1699">
        <v>56.18</v>
      </c>
      <c r="CK37" s="1700">
        <v>48.47</v>
      </c>
      <c r="CL37" s="1700">
        <v>49.31</v>
      </c>
      <c r="CM37" s="1700">
        <v>50.16</v>
      </c>
      <c r="CN37" s="1700">
        <v>51.01</v>
      </c>
      <c r="CO37" s="1705">
        <v>51.86</v>
      </c>
      <c r="CP37" s="1706">
        <v>52.71</v>
      </c>
      <c r="CQ37" s="1701">
        <v>53.56</v>
      </c>
      <c r="CR37" s="1701">
        <v>54.4</v>
      </c>
      <c r="CS37" s="1707">
        <v>55.25</v>
      </c>
      <c r="CT37" s="1700">
        <v>56.1</v>
      </c>
      <c r="CU37" s="1700">
        <v>56.95</v>
      </c>
      <c r="CV37" s="1700">
        <v>57.8</v>
      </c>
      <c r="CW37" s="1700">
        <v>58.64</v>
      </c>
      <c r="CX37" s="1700">
        <v>59.49</v>
      </c>
      <c r="CY37" s="1700">
        <v>60.34</v>
      </c>
      <c r="CZ37" s="1700">
        <v>61.19</v>
      </c>
      <c r="DA37" s="1700">
        <v>62.04</v>
      </c>
      <c r="DB37" s="1700">
        <v>62.88</v>
      </c>
      <c r="DC37" s="1700">
        <v>63.73</v>
      </c>
      <c r="DD37" s="1700">
        <v>64.58</v>
      </c>
      <c r="DE37" s="1700">
        <v>65.430000000000007</v>
      </c>
      <c r="DF37" s="1700">
        <v>66.28</v>
      </c>
      <c r="DG37" s="1700">
        <v>67.12</v>
      </c>
      <c r="DH37" s="1700">
        <v>67.97</v>
      </c>
      <c r="DI37" s="1700">
        <v>68.819999999999993</v>
      </c>
      <c r="DJ37" s="1700">
        <v>69.67</v>
      </c>
      <c r="DK37" s="1700">
        <v>70.52</v>
      </c>
      <c r="DL37" s="1700">
        <v>71.37</v>
      </c>
      <c r="DM37" s="1700">
        <v>72.209999999999994</v>
      </c>
      <c r="DN37" s="1700">
        <v>73.06</v>
      </c>
      <c r="DO37" s="1700">
        <v>73.91</v>
      </c>
      <c r="DP37" s="1700">
        <v>74.760000000000005</v>
      </c>
      <c r="DQ37" s="1700">
        <v>75.61</v>
      </c>
      <c r="DR37" s="1700">
        <v>76.45</v>
      </c>
      <c r="DS37" s="1700"/>
      <c r="DT37" s="1700"/>
      <c r="DU37" s="1700"/>
      <c r="DV37" s="1700"/>
      <c r="DW37" s="1700"/>
      <c r="DX37" s="1700"/>
    </row>
    <row r="38" spans="1:128">
      <c r="A38" s="1622"/>
      <c r="B38" s="1691">
        <f t="shared" si="4"/>
        <v>34</v>
      </c>
      <c r="C38" s="1668" t="str">
        <f t="shared" si="1"/>
        <v>92.25</v>
      </c>
      <c r="D38" s="1672">
        <f t="shared" si="2"/>
        <v>129.15</v>
      </c>
      <c r="E38" s="1670"/>
      <c r="F38" s="1671" t="str">
        <f t="shared" si="3"/>
        <v>57.86</v>
      </c>
      <c r="G38" s="1672">
        <f t="shared" si="0"/>
        <v>81</v>
      </c>
      <c r="H38" s="1670"/>
      <c r="I38" s="1670"/>
      <c r="J38" s="1708">
        <v>34</v>
      </c>
      <c r="K38" s="1693">
        <v>67.5</v>
      </c>
      <c r="L38" s="1693">
        <v>68.73</v>
      </c>
      <c r="M38" s="1693">
        <v>69.97</v>
      </c>
      <c r="N38" s="1693">
        <v>71.209999999999994</v>
      </c>
      <c r="O38" s="1693">
        <v>72.45</v>
      </c>
      <c r="P38" s="1694">
        <v>73.680000000000007</v>
      </c>
      <c r="Q38" s="1694">
        <v>74.92</v>
      </c>
      <c r="R38" s="1694">
        <v>76.16</v>
      </c>
      <c r="S38" s="1695">
        <v>77.400000000000006</v>
      </c>
      <c r="T38" s="1696">
        <v>78.63</v>
      </c>
      <c r="U38" s="1696">
        <v>79.87</v>
      </c>
      <c r="V38" s="1695">
        <v>81.11</v>
      </c>
      <c r="W38" s="1695">
        <v>82.35</v>
      </c>
      <c r="X38" s="1695">
        <v>83.58</v>
      </c>
      <c r="Y38" s="1697">
        <v>84.82</v>
      </c>
      <c r="Z38" s="1698">
        <v>86.06</v>
      </c>
      <c r="AA38" s="1699">
        <v>87.3</v>
      </c>
      <c r="AB38" s="1699">
        <v>88.53</v>
      </c>
      <c r="AC38" s="1699">
        <v>89.77</v>
      </c>
      <c r="AD38" s="1699">
        <v>91.01</v>
      </c>
      <c r="AE38" s="1699">
        <v>92.25</v>
      </c>
      <c r="AF38" s="1683">
        <v>75.849999999999994</v>
      </c>
      <c r="AG38" s="1683">
        <v>77.08</v>
      </c>
      <c r="AH38" s="1683">
        <v>78.319999999999993</v>
      </c>
      <c r="AI38" s="1683">
        <v>79.56</v>
      </c>
      <c r="AJ38" s="1701">
        <v>80.8</v>
      </c>
      <c r="AK38" s="1701">
        <v>82.03</v>
      </c>
      <c r="AL38" s="1701">
        <v>83.27</v>
      </c>
      <c r="AM38" s="1701">
        <v>84.51</v>
      </c>
      <c r="AN38" s="1701">
        <v>85.75</v>
      </c>
      <c r="AO38" s="1702">
        <v>86.98</v>
      </c>
      <c r="AP38" s="1461">
        <v>88.22</v>
      </c>
      <c r="AQ38" s="1700">
        <v>89.46</v>
      </c>
      <c r="AR38" s="1700">
        <v>90.7</v>
      </c>
      <c r="AS38" s="1700">
        <v>91.94</v>
      </c>
      <c r="AT38" s="1683">
        <v>93.17</v>
      </c>
      <c r="AU38" s="1700">
        <v>94.41</v>
      </c>
      <c r="AV38" s="1683">
        <v>95.65</v>
      </c>
      <c r="AW38" s="1683">
        <v>96.89</v>
      </c>
      <c r="AX38" s="1683">
        <v>98.12</v>
      </c>
      <c r="AY38" s="1683">
        <v>99.36</v>
      </c>
      <c r="AZ38" s="1683">
        <v>100.6</v>
      </c>
      <c r="BA38" s="1683">
        <v>101.84</v>
      </c>
      <c r="BB38" s="1700">
        <v>103.07</v>
      </c>
      <c r="BC38" s="1683">
        <v>104.31</v>
      </c>
      <c r="BD38" s="1700">
        <v>105.55</v>
      </c>
      <c r="BE38" s="1683">
        <v>106.79</v>
      </c>
      <c r="BF38" s="1683">
        <v>108.02</v>
      </c>
      <c r="BG38" s="1683">
        <v>109.26</v>
      </c>
      <c r="BH38" s="1683">
        <v>110.5</v>
      </c>
      <c r="BI38" s="1683">
        <v>111.74</v>
      </c>
      <c r="BJ38" s="1683">
        <v>112.97</v>
      </c>
      <c r="BK38" s="1683">
        <v>114.21</v>
      </c>
      <c r="BL38" s="1683">
        <v>115.45</v>
      </c>
      <c r="BM38" s="1683">
        <v>116.69</v>
      </c>
      <c r="BN38" s="1683"/>
      <c r="BO38" s="1703">
        <v>34</v>
      </c>
      <c r="BP38" s="1693">
        <v>40.39</v>
      </c>
      <c r="BQ38" s="1693">
        <v>41.26</v>
      </c>
      <c r="BR38" s="1693">
        <v>42.14</v>
      </c>
      <c r="BS38" s="1693">
        <v>43.01</v>
      </c>
      <c r="BT38" s="1693">
        <v>43.88</v>
      </c>
      <c r="BU38" s="1694">
        <v>44.76</v>
      </c>
      <c r="BV38" s="1694">
        <v>45.63</v>
      </c>
      <c r="BW38" s="1694">
        <v>46.51</v>
      </c>
      <c r="BX38" s="1695">
        <v>47.38</v>
      </c>
      <c r="BY38" s="1696">
        <v>48.25</v>
      </c>
      <c r="BZ38" s="1696">
        <v>49.13</v>
      </c>
      <c r="CA38" s="1695">
        <v>50</v>
      </c>
      <c r="CB38" s="1695">
        <v>50.87</v>
      </c>
      <c r="CC38" s="1704">
        <v>51.75</v>
      </c>
      <c r="CD38" s="1697">
        <v>52.62</v>
      </c>
      <c r="CE38" s="1698">
        <v>53.5</v>
      </c>
      <c r="CF38" s="1699">
        <v>54.37</v>
      </c>
      <c r="CG38" s="1699">
        <v>55.24</v>
      </c>
      <c r="CH38" s="1699">
        <v>56.12</v>
      </c>
      <c r="CI38" s="1699">
        <v>56.99</v>
      </c>
      <c r="CJ38" s="1699">
        <v>57.86</v>
      </c>
      <c r="CK38" s="1700">
        <v>49.92</v>
      </c>
      <c r="CL38" s="1700">
        <v>50.8</v>
      </c>
      <c r="CM38" s="1700">
        <v>51.67</v>
      </c>
      <c r="CN38" s="1700">
        <v>52.54</v>
      </c>
      <c r="CO38" s="1705">
        <v>53.42</v>
      </c>
      <c r="CP38" s="1706">
        <v>54.29</v>
      </c>
      <c r="CQ38" s="1701">
        <v>55.17</v>
      </c>
      <c r="CR38" s="1701">
        <v>56.04</v>
      </c>
      <c r="CS38" s="1707">
        <v>56.91</v>
      </c>
      <c r="CT38" s="1700">
        <v>57.79</v>
      </c>
      <c r="CU38" s="1700">
        <v>58.66</v>
      </c>
      <c r="CV38" s="1700">
        <v>59.53</v>
      </c>
      <c r="CW38" s="1700">
        <v>60.41</v>
      </c>
      <c r="CX38" s="1700">
        <v>61.28</v>
      </c>
      <c r="CY38" s="1700">
        <v>62.16</v>
      </c>
      <c r="CZ38" s="1700">
        <v>63.03</v>
      </c>
      <c r="DA38" s="1700">
        <v>63.9</v>
      </c>
      <c r="DB38" s="1700">
        <v>64.78</v>
      </c>
      <c r="DC38" s="1700">
        <v>65.650000000000006</v>
      </c>
      <c r="DD38" s="1700">
        <v>66.53</v>
      </c>
      <c r="DE38" s="1700">
        <v>67.400000000000006</v>
      </c>
      <c r="DF38" s="1700">
        <v>68.27</v>
      </c>
      <c r="DG38" s="1700">
        <v>69.150000000000006</v>
      </c>
      <c r="DH38" s="1700">
        <v>70.02</v>
      </c>
      <c r="DI38" s="1700">
        <v>70.89</v>
      </c>
      <c r="DJ38" s="1700">
        <v>71.77</v>
      </c>
      <c r="DK38" s="1700">
        <v>72.64</v>
      </c>
      <c r="DL38" s="1700">
        <v>73.52</v>
      </c>
      <c r="DM38" s="1700">
        <v>74.39</v>
      </c>
      <c r="DN38" s="1700">
        <v>75.260000000000005</v>
      </c>
      <c r="DO38" s="1700">
        <v>76.14</v>
      </c>
      <c r="DP38" s="1700">
        <v>77.010000000000005</v>
      </c>
      <c r="DQ38" s="1700">
        <v>77.88</v>
      </c>
      <c r="DR38" s="1700">
        <v>78.760000000000005</v>
      </c>
      <c r="DS38" s="1700"/>
      <c r="DT38" s="1700"/>
      <c r="DU38" s="1700"/>
      <c r="DV38" s="1700"/>
      <c r="DW38" s="1700"/>
      <c r="DX38" s="1700"/>
    </row>
    <row r="39" spans="1:128">
      <c r="A39" s="1622"/>
      <c r="B39" s="1691">
        <f t="shared" si="4"/>
        <v>35</v>
      </c>
      <c r="C39" s="1668" t="str">
        <f t="shared" si="1"/>
        <v>94.91</v>
      </c>
      <c r="D39" s="1672">
        <f t="shared" si="2"/>
        <v>132.87</v>
      </c>
      <c r="E39" s="1670"/>
      <c r="F39" s="1671" t="str">
        <f t="shared" si="3"/>
        <v>59.55</v>
      </c>
      <c r="G39" s="1672">
        <f t="shared" si="0"/>
        <v>83.37</v>
      </c>
      <c r="H39" s="1670"/>
      <c r="I39" s="1670"/>
      <c r="J39" s="1708">
        <v>35</v>
      </c>
      <c r="K39" s="1693">
        <v>69.430000000000007</v>
      </c>
      <c r="L39" s="1693">
        <v>70.7</v>
      </c>
      <c r="M39" s="1693">
        <v>71.98</v>
      </c>
      <c r="N39" s="1693">
        <v>73.25</v>
      </c>
      <c r="O39" s="1693">
        <v>74.52</v>
      </c>
      <c r="P39" s="1694">
        <v>75.8</v>
      </c>
      <c r="Q39" s="1694">
        <v>77.069999999999993</v>
      </c>
      <c r="R39" s="1694">
        <v>78.349999999999994</v>
      </c>
      <c r="S39" s="1695">
        <v>79.62</v>
      </c>
      <c r="T39" s="1696">
        <v>80.89</v>
      </c>
      <c r="U39" s="1696">
        <v>82.17</v>
      </c>
      <c r="V39" s="1695">
        <v>83.44</v>
      </c>
      <c r="W39" s="1695">
        <v>84.72</v>
      </c>
      <c r="X39" s="1695">
        <v>85.99</v>
      </c>
      <c r="Y39" s="1697">
        <v>87.26</v>
      </c>
      <c r="Z39" s="1698">
        <v>88.54</v>
      </c>
      <c r="AA39" s="1699">
        <v>89.81</v>
      </c>
      <c r="AB39" s="1699">
        <v>91.09</v>
      </c>
      <c r="AC39" s="1699">
        <v>92.36</v>
      </c>
      <c r="AD39" s="1699">
        <v>93.63</v>
      </c>
      <c r="AE39" s="1699">
        <v>94.91</v>
      </c>
      <c r="AF39" s="1700">
        <v>78.05</v>
      </c>
      <c r="AG39" s="1700">
        <v>79.319999999999993</v>
      </c>
      <c r="AH39" s="1700">
        <v>80.59</v>
      </c>
      <c r="AI39" s="1700">
        <v>81.87</v>
      </c>
      <c r="AJ39" s="1701">
        <v>83.14</v>
      </c>
      <c r="AK39" s="1701">
        <v>84.42</v>
      </c>
      <c r="AL39" s="1701">
        <v>85.69</v>
      </c>
      <c r="AM39" s="1701">
        <v>86.96</v>
      </c>
      <c r="AN39" s="1701">
        <v>88.24</v>
      </c>
      <c r="AO39" s="1702">
        <v>89.51</v>
      </c>
      <c r="AP39" s="1700">
        <v>90.79</v>
      </c>
      <c r="AQ39" s="1700">
        <v>92.06</v>
      </c>
      <c r="AR39" s="1683">
        <v>93.33</v>
      </c>
      <c r="AS39" s="1700">
        <v>94.61</v>
      </c>
      <c r="AT39" s="1700">
        <v>95.88</v>
      </c>
      <c r="AU39" s="1700">
        <v>97.16</v>
      </c>
      <c r="AV39" s="1700">
        <v>98.43</v>
      </c>
      <c r="AW39" s="1700">
        <v>99.7</v>
      </c>
      <c r="AX39" s="1700">
        <v>100.98</v>
      </c>
      <c r="AY39" s="1700">
        <v>102.25</v>
      </c>
      <c r="AZ39" s="1700">
        <v>103.53</v>
      </c>
      <c r="BA39" s="1700">
        <v>104.8</v>
      </c>
      <c r="BB39" s="1700">
        <v>106.07</v>
      </c>
      <c r="BC39" s="1700">
        <v>107.35</v>
      </c>
      <c r="BD39" s="1700">
        <v>108.62</v>
      </c>
      <c r="BE39" s="1700">
        <v>109.9</v>
      </c>
      <c r="BF39" s="1700">
        <v>111.17</v>
      </c>
      <c r="BG39" s="1700">
        <v>112.44</v>
      </c>
      <c r="BH39" s="1700">
        <v>113.72</v>
      </c>
      <c r="BI39" s="1700">
        <v>114.99</v>
      </c>
      <c r="BJ39" s="1700">
        <v>116.27</v>
      </c>
      <c r="BK39" s="1700">
        <v>117.54</v>
      </c>
      <c r="BL39" s="1700">
        <v>118.81</v>
      </c>
      <c r="BM39" s="1700">
        <v>120.09</v>
      </c>
      <c r="BN39" s="1700"/>
      <c r="BO39" s="1703">
        <v>35</v>
      </c>
      <c r="BP39" s="1693">
        <v>41.56</v>
      </c>
      <c r="BQ39" s="1693">
        <v>42.46</v>
      </c>
      <c r="BR39" s="1693">
        <v>43.36</v>
      </c>
      <c r="BS39" s="1693">
        <v>44.26</v>
      </c>
      <c r="BT39" s="1693">
        <v>45.15</v>
      </c>
      <c r="BU39" s="1694">
        <v>46.05</v>
      </c>
      <c r="BV39" s="1694">
        <v>46.95</v>
      </c>
      <c r="BW39" s="1694">
        <v>47.85</v>
      </c>
      <c r="BX39" s="1695">
        <v>48.75</v>
      </c>
      <c r="BY39" s="1696">
        <v>49.65</v>
      </c>
      <c r="BZ39" s="1696">
        <v>50.55</v>
      </c>
      <c r="CA39" s="1695">
        <v>51.45</v>
      </c>
      <c r="CB39" s="1695">
        <v>52.35</v>
      </c>
      <c r="CC39" s="1704">
        <v>53.25</v>
      </c>
      <c r="CD39" s="1697">
        <v>54.15</v>
      </c>
      <c r="CE39" s="1698">
        <v>55.05</v>
      </c>
      <c r="CF39" s="1699">
        <v>55.95</v>
      </c>
      <c r="CG39" s="1699">
        <v>56.85</v>
      </c>
      <c r="CH39" s="1699">
        <v>57.75</v>
      </c>
      <c r="CI39" s="1699">
        <v>58.65</v>
      </c>
      <c r="CJ39" s="1699">
        <v>59.55</v>
      </c>
      <c r="CK39" s="1700">
        <v>51.38</v>
      </c>
      <c r="CL39" s="1700">
        <v>52.28</v>
      </c>
      <c r="CM39" s="1700">
        <v>53.18</v>
      </c>
      <c r="CN39" s="1700">
        <v>54.08</v>
      </c>
      <c r="CO39" s="1705">
        <v>54.98</v>
      </c>
      <c r="CP39" s="1706">
        <v>55.88</v>
      </c>
      <c r="CQ39" s="1701">
        <v>56.78</v>
      </c>
      <c r="CR39" s="1701">
        <v>57.68</v>
      </c>
      <c r="CS39" s="1707">
        <v>58.58</v>
      </c>
      <c r="CT39" s="1700">
        <v>59.47</v>
      </c>
      <c r="CU39" s="1700">
        <v>60.37</v>
      </c>
      <c r="CV39" s="1700">
        <v>61.27</v>
      </c>
      <c r="CW39" s="1700">
        <v>62.17</v>
      </c>
      <c r="CX39" s="1700">
        <v>63.07</v>
      </c>
      <c r="CY39" s="1700">
        <v>63.97</v>
      </c>
      <c r="CZ39" s="1700">
        <v>64.87</v>
      </c>
      <c r="DA39" s="1700">
        <v>65.77</v>
      </c>
      <c r="DB39" s="1700">
        <v>66.67</v>
      </c>
      <c r="DC39" s="1700">
        <v>67.569999999999993</v>
      </c>
      <c r="DD39" s="1700">
        <v>68.47</v>
      </c>
      <c r="DE39" s="1700">
        <v>69.37</v>
      </c>
      <c r="DF39" s="1700">
        <v>70.27</v>
      </c>
      <c r="DG39" s="1700">
        <v>71.17</v>
      </c>
      <c r="DH39" s="1700">
        <v>72.069999999999993</v>
      </c>
      <c r="DI39" s="1700">
        <v>72.97</v>
      </c>
      <c r="DJ39" s="1700">
        <v>73.87</v>
      </c>
      <c r="DK39" s="1700">
        <v>74.77</v>
      </c>
      <c r="DL39" s="1700">
        <v>75.67</v>
      </c>
      <c r="DM39" s="1700">
        <v>76.569999999999993</v>
      </c>
      <c r="DN39" s="1700">
        <v>77.459999999999994</v>
      </c>
      <c r="DO39" s="1700">
        <v>78.36</v>
      </c>
      <c r="DP39" s="1700">
        <v>79.260000000000005</v>
      </c>
      <c r="DQ39" s="1700">
        <v>80.16</v>
      </c>
      <c r="DR39" s="1700">
        <v>81.06</v>
      </c>
      <c r="DS39" s="1700"/>
      <c r="DT39" s="1700"/>
      <c r="DU39" s="1700"/>
      <c r="DV39" s="1700"/>
      <c r="DW39" s="1700"/>
      <c r="DX39" s="1700"/>
    </row>
    <row r="40" spans="1:128">
      <c r="A40" s="1622"/>
      <c r="B40" s="1691">
        <f t="shared" si="4"/>
        <v>36</v>
      </c>
      <c r="C40" s="1668" t="str">
        <f t="shared" si="1"/>
        <v>97.59</v>
      </c>
      <c r="D40" s="1672">
        <f t="shared" si="2"/>
        <v>136.63</v>
      </c>
      <c r="E40" s="1670"/>
      <c r="F40" s="1671" t="str">
        <f t="shared" si="3"/>
        <v>61.23</v>
      </c>
      <c r="G40" s="1672">
        <f t="shared" si="0"/>
        <v>85.72</v>
      </c>
      <c r="H40" s="1670"/>
      <c r="I40" s="1670"/>
      <c r="J40" s="1708">
        <v>36</v>
      </c>
      <c r="K40" s="1693">
        <v>71.38</v>
      </c>
      <c r="L40" s="1693">
        <v>72.69</v>
      </c>
      <c r="M40" s="1693">
        <v>74</v>
      </c>
      <c r="N40" s="1693">
        <v>75.31</v>
      </c>
      <c r="O40" s="1693">
        <v>76.62</v>
      </c>
      <c r="P40" s="1694">
        <v>77.930000000000007</v>
      </c>
      <c r="Q40" s="1694">
        <v>79.25</v>
      </c>
      <c r="R40" s="1694">
        <v>80.56</v>
      </c>
      <c r="S40" s="1695">
        <v>81.87</v>
      </c>
      <c r="T40" s="1696">
        <v>83.18</v>
      </c>
      <c r="U40" s="1696">
        <v>84.49</v>
      </c>
      <c r="V40" s="1695">
        <v>85.8</v>
      </c>
      <c r="W40" s="1695">
        <v>87.11</v>
      </c>
      <c r="X40" s="1695">
        <v>88.42</v>
      </c>
      <c r="Y40" s="1697">
        <v>89.73</v>
      </c>
      <c r="Z40" s="1698">
        <v>91.04</v>
      </c>
      <c r="AA40" s="1699">
        <v>92.35</v>
      </c>
      <c r="AB40" s="1699">
        <v>93.66</v>
      </c>
      <c r="AC40" s="1699">
        <v>94.97</v>
      </c>
      <c r="AD40" s="1699">
        <v>96.28</v>
      </c>
      <c r="AE40" s="1699">
        <v>97.59</v>
      </c>
      <c r="AF40" s="1700">
        <v>80.260000000000005</v>
      </c>
      <c r="AG40" s="1700">
        <v>81.569999999999993</v>
      </c>
      <c r="AH40" s="1700">
        <v>82.88</v>
      </c>
      <c r="AI40" s="1700">
        <v>84.19</v>
      </c>
      <c r="AJ40" s="1701">
        <v>85.5</v>
      </c>
      <c r="AK40" s="1701">
        <v>86.81</v>
      </c>
      <c r="AL40" s="1701">
        <v>88.12</v>
      </c>
      <c r="AM40" s="1701">
        <v>89.43</v>
      </c>
      <c r="AN40" s="1701">
        <v>90.74</v>
      </c>
      <c r="AO40" s="1702">
        <v>92.05</v>
      </c>
      <c r="AP40" s="1700">
        <v>93.36</v>
      </c>
      <c r="AQ40" s="1700">
        <v>94.67</v>
      </c>
      <c r="AR40" s="1700">
        <v>95.98</v>
      </c>
      <c r="AS40" s="1700">
        <v>97.29</v>
      </c>
      <c r="AT40" s="1700">
        <v>98.61</v>
      </c>
      <c r="AU40" s="1700">
        <v>99.92</v>
      </c>
      <c r="AV40" s="1700">
        <v>101.23</v>
      </c>
      <c r="AW40" s="1700">
        <v>102.54</v>
      </c>
      <c r="AX40" s="1700">
        <v>103.85</v>
      </c>
      <c r="AY40" s="1700">
        <v>105.16</v>
      </c>
      <c r="AZ40" s="1700">
        <v>106.47</v>
      </c>
      <c r="BA40" s="1700">
        <v>107.78</v>
      </c>
      <c r="BB40" s="1683">
        <v>109.09</v>
      </c>
      <c r="BC40" s="1700">
        <v>110.4</v>
      </c>
      <c r="BD40" s="1683">
        <v>111.71</v>
      </c>
      <c r="BE40" s="1700">
        <v>113.02</v>
      </c>
      <c r="BF40" s="1700">
        <v>114.33</v>
      </c>
      <c r="BG40" s="1700">
        <v>115.64</v>
      </c>
      <c r="BH40" s="1700">
        <v>116.95</v>
      </c>
      <c r="BI40" s="1700">
        <v>118.26</v>
      </c>
      <c r="BJ40" s="1700">
        <v>119.57</v>
      </c>
      <c r="BK40" s="1700">
        <v>120.88</v>
      </c>
      <c r="BL40" s="1700">
        <v>122.19</v>
      </c>
      <c r="BM40" s="1700">
        <v>123.5</v>
      </c>
      <c r="BN40" s="1700"/>
      <c r="BO40" s="1703">
        <v>36</v>
      </c>
      <c r="BP40" s="1693">
        <v>42.73</v>
      </c>
      <c r="BQ40" s="1693">
        <v>43.66</v>
      </c>
      <c r="BR40" s="1693">
        <v>44.58</v>
      </c>
      <c r="BS40" s="1693">
        <v>45.51</v>
      </c>
      <c r="BT40" s="1693">
        <v>46.43</v>
      </c>
      <c r="BU40" s="1694">
        <v>47.36</v>
      </c>
      <c r="BV40" s="1694">
        <v>48.28</v>
      </c>
      <c r="BW40" s="1694">
        <v>49.21</v>
      </c>
      <c r="BX40" s="1695">
        <v>50.13</v>
      </c>
      <c r="BY40" s="1696">
        <v>51.06</v>
      </c>
      <c r="BZ40" s="1696">
        <v>51.98</v>
      </c>
      <c r="CA40" s="1695">
        <v>52.91</v>
      </c>
      <c r="CB40" s="1695">
        <v>53.83</v>
      </c>
      <c r="CC40" s="1704">
        <v>54.76</v>
      </c>
      <c r="CD40" s="1697">
        <v>55.68</v>
      </c>
      <c r="CE40" s="1698">
        <v>56.61</v>
      </c>
      <c r="CF40" s="1699">
        <v>57.53</v>
      </c>
      <c r="CG40" s="1699">
        <v>58.46</v>
      </c>
      <c r="CH40" s="1699">
        <v>59.38</v>
      </c>
      <c r="CI40" s="1699">
        <v>60.31</v>
      </c>
      <c r="CJ40" s="1699">
        <v>61.23</v>
      </c>
      <c r="CK40" s="1700">
        <v>52.84</v>
      </c>
      <c r="CL40" s="1700">
        <v>53.76</v>
      </c>
      <c r="CM40" s="1700">
        <v>54.69</v>
      </c>
      <c r="CN40" s="1700">
        <v>55.61</v>
      </c>
      <c r="CO40" s="1705">
        <v>56.54</v>
      </c>
      <c r="CP40" s="1706">
        <v>57.46</v>
      </c>
      <c r="CQ40" s="1701">
        <v>58.39</v>
      </c>
      <c r="CR40" s="1701">
        <v>59.32</v>
      </c>
      <c r="CS40" s="1707">
        <v>60.24</v>
      </c>
      <c r="CT40" s="1700">
        <v>61.17</v>
      </c>
      <c r="CU40" s="1700">
        <v>62.09</v>
      </c>
      <c r="CV40" s="1700">
        <v>63.02</v>
      </c>
      <c r="CW40" s="1700">
        <v>63.94</v>
      </c>
      <c r="CX40" s="1700">
        <v>64.87</v>
      </c>
      <c r="CY40" s="1700">
        <v>65.790000000000006</v>
      </c>
      <c r="CZ40" s="1700">
        <v>66.72</v>
      </c>
      <c r="DA40" s="1700">
        <v>67.64</v>
      </c>
      <c r="DB40" s="1700">
        <v>68.569999999999993</v>
      </c>
      <c r="DC40" s="1700">
        <v>69.489999999999995</v>
      </c>
      <c r="DD40" s="1700">
        <v>70.42</v>
      </c>
      <c r="DE40" s="1700">
        <v>71.34</v>
      </c>
      <c r="DF40" s="1700">
        <v>72.27</v>
      </c>
      <c r="DG40" s="1700">
        <v>73.19</v>
      </c>
      <c r="DH40" s="1700">
        <v>74.12</v>
      </c>
      <c r="DI40" s="1700">
        <v>75.040000000000006</v>
      </c>
      <c r="DJ40" s="1700">
        <v>75.97</v>
      </c>
      <c r="DK40" s="1700">
        <v>76.89</v>
      </c>
      <c r="DL40" s="1700">
        <v>77.819999999999993</v>
      </c>
      <c r="DM40" s="1700">
        <v>78.739999999999995</v>
      </c>
      <c r="DN40" s="1700">
        <v>79.67</v>
      </c>
      <c r="DO40" s="1700">
        <v>80.59</v>
      </c>
      <c r="DP40" s="1700">
        <v>81.52</v>
      </c>
      <c r="DQ40" s="1700">
        <v>82.45</v>
      </c>
      <c r="DR40" s="1700">
        <v>83.37</v>
      </c>
      <c r="DS40" s="1700"/>
      <c r="DT40" s="1700"/>
      <c r="DU40" s="1700"/>
      <c r="DV40" s="1700"/>
      <c r="DW40" s="1700"/>
      <c r="DX40" s="1700"/>
    </row>
    <row r="41" spans="1:128">
      <c r="A41" s="1622"/>
      <c r="B41" s="1691">
        <f t="shared" si="4"/>
        <v>37</v>
      </c>
      <c r="C41" s="1668" t="str">
        <f t="shared" si="1"/>
        <v>100.27</v>
      </c>
      <c r="D41" s="1672">
        <f t="shared" si="2"/>
        <v>140.38</v>
      </c>
      <c r="E41" s="1670"/>
      <c r="F41" s="1671" t="str">
        <f t="shared" si="3"/>
        <v>62.91</v>
      </c>
      <c r="G41" s="1672">
        <f t="shared" si="0"/>
        <v>88.07</v>
      </c>
      <c r="H41" s="1670"/>
      <c r="I41" s="1670"/>
      <c r="J41" s="1708">
        <v>37</v>
      </c>
      <c r="K41" s="1693">
        <v>73.34</v>
      </c>
      <c r="L41" s="1693">
        <v>74.680000000000007</v>
      </c>
      <c r="M41" s="1693">
        <v>76.03</v>
      </c>
      <c r="N41" s="1693">
        <v>77.38</v>
      </c>
      <c r="O41" s="1693">
        <v>78.72</v>
      </c>
      <c r="P41" s="1694">
        <v>80.069999999999993</v>
      </c>
      <c r="Q41" s="1694">
        <v>81.42</v>
      </c>
      <c r="R41" s="1694">
        <v>82.77</v>
      </c>
      <c r="S41" s="1695">
        <v>84.11</v>
      </c>
      <c r="T41" s="1696">
        <v>85.46</v>
      </c>
      <c r="U41" s="1696">
        <v>86.81</v>
      </c>
      <c r="V41" s="1695">
        <v>88.15</v>
      </c>
      <c r="W41" s="1695">
        <v>89.5</v>
      </c>
      <c r="X41" s="1695">
        <v>90.85</v>
      </c>
      <c r="Y41" s="1697">
        <v>92.19</v>
      </c>
      <c r="Z41" s="1698">
        <v>93.54</v>
      </c>
      <c r="AA41" s="1699">
        <v>94.89</v>
      </c>
      <c r="AB41" s="1699">
        <v>96.23</v>
      </c>
      <c r="AC41" s="1699">
        <v>97.58</v>
      </c>
      <c r="AD41" s="1699">
        <v>98.93</v>
      </c>
      <c r="AE41" s="1699">
        <v>100.27</v>
      </c>
      <c r="AF41" s="1683">
        <v>82.47</v>
      </c>
      <c r="AG41" s="1683">
        <v>83.82</v>
      </c>
      <c r="AH41" s="1683">
        <v>85.17</v>
      </c>
      <c r="AI41" s="1683">
        <v>86.51</v>
      </c>
      <c r="AJ41" s="1701">
        <v>87.86</v>
      </c>
      <c r="AK41" s="1701">
        <v>89.21</v>
      </c>
      <c r="AL41" s="1701">
        <v>90.55</v>
      </c>
      <c r="AM41" s="1701">
        <v>91.9</v>
      </c>
      <c r="AN41" s="1701">
        <v>93.25</v>
      </c>
      <c r="AO41" s="1702">
        <v>94.59</v>
      </c>
      <c r="AP41" s="1700">
        <v>95.94</v>
      </c>
      <c r="AQ41" s="1700">
        <v>97.29</v>
      </c>
      <c r="AR41" s="1683">
        <v>98.63</v>
      </c>
      <c r="AS41" s="1700">
        <v>99.98</v>
      </c>
      <c r="AT41" s="1683">
        <v>101.33</v>
      </c>
      <c r="AU41" s="1700">
        <v>102.67</v>
      </c>
      <c r="AV41" s="1683">
        <v>104.02</v>
      </c>
      <c r="AW41" s="1683">
        <v>105.37</v>
      </c>
      <c r="AX41" s="1683">
        <v>106.71</v>
      </c>
      <c r="AY41" s="1683">
        <v>108.06</v>
      </c>
      <c r="AZ41" s="1683">
        <v>109.41</v>
      </c>
      <c r="BA41" s="1683">
        <v>110.76</v>
      </c>
      <c r="BB41" s="1700">
        <v>112.1</v>
      </c>
      <c r="BC41" s="1683">
        <v>113.45</v>
      </c>
      <c r="BD41" s="1700">
        <v>114.8</v>
      </c>
      <c r="BE41" s="1683">
        <v>116.14</v>
      </c>
      <c r="BF41" s="1683">
        <v>117.49</v>
      </c>
      <c r="BG41" s="1683">
        <v>118.84</v>
      </c>
      <c r="BH41" s="1683">
        <v>120.18</v>
      </c>
      <c r="BI41" s="1683">
        <v>121.53</v>
      </c>
      <c r="BJ41" s="1683">
        <v>122.88</v>
      </c>
      <c r="BK41" s="1683">
        <v>124.22</v>
      </c>
      <c r="BL41" s="1683">
        <v>125.57</v>
      </c>
      <c r="BM41" s="1683">
        <v>129.91999999999999</v>
      </c>
      <c r="BN41" s="1683"/>
      <c r="BO41" s="1703">
        <v>37</v>
      </c>
      <c r="BP41" s="1693">
        <v>43.9</v>
      </c>
      <c r="BQ41" s="1693">
        <v>44.85</v>
      </c>
      <c r="BR41" s="1693">
        <v>45.8</v>
      </c>
      <c r="BS41" s="1693">
        <v>46.75</v>
      </c>
      <c r="BT41" s="1693">
        <v>47.7</v>
      </c>
      <c r="BU41" s="1694">
        <v>48.65</v>
      </c>
      <c r="BV41" s="1694">
        <v>49.6</v>
      </c>
      <c r="BW41" s="1694">
        <v>50.55</v>
      </c>
      <c r="BX41" s="1695">
        <v>51.5</v>
      </c>
      <c r="BY41" s="1696">
        <v>52.45</v>
      </c>
      <c r="BZ41" s="1696">
        <v>53.41</v>
      </c>
      <c r="CA41" s="1695">
        <v>54.36</v>
      </c>
      <c r="CB41" s="1695">
        <v>55.31</v>
      </c>
      <c r="CC41" s="1704">
        <v>56.26</v>
      </c>
      <c r="CD41" s="1697">
        <v>57.21</v>
      </c>
      <c r="CE41" s="1698">
        <v>58.16</v>
      </c>
      <c r="CF41" s="1699">
        <v>59.11</v>
      </c>
      <c r="CG41" s="1699">
        <v>60.06</v>
      </c>
      <c r="CH41" s="1699">
        <v>61.01</v>
      </c>
      <c r="CI41" s="1699">
        <v>61.96</v>
      </c>
      <c r="CJ41" s="1699">
        <v>62.91</v>
      </c>
      <c r="CK41" s="1700">
        <v>54.29</v>
      </c>
      <c r="CL41" s="1700">
        <v>55.24</v>
      </c>
      <c r="CM41" s="1700">
        <v>56.19</v>
      </c>
      <c r="CN41" s="1700">
        <v>57.15</v>
      </c>
      <c r="CO41" s="1705">
        <v>58.1</v>
      </c>
      <c r="CP41" s="1706">
        <v>59.05</v>
      </c>
      <c r="CQ41" s="1701">
        <v>60</v>
      </c>
      <c r="CR41" s="1701">
        <v>60.95</v>
      </c>
      <c r="CS41" s="1707">
        <v>61.9</v>
      </c>
      <c r="CT41" s="1700">
        <v>62.85</v>
      </c>
      <c r="CU41" s="1700">
        <v>63.8</v>
      </c>
      <c r="CV41" s="1700">
        <v>64.75</v>
      </c>
      <c r="CW41" s="1700">
        <v>65.7</v>
      </c>
      <c r="CX41" s="1700">
        <v>66.650000000000006</v>
      </c>
      <c r="CY41" s="1700">
        <v>67.61</v>
      </c>
      <c r="CZ41" s="1700">
        <v>68.56</v>
      </c>
      <c r="DA41" s="1700">
        <v>69.510000000000005</v>
      </c>
      <c r="DB41" s="1700">
        <v>70.459999999999994</v>
      </c>
      <c r="DC41" s="1700">
        <v>71.41</v>
      </c>
      <c r="DD41" s="1700">
        <v>72.36</v>
      </c>
      <c r="DE41" s="1700">
        <v>73.31</v>
      </c>
      <c r="DF41" s="1700">
        <v>74.260000000000005</v>
      </c>
      <c r="DG41" s="1700">
        <v>75.209999999999994</v>
      </c>
      <c r="DH41" s="1700">
        <v>76.16</v>
      </c>
      <c r="DI41" s="1700">
        <v>77.11</v>
      </c>
      <c r="DJ41" s="1700">
        <v>78.069999999999993</v>
      </c>
      <c r="DK41" s="1700">
        <v>79.02</v>
      </c>
      <c r="DL41" s="1700">
        <v>79.97</v>
      </c>
      <c r="DM41" s="1700">
        <v>80.92</v>
      </c>
      <c r="DN41" s="1700">
        <v>81.87</v>
      </c>
      <c r="DO41" s="1700">
        <v>82.82</v>
      </c>
      <c r="DP41" s="1700">
        <v>83.77</v>
      </c>
      <c r="DQ41" s="1700">
        <v>84.72</v>
      </c>
      <c r="DR41" s="1700">
        <v>85.67</v>
      </c>
      <c r="DS41" s="1700"/>
      <c r="DT41" s="1700"/>
      <c r="DU41" s="1700"/>
      <c r="DV41" s="1700"/>
      <c r="DW41" s="1700"/>
      <c r="DX41" s="1700"/>
    </row>
    <row r="42" spans="1:128">
      <c r="A42" s="1622"/>
      <c r="B42" s="1691">
        <f t="shared" si="4"/>
        <v>38</v>
      </c>
      <c r="C42" s="1668" t="str">
        <f t="shared" si="1"/>
        <v>102.95</v>
      </c>
      <c r="D42" s="1672">
        <f t="shared" si="2"/>
        <v>144.13</v>
      </c>
      <c r="E42" s="1670"/>
      <c r="F42" s="1671" t="str">
        <f t="shared" si="3"/>
        <v>64.6</v>
      </c>
      <c r="G42" s="1672">
        <f t="shared" si="0"/>
        <v>90.44</v>
      </c>
      <c r="H42" s="1670"/>
      <c r="I42" s="1670"/>
      <c r="J42" s="1708">
        <v>38</v>
      </c>
      <c r="K42" s="1693">
        <v>75.290000000000006</v>
      </c>
      <c r="L42" s="1693">
        <v>76.67</v>
      </c>
      <c r="M42" s="1693">
        <v>78.06</v>
      </c>
      <c r="N42" s="1693">
        <v>79.44</v>
      </c>
      <c r="O42" s="1693">
        <v>80.8</v>
      </c>
      <c r="P42" s="1694">
        <v>82.21</v>
      </c>
      <c r="Q42" s="1694">
        <v>83.59</v>
      </c>
      <c r="R42" s="1694">
        <v>84.97</v>
      </c>
      <c r="S42" s="1695">
        <v>86.35</v>
      </c>
      <c r="T42" s="1696">
        <v>87.74</v>
      </c>
      <c r="U42" s="1696">
        <v>89.12</v>
      </c>
      <c r="V42" s="1695">
        <v>90.5</v>
      </c>
      <c r="W42" s="1695">
        <v>91.89</v>
      </c>
      <c r="X42" s="1695">
        <v>93.27</v>
      </c>
      <c r="Y42" s="1697">
        <v>94.65</v>
      </c>
      <c r="Z42" s="1698">
        <v>96.04</v>
      </c>
      <c r="AA42" s="1699">
        <v>97.42</v>
      </c>
      <c r="AB42" s="1699">
        <v>98.8</v>
      </c>
      <c r="AC42" s="1699">
        <v>100.19</v>
      </c>
      <c r="AD42" s="1699">
        <v>101.57</v>
      </c>
      <c r="AE42" s="1699">
        <v>102.95</v>
      </c>
      <c r="AF42" s="1700">
        <v>84.68</v>
      </c>
      <c r="AG42" s="1700">
        <v>86.07</v>
      </c>
      <c r="AH42" s="1700">
        <v>87.45</v>
      </c>
      <c r="AI42" s="1700">
        <v>88.83</v>
      </c>
      <c r="AJ42" s="1701">
        <v>90.22</v>
      </c>
      <c r="AK42" s="1701">
        <v>91.6</v>
      </c>
      <c r="AL42" s="1701">
        <v>92.98</v>
      </c>
      <c r="AM42" s="1701">
        <v>94.37</v>
      </c>
      <c r="AN42" s="1701">
        <v>95.75</v>
      </c>
      <c r="AO42" s="1702">
        <v>97.13</v>
      </c>
      <c r="AP42" s="1700">
        <v>98.52</v>
      </c>
      <c r="AQ42" s="1700">
        <v>99.9</v>
      </c>
      <c r="AR42" s="1700">
        <v>101.28</v>
      </c>
      <c r="AS42" s="1700">
        <v>102.67</v>
      </c>
      <c r="AT42" s="1700">
        <v>104.05</v>
      </c>
      <c r="AU42" s="1700">
        <v>105.43</v>
      </c>
      <c r="AV42" s="1700">
        <v>106.82</v>
      </c>
      <c r="AW42" s="1700">
        <v>108.2</v>
      </c>
      <c r="AX42" s="1700">
        <v>109.58</v>
      </c>
      <c r="AY42" s="1700">
        <v>110.96</v>
      </c>
      <c r="AZ42" s="1700">
        <v>112.35</v>
      </c>
      <c r="BA42" s="1700">
        <v>113.73</v>
      </c>
      <c r="BB42" s="1700">
        <v>115.11</v>
      </c>
      <c r="BC42" s="1700">
        <v>116.5</v>
      </c>
      <c r="BD42" s="1700">
        <v>117.88</v>
      </c>
      <c r="BE42" s="1700">
        <v>119.26</v>
      </c>
      <c r="BF42" s="1700">
        <v>120.65</v>
      </c>
      <c r="BG42" s="1700">
        <v>122.03</v>
      </c>
      <c r="BH42" s="1700">
        <v>123.41</v>
      </c>
      <c r="BI42" s="1700">
        <v>124.8</v>
      </c>
      <c r="BJ42" s="1700">
        <v>126.18</v>
      </c>
      <c r="BK42" s="1700">
        <v>127.56</v>
      </c>
      <c r="BL42" s="1700">
        <v>128.94999999999999</v>
      </c>
      <c r="BM42" s="1700">
        <v>130.33000000000001</v>
      </c>
      <c r="BN42" s="1700"/>
      <c r="BO42" s="1703">
        <v>38</v>
      </c>
      <c r="BP42" s="1693">
        <v>45.07</v>
      </c>
      <c r="BQ42" s="1693">
        <v>46.04</v>
      </c>
      <c r="BR42" s="1693">
        <v>47.02</v>
      </c>
      <c r="BS42" s="1693">
        <v>48</v>
      </c>
      <c r="BT42" s="1693">
        <v>48.97</v>
      </c>
      <c r="BU42" s="1694">
        <v>49.95</v>
      </c>
      <c r="BV42" s="1694">
        <v>50.93</v>
      </c>
      <c r="BW42" s="1694">
        <v>51.9</v>
      </c>
      <c r="BX42" s="1695">
        <v>52.88</v>
      </c>
      <c r="BY42" s="1696">
        <v>53.86</v>
      </c>
      <c r="BZ42" s="1696">
        <v>54.83</v>
      </c>
      <c r="CA42" s="1695">
        <v>55.81</v>
      </c>
      <c r="CB42" s="1695">
        <v>56.79</v>
      </c>
      <c r="CC42" s="1704">
        <v>57.76</v>
      </c>
      <c r="CD42" s="1697">
        <v>58.74</v>
      </c>
      <c r="CE42" s="1698">
        <v>59.72</v>
      </c>
      <c r="CF42" s="1699">
        <v>60.69</v>
      </c>
      <c r="CG42" s="1699">
        <v>61.67</v>
      </c>
      <c r="CH42" s="1699">
        <v>62.65</v>
      </c>
      <c r="CI42" s="1699">
        <v>63.62</v>
      </c>
      <c r="CJ42" s="1699">
        <v>64.599999999999994</v>
      </c>
      <c r="CK42" s="1700">
        <v>55.75</v>
      </c>
      <c r="CL42" s="1700">
        <v>56.73</v>
      </c>
      <c r="CM42" s="1700">
        <v>57.7</v>
      </c>
      <c r="CN42" s="1700">
        <v>58.68</v>
      </c>
      <c r="CO42" s="1705">
        <v>59.66</v>
      </c>
      <c r="CP42" s="1706">
        <v>60.63</v>
      </c>
      <c r="CQ42" s="1701">
        <v>61.61</v>
      </c>
      <c r="CR42" s="1701">
        <v>62.59</v>
      </c>
      <c r="CS42" s="1707">
        <v>63.56</v>
      </c>
      <c r="CT42" s="1700">
        <v>64.540000000000006</v>
      </c>
      <c r="CU42" s="1700">
        <v>65.52</v>
      </c>
      <c r="CV42" s="1700">
        <v>66.489999999999995</v>
      </c>
      <c r="CW42" s="1700">
        <v>67.47</v>
      </c>
      <c r="CX42" s="1700">
        <v>68.45</v>
      </c>
      <c r="CY42" s="1700">
        <v>69.42</v>
      </c>
      <c r="CZ42" s="1700">
        <v>70.400000000000006</v>
      </c>
      <c r="DA42" s="1700">
        <v>71.38</v>
      </c>
      <c r="DB42" s="1700">
        <v>72.349999999999994</v>
      </c>
      <c r="DC42" s="1700">
        <v>73.33</v>
      </c>
      <c r="DD42" s="1700">
        <v>74.31</v>
      </c>
      <c r="DE42" s="1700">
        <v>75.28</v>
      </c>
      <c r="DF42" s="1700">
        <v>76.260000000000005</v>
      </c>
      <c r="DG42" s="1700">
        <v>77.239999999999995</v>
      </c>
      <c r="DH42" s="1700">
        <v>78.209999999999994</v>
      </c>
      <c r="DI42" s="1700">
        <v>79.19</v>
      </c>
      <c r="DJ42" s="1700">
        <v>80.17</v>
      </c>
      <c r="DK42" s="1700">
        <v>81.14</v>
      </c>
      <c r="DL42" s="1700">
        <v>82.12</v>
      </c>
      <c r="DM42" s="1700">
        <v>83.1</v>
      </c>
      <c r="DN42" s="1700">
        <v>84.07</v>
      </c>
      <c r="DO42" s="1700">
        <v>85.05</v>
      </c>
      <c r="DP42" s="1700">
        <v>86.03</v>
      </c>
      <c r="DQ42" s="1700">
        <v>87</v>
      </c>
      <c r="DR42" s="1700">
        <v>87.98</v>
      </c>
      <c r="DS42" s="1700"/>
      <c r="DT42" s="1700"/>
      <c r="DU42" s="1700"/>
      <c r="DV42" s="1700"/>
      <c r="DW42" s="1700"/>
      <c r="DX42" s="1700"/>
    </row>
    <row r="43" spans="1:128">
      <c r="A43" s="1622"/>
      <c r="B43" s="1691">
        <f t="shared" si="4"/>
        <v>39</v>
      </c>
      <c r="C43" s="1668" t="str">
        <f t="shared" si="1"/>
        <v>105.63</v>
      </c>
      <c r="D43" s="1672">
        <f t="shared" si="2"/>
        <v>147.88</v>
      </c>
      <c r="E43" s="1670"/>
      <c r="F43" s="1671" t="str">
        <f t="shared" si="3"/>
        <v>66.29</v>
      </c>
      <c r="G43" s="1672">
        <f t="shared" si="0"/>
        <v>92.81</v>
      </c>
      <c r="H43" s="1670"/>
      <c r="I43" s="1670"/>
      <c r="J43" s="1708">
        <v>39</v>
      </c>
      <c r="K43" s="1693">
        <v>77.239999999999995</v>
      </c>
      <c r="L43" s="1693">
        <v>78.66</v>
      </c>
      <c r="M43" s="1693">
        <v>80.069999999999993</v>
      </c>
      <c r="N43" s="1693">
        <v>81.489999999999995</v>
      </c>
      <c r="O43" s="1693">
        <v>82.91</v>
      </c>
      <c r="P43" s="1694">
        <v>84.33</v>
      </c>
      <c r="Q43" s="1694">
        <v>85.75</v>
      </c>
      <c r="R43" s="1694">
        <v>87.17</v>
      </c>
      <c r="S43" s="1695">
        <v>88.59</v>
      </c>
      <c r="T43" s="1696">
        <v>90.01</v>
      </c>
      <c r="U43" s="1696">
        <v>91.43</v>
      </c>
      <c r="V43" s="1695">
        <v>92.85</v>
      </c>
      <c r="W43" s="1695">
        <v>94.27</v>
      </c>
      <c r="X43" s="1695">
        <v>95.69</v>
      </c>
      <c r="Y43" s="1697">
        <v>97.11</v>
      </c>
      <c r="Z43" s="1698">
        <v>98.53</v>
      </c>
      <c r="AA43" s="1699">
        <v>99.95</v>
      </c>
      <c r="AB43" s="1699">
        <v>101.37</v>
      </c>
      <c r="AC43" s="1699">
        <v>102.79</v>
      </c>
      <c r="AD43" s="1699">
        <v>104.21</v>
      </c>
      <c r="AE43" s="1699">
        <v>105.63</v>
      </c>
      <c r="AF43" s="1700">
        <v>86.89</v>
      </c>
      <c r="AG43" s="1700">
        <v>88.31</v>
      </c>
      <c r="AH43" s="1700">
        <v>89.73</v>
      </c>
      <c r="AI43" s="1700">
        <v>91.15</v>
      </c>
      <c r="AJ43" s="1701">
        <v>92.57</v>
      </c>
      <c r="AK43" s="1701">
        <v>93.99</v>
      </c>
      <c r="AL43" s="1701">
        <v>95.41</v>
      </c>
      <c r="AM43" s="1701">
        <v>96.83</v>
      </c>
      <c r="AN43" s="1701">
        <v>98.25</v>
      </c>
      <c r="AO43" s="1702">
        <v>99.67</v>
      </c>
      <c r="AP43" s="1700">
        <v>101.09</v>
      </c>
      <c r="AQ43" s="1700">
        <v>102.51</v>
      </c>
      <c r="AR43" s="1683">
        <v>103.93</v>
      </c>
      <c r="AS43" s="1700">
        <v>105.35</v>
      </c>
      <c r="AT43" s="1700">
        <v>106.77</v>
      </c>
      <c r="AU43" s="1700">
        <v>108.19</v>
      </c>
      <c r="AV43" s="1700">
        <v>109.61</v>
      </c>
      <c r="AW43" s="1700">
        <v>111.03</v>
      </c>
      <c r="AX43" s="1700">
        <v>112.44</v>
      </c>
      <c r="AY43" s="1700">
        <v>113.86</v>
      </c>
      <c r="AZ43" s="1700">
        <v>115.28</v>
      </c>
      <c r="BA43" s="1700">
        <v>116.7</v>
      </c>
      <c r="BB43" s="1683">
        <v>118.12</v>
      </c>
      <c r="BC43" s="1700">
        <v>119.54</v>
      </c>
      <c r="BD43" s="1683">
        <v>120.96</v>
      </c>
      <c r="BE43" s="1700">
        <v>122.38</v>
      </c>
      <c r="BF43" s="1700">
        <v>123.8</v>
      </c>
      <c r="BG43" s="1700">
        <v>125.22</v>
      </c>
      <c r="BH43" s="1700">
        <v>126.64</v>
      </c>
      <c r="BI43" s="1700">
        <v>128.06</v>
      </c>
      <c r="BJ43" s="1700">
        <v>129.47999999999999</v>
      </c>
      <c r="BK43" s="1700">
        <v>130.9</v>
      </c>
      <c r="BL43" s="1700">
        <v>132.32</v>
      </c>
      <c r="BM43" s="1700">
        <v>133.74</v>
      </c>
      <c r="BN43" s="1700"/>
      <c r="BO43" s="1703">
        <v>39</v>
      </c>
      <c r="BP43" s="1693">
        <v>46.24</v>
      </c>
      <c r="BQ43" s="1693">
        <v>47.25</v>
      </c>
      <c r="BR43" s="1693">
        <v>48.25</v>
      </c>
      <c r="BS43" s="1693">
        <v>49.25</v>
      </c>
      <c r="BT43" s="1693">
        <v>50.25</v>
      </c>
      <c r="BU43" s="1694">
        <v>51.25</v>
      </c>
      <c r="BV43" s="1694">
        <v>52.26</v>
      </c>
      <c r="BW43" s="1694">
        <v>53.26</v>
      </c>
      <c r="BX43" s="1695">
        <v>54.26</v>
      </c>
      <c r="BY43" s="1696">
        <v>55.26</v>
      </c>
      <c r="BZ43" s="1696">
        <v>56.27</v>
      </c>
      <c r="CA43" s="1695">
        <v>57.27</v>
      </c>
      <c r="CB43" s="1695">
        <v>58.27</v>
      </c>
      <c r="CC43" s="1704">
        <v>59.27</v>
      </c>
      <c r="CD43" s="1697">
        <v>60.28</v>
      </c>
      <c r="CE43" s="1698">
        <v>61.28</v>
      </c>
      <c r="CF43" s="1699">
        <v>62.28</v>
      </c>
      <c r="CG43" s="1699">
        <v>63.28</v>
      </c>
      <c r="CH43" s="1699">
        <v>64.28</v>
      </c>
      <c r="CI43" s="1699">
        <v>65.290000000000006</v>
      </c>
      <c r="CJ43" s="1699">
        <v>66.290000000000006</v>
      </c>
      <c r="CK43" s="1700">
        <v>57.21</v>
      </c>
      <c r="CL43" s="1700">
        <v>588.21</v>
      </c>
      <c r="CM43" s="1700">
        <v>59.22</v>
      </c>
      <c r="CN43" s="1700">
        <v>60.22</v>
      </c>
      <c r="CO43" s="1705">
        <v>61.22</v>
      </c>
      <c r="CP43" s="1706">
        <v>62.22</v>
      </c>
      <c r="CQ43" s="1701">
        <v>63.23</v>
      </c>
      <c r="CR43" s="1701">
        <v>64.23</v>
      </c>
      <c r="CS43" s="1707">
        <v>65.23</v>
      </c>
      <c r="CT43" s="1700">
        <v>66.23</v>
      </c>
      <c r="CU43" s="1700">
        <v>67.23</v>
      </c>
      <c r="CV43" s="1700">
        <v>68.239999999999995</v>
      </c>
      <c r="CW43" s="1700">
        <v>69.239999999999995</v>
      </c>
      <c r="CX43" s="1700">
        <v>70.239999999999995</v>
      </c>
      <c r="CY43" s="1700">
        <v>71.239999999999995</v>
      </c>
      <c r="CZ43" s="1700">
        <v>72.25</v>
      </c>
      <c r="DA43" s="1700">
        <v>73.25</v>
      </c>
      <c r="DB43" s="1700">
        <v>74.25</v>
      </c>
      <c r="DC43" s="1700">
        <v>75.25</v>
      </c>
      <c r="DD43" s="1700">
        <v>76.260000000000005</v>
      </c>
      <c r="DE43" s="1700">
        <v>77.260000000000005</v>
      </c>
      <c r="DF43" s="1700">
        <v>78.260000000000005</v>
      </c>
      <c r="DG43" s="1700">
        <v>79.260000000000005</v>
      </c>
      <c r="DH43" s="1700">
        <v>80.260000000000005</v>
      </c>
      <c r="DI43" s="1700">
        <v>81.27</v>
      </c>
      <c r="DJ43" s="1700">
        <v>82.27</v>
      </c>
      <c r="DK43" s="1700">
        <v>83.27</v>
      </c>
      <c r="DL43" s="1700">
        <v>84.27</v>
      </c>
      <c r="DM43" s="1700">
        <v>85.28</v>
      </c>
      <c r="DN43" s="1700">
        <v>86.28</v>
      </c>
      <c r="DO43" s="1700">
        <v>87.28</v>
      </c>
      <c r="DP43" s="1700">
        <v>88.28</v>
      </c>
      <c r="DQ43" s="1700">
        <v>89.29</v>
      </c>
      <c r="DR43" s="1700">
        <v>90.29</v>
      </c>
      <c r="DS43" s="1700"/>
      <c r="DT43" s="1700"/>
      <c r="DU43" s="1700"/>
      <c r="DV43" s="1700"/>
      <c r="DW43" s="1700"/>
      <c r="DX43" s="1700"/>
    </row>
    <row r="44" spans="1:128">
      <c r="A44" s="1622"/>
      <c r="B44" s="1691">
        <f t="shared" si="4"/>
        <v>40</v>
      </c>
      <c r="C44" s="1668" t="str">
        <f t="shared" si="1"/>
        <v>108.29</v>
      </c>
      <c r="D44" s="1672">
        <f t="shared" si="2"/>
        <v>151.61000000000001</v>
      </c>
      <c r="E44" s="1670"/>
      <c r="F44" s="1671" t="str">
        <f t="shared" si="3"/>
        <v>67.97</v>
      </c>
      <c r="G44" s="1672">
        <f t="shared" si="0"/>
        <v>95.16</v>
      </c>
      <c r="H44" s="1670"/>
      <c r="I44" s="1670"/>
      <c r="J44" s="1708">
        <v>40</v>
      </c>
      <c r="K44" s="1693">
        <v>79.17</v>
      </c>
      <c r="L44" s="1693">
        <v>80.63</v>
      </c>
      <c r="M44" s="1693">
        <v>82.09</v>
      </c>
      <c r="N44" s="1693">
        <v>83.54</v>
      </c>
      <c r="O44" s="1693">
        <v>85</v>
      </c>
      <c r="P44" s="1694">
        <v>86.45</v>
      </c>
      <c r="Q44" s="1694">
        <v>87.91</v>
      </c>
      <c r="R44" s="1694">
        <v>89.37</v>
      </c>
      <c r="S44" s="1695">
        <v>90.82</v>
      </c>
      <c r="T44" s="1696">
        <v>92.28</v>
      </c>
      <c r="U44" s="1696">
        <v>93.73</v>
      </c>
      <c r="V44" s="1695">
        <v>95.19</v>
      </c>
      <c r="W44" s="1695">
        <v>96.65</v>
      </c>
      <c r="X44" s="1695">
        <v>98.1</v>
      </c>
      <c r="Y44" s="1697">
        <v>99.56</v>
      </c>
      <c r="Z44" s="1698">
        <v>101.01</v>
      </c>
      <c r="AA44" s="1699">
        <v>102.47</v>
      </c>
      <c r="AB44" s="1699">
        <v>103.93</v>
      </c>
      <c r="AC44" s="1699">
        <v>105.38</v>
      </c>
      <c r="AD44" s="1699">
        <v>106.84</v>
      </c>
      <c r="AE44" s="1699">
        <v>108.29</v>
      </c>
      <c r="AF44" s="1683">
        <v>89.1</v>
      </c>
      <c r="AG44" s="1683">
        <v>90.55</v>
      </c>
      <c r="AH44" s="1683">
        <v>92.01</v>
      </c>
      <c r="AI44" s="1683">
        <v>93.46</v>
      </c>
      <c r="AJ44" s="1701">
        <v>94.92</v>
      </c>
      <c r="AK44" s="1701">
        <v>96.38</v>
      </c>
      <c r="AL44" s="1701">
        <v>97.83</v>
      </c>
      <c r="AM44" s="1701">
        <v>99.29</v>
      </c>
      <c r="AN44" s="1701">
        <v>100.74</v>
      </c>
      <c r="AO44" s="1702">
        <v>102.2</v>
      </c>
      <c r="AP44" s="1700">
        <v>103.66</v>
      </c>
      <c r="AQ44" s="1700">
        <v>105.11</v>
      </c>
      <c r="AR44" s="1700">
        <v>106.57</v>
      </c>
      <c r="AS44" s="1700">
        <v>108.02</v>
      </c>
      <c r="AT44" s="1683">
        <v>109.48</v>
      </c>
      <c r="AU44" s="1700">
        <v>110.94</v>
      </c>
      <c r="AV44" s="1683">
        <v>112.39</v>
      </c>
      <c r="AW44" s="1683">
        <v>113.85</v>
      </c>
      <c r="AX44" s="1683">
        <v>115.3</v>
      </c>
      <c r="AY44" s="1683">
        <v>116.76</v>
      </c>
      <c r="AZ44" s="1683">
        <v>118.22</v>
      </c>
      <c r="BA44" s="1683">
        <v>119.67</v>
      </c>
      <c r="BB44" s="1700">
        <v>121.13</v>
      </c>
      <c r="BC44" s="1683">
        <v>122.58</v>
      </c>
      <c r="BD44" s="1700">
        <v>124.04</v>
      </c>
      <c r="BE44" s="1683">
        <v>125.5</v>
      </c>
      <c r="BF44" s="1683">
        <v>126.95</v>
      </c>
      <c r="BG44" s="1683">
        <v>128.41</v>
      </c>
      <c r="BH44" s="1683">
        <v>129.86000000000001</v>
      </c>
      <c r="BI44" s="1683">
        <v>131.32</v>
      </c>
      <c r="BJ44" s="1683">
        <v>132.78</v>
      </c>
      <c r="BK44" s="1683">
        <v>134.22999999999999</v>
      </c>
      <c r="BL44" s="1683">
        <v>135.69</v>
      </c>
      <c r="BM44" s="1683">
        <v>137.13999999999999</v>
      </c>
      <c r="BN44" s="1683"/>
      <c r="BO44" s="1703">
        <v>40</v>
      </c>
      <c r="BP44" s="1693">
        <v>47.41</v>
      </c>
      <c r="BQ44" s="1693">
        <v>48.44</v>
      </c>
      <c r="BR44" s="1693">
        <v>49.46</v>
      </c>
      <c r="BS44" s="1693">
        <v>50.49</v>
      </c>
      <c r="BT44" s="1693">
        <v>51.52</v>
      </c>
      <c r="BU44" s="1694">
        <v>52.55</v>
      </c>
      <c r="BV44" s="1694">
        <v>53.58</v>
      </c>
      <c r="BW44" s="1694">
        <v>54.6</v>
      </c>
      <c r="BX44" s="1695">
        <v>55.63</v>
      </c>
      <c r="BY44" s="1696">
        <v>56.66</v>
      </c>
      <c r="BZ44" s="1696">
        <v>57.69</v>
      </c>
      <c r="CA44" s="1695">
        <v>58.72</v>
      </c>
      <c r="CB44" s="1695">
        <v>59.74</v>
      </c>
      <c r="CC44" s="1704">
        <v>60.77</v>
      </c>
      <c r="CD44" s="1697">
        <v>61.8</v>
      </c>
      <c r="CE44" s="1698">
        <v>62.83</v>
      </c>
      <c r="CF44" s="1699">
        <v>63.86</v>
      </c>
      <c r="CG44" s="1699">
        <v>64.88</v>
      </c>
      <c r="CH44" s="1699">
        <v>65.91</v>
      </c>
      <c r="CI44" s="1699">
        <v>66.94</v>
      </c>
      <c r="CJ44" s="1699">
        <v>67.97</v>
      </c>
      <c r="CK44" s="1700">
        <v>58.67</v>
      </c>
      <c r="CL44" s="1700">
        <v>59.69</v>
      </c>
      <c r="CM44" s="1700">
        <v>60.72</v>
      </c>
      <c r="CN44" s="1700">
        <v>61.75</v>
      </c>
      <c r="CO44" s="1705">
        <v>62.78</v>
      </c>
      <c r="CP44" s="1706">
        <v>63.81</v>
      </c>
      <c r="CQ44" s="1701">
        <v>64.83</v>
      </c>
      <c r="CR44" s="1701">
        <v>65.86</v>
      </c>
      <c r="CS44" s="1707">
        <v>66.89</v>
      </c>
      <c r="CT44" s="1700">
        <v>67.92</v>
      </c>
      <c r="CU44" s="1700">
        <v>68.95</v>
      </c>
      <c r="CV44" s="1700">
        <v>69.97</v>
      </c>
      <c r="CW44" s="1700">
        <v>71</v>
      </c>
      <c r="CX44" s="1700">
        <v>72.03</v>
      </c>
      <c r="CY44" s="1700">
        <v>73.06</v>
      </c>
      <c r="CZ44" s="1700">
        <v>74.09</v>
      </c>
      <c r="DA44" s="1700">
        <v>75.11</v>
      </c>
      <c r="DB44" s="1700">
        <v>76.14</v>
      </c>
      <c r="DC44" s="1700">
        <v>77.17</v>
      </c>
      <c r="DD44" s="1700">
        <v>78.2</v>
      </c>
      <c r="DE44" s="1700">
        <v>79.23</v>
      </c>
      <c r="DF44" s="1700">
        <v>80.25</v>
      </c>
      <c r="DG44" s="1700">
        <v>81.28</v>
      </c>
      <c r="DH44" s="1700">
        <v>82.31</v>
      </c>
      <c r="DI44" s="1700">
        <v>83.34</v>
      </c>
      <c r="DJ44" s="1700">
        <v>84.37</v>
      </c>
      <c r="DK44" s="1700">
        <v>85.39</v>
      </c>
      <c r="DL44" s="1700">
        <v>86.42</v>
      </c>
      <c r="DM44" s="1700">
        <v>87.45</v>
      </c>
      <c r="DN44" s="1700">
        <v>88.48</v>
      </c>
      <c r="DO44" s="1700">
        <v>89.51</v>
      </c>
      <c r="DP44" s="1700">
        <v>90.53</v>
      </c>
      <c r="DQ44" s="1700">
        <v>91.56</v>
      </c>
      <c r="DR44" s="1700">
        <v>92.59</v>
      </c>
      <c r="DS44" s="1700"/>
      <c r="DT44" s="1700"/>
      <c r="DU44" s="1700"/>
      <c r="DV44" s="1700"/>
      <c r="DW44" s="1700"/>
      <c r="DX44" s="1700"/>
    </row>
    <row r="45" spans="1:128">
      <c r="A45" s="1622"/>
      <c r="B45" s="1691">
        <f t="shared" si="4"/>
        <v>41</v>
      </c>
      <c r="C45" s="1668" t="str">
        <f t="shared" si="1"/>
        <v>110.98</v>
      </c>
      <c r="D45" s="1672">
        <f t="shared" si="2"/>
        <v>155.37</v>
      </c>
      <c r="E45" s="1670"/>
      <c r="F45" s="1671" t="str">
        <f t="shared" si="3"/>
        <v>69.65</v>
      </c>
      <c r="G45" s="1672">
        <f t="shared" si="0"/>
        <v>97.51</v>
      </c>
      <c r="H45" s="1670"/>
      <c r="I45" s="1670"/>
      <c r="J45" s="1708">
        <v>41</v>
      </c>
      <c r="K45" s="1693">
        <v>81.13</v>
      </c>
      <c r="L45" s="1693">
        <v>82.63</v>
      </c>
      <c r="M45" s="1693">
        <v>84.12</v>
      </c>
      <c r="N45" s="1693">
        <v>85.61</v>
      </c>
      <c r="O45" s="1693">
        <v>87.1</v>
      </c>
      <c r="P45" s="1694">
        <v>88.6</v>
      </c>
      <c r="Q45" s="1694">
        <v>90.09</v>
      </c>
      <c r="R45" s="1694">
        <v>91.58</v>
      </c>
      <c r="S45" s="1695">
        <v>93.07</v>
      </c>
      <c r="T45" s="1696">
        <v>94.57</v>
      </c>
      <c r="U45" s="1696">
        <v>96.06</v>
      </c>
      <c r="V45" s="1695">
        <v>97.55</v>
      </c>
      <c r="W45" s="1695">
        <v>99.04</v>
      </c>
      <c r="X45" s="1695">
        <v>100.54</v>
      </c>
      <c r="Y45" s="1697">
        <v>102.03</v>
      </c>
      <c r="Z45" s="1698">
        <v>103.52</v>
      </c>
      <c r="AA45" s="1699">
        <v>105.01</v>
      </c>
      <c r="AB45" s="1699">
        <v>106.51</v>
      </c>
      <c r="AC45" s="1699">
        <v>108</v>
      </c>
      <c r="AD45" s="1699">
        <v>109.49</v>
      </c>
      <c r="AE45" s="1699">
        <v>110.98</v>
      </c>
      <c r="AF45" s="1700">
        <v>91.31</v>
      </c>
      <c r="AG45" s="1700">
        <v>92.8</v>
      </c>
      <c r="AH45" s="1700">
        <v>94.3</v>
      </c>
      <c r="AI45" s="1700">
        <v>95.79</v>
      </c>
      <c r="AJ45" s="1701">
        <v>97.28</v>
      </c>
      <c r="AK45" s="1701">
        <v>98.77</v>
      </c>
      <c r="AL45" s="1701">
        <v>100.27</v>
      </c>
      <c r="AM45" s="1701">
        <v>101.76</v>
      </c>
      <c r="AN45" s="1701">
        <v>103.25</v>
      </c>
      <c r="AO45" s="1702">
        <v>104.74</v>
      </c>
      <c r="AP45" s="1700">
        <v>106.24</v>
      </c>
      <c r="AQ45" s="1700">
        <v>107.73</v>
      </c>
      <c r="AR45" s="1683">
        <v>109.22</v>
      </c>
      <c r="AS45" s="1700">
        <v>110.71</v>
      </c>
      <c r="AT45" s="1700">
        <v>112.21</v>
      </c>
      <c r="AU45" s="1700">
        <v>113.7</v>
      </c>
      <c r="AV45" s="1700">
        <v>115.19</v>
      </c>
      <c r="AW45" s="1700">
        <v>116.68</v>
      </c>
      <c r="AX45" s="1700">
        <v>118.18</v>
      </c>
      <c r="AY45" s="1700">
        <v>119.67</v>
      </c>
      <c r="AZ45" s="1700">
        <v>121.16</v>
      </c>
      <c r="BA45" s="1700">
        <v>122.65</v>
      </c>
      <c r="BB45" s="1700">
        <v>124.14</v>
      </c>
      <c r="BC45" s="1700">
        <v>125.64</v>
      </c>
      <c r="BD45" s="1700">
        <v>127.13</v>
      </c>
      <c r="BE45" s="1700">
        <v>128.62</v>
      </c>
      <c r="BF45" s="1700">
        <v>130.11000000000001</v>
      </c>
      <c r="BG45" s="1700">
        <v>131.61000000000001</v>
      </c>
      <c r="BH45" s="1700">
        <v>133.1</v>
      </c>
      <c r="BI45" s="1700">
        <v>134.59</v>
      </c>
      <c r="BJ45" s="1700">
        <v>136.08000000000001</v>
      </c>
      <c r="BK45" s="1700">
        <v>137.58000000000001</v>
      </c>
      <c r="BL45" s="1700">
        <v>139.07</v>
      </c>
      <c r="BM45" s="1700">
        <v>140.56</v>
      </c>
      <c r="BN45" s="1700"/>
      <c r="BO45" s="1703">
        <v>41</v>
      </c>
      <c r="BP45" s="1693">
        <v>48.58</v>
      </c>
      <c r="BQ45" s="1693">
        <v>49.63</v>
      </c>
      <c r="BR45" s="1693">
        <v>50.68</v>
      </c>
      <c r="BS45" s="1693">
        <v>51.74</v>
      </c>
      <c r="BT45" s="1693">
        <v>52.79</v>
      </c>
      <c r="BU45" s="1694">
        <v>53.85</v>
      </c>
      <c r="BV45" s="1694">
        <v>54.9</v>
      </c>
      <c r="BW45" s="1694">
        <v>55.95</v>
      </c>
      <c r="BX45" s="1695">
        <v>57.01</v>
      </c>
      <c r="BY45" s="1696">
        <v>58.06</v>
      </c>
      <c r="BZ45" s="1696">
        <v>59.11</v>
      </c>
      <c r="CA45" s="1695">
        <v>60.17</v>
      </c>
      <c r="CB45" s="1695">
        <v>61.22</v>
      </c>
      <c r="CC45" s="1704">
        <v>62.28</v>
      </c>
      <c r="CD45" s="1697">
        <v>63.33</v>
      </c>
      <c r="CE45" s="1698">
        <v>64.38</v>
      </c>
      <c r="CF45" s="1699">
        <v>65.44</v>
      </c>
      <c r="CG45" s="1699">
        <v>66.489999999999995</v>
      </c>
      <c r="CH45" s="1699">
        <v>67.540000000000006</v>
      </c>
      <c r="CI45" s="1699">
        <v>68.599999999999994</v>
      </c>
      <c r="CJ45" s="1699">
        <v>69.650000000000006</v>
      </c>
      <c r="CK45" s="1700">
        <v>60.12</v>
      </c>
      <c r="CL45" s="1700">
        <v>61.18</v>
      </c>
      <c r="CM45" s="1700">
        <v>62.23</v>
      </c>
      <c r="CN45" s="1700">
        <v>63.28</v>
      </c>
      <c r="CO45" s="1705">
        <v>64.34</v>
      </c>
      <c r="CP45" s="1706">
        <v>65.39</v>
      </c>
      <c r="CQ45" s="1701">
        <v>66.44</v>
      </c>
      <c r="CR45" s="1701">
        <v>67.5</v>
      </c>
      <c r="CS45" s="1707">
        <v>68.55</v>
      </c>
      <c r="CT45" s="1461">
        <v>69.61</v>
      </c>
      <c r="CU45" s="1700">
        <v>70.66</v>
      </c>
      <c r="CV45" s="1700">
        <v>71.709999999999994</v>
      </c>
      <c r="CW45" s="1700">
        <v>72.77</v>
      </c>
      <c r="CX45" s="1700">
        <v>73.819999999999993</v>
      </c>
      <c r="CY45" s="1700">
        <v>74.87</v>
      </c>
      <c r="CZ45" s="1700">
        <v>75.930000000000007</v>
      </c>
      <c r="DA45" s="1700">
        <v>76.98</v>
      </c>
      <c r="DB45" s="1700">
        <v>78.040000000000006</v>
      </c>
      <c r="DC45" s="1700">
        <v>79.09</v>
      </c>
      <c r="DD45" s="1700">
        <v>80.14</v>
      </c>
      <c r="DE45" s="1700">
        <v>81.2</v>
      </c>
      <c r="DF45" s="1700">
        <v>82.25</v>
      </c>
      <c r="DG45" s="1700">
        <v>83.3</v>
      </c>
      <c r="DH45" s="1700">
        <v>84.36</v>
      </c>
      <c r="DI45" s="1700">
        <v>85.41</v>
      </c>
      <c r="DJ45" s="1700">
        <v>86.47</v>
      </c>
      <c r="DK45" s="1700">
        <v>87.52</v>
      </c>
      <c r="DL45" s="1700">
        <v>88.57</v>
      </c>
      <c r="DM45" s="1700">
        <v>89.63</v>
      </c>
      <c r="DN45" s="1700">
        <v>90.68</v>
      </c>
      <c r="DO45" s="1700">
        <v>91.73</v>
      </c>
      <c r="DP45" s="1700">
        <v>92.79</v>
      </c>
      <c r="DQ45" s="1700">
        <v>93.84</v>
      </c>
      <c r="DR45" s="1700">
        <v>94.89</v>
      </c>
      <c r="DS45" s="1700"/>
      <c r="DT45" s="1700"/>
      <c r="DU45" s="1700"/>
      <c r="DV45" s="1700"/>
      <c r="DW45" s="1700"/>
      <c r="DX45" s="1700"/>
    </row>
    <row r="46" spans="1:128">
      <c r="A46" s="1622"/>
      <c r="B46" s="1691">
        <f t="shared" si="4"/>
        <v>42</v>
      </c>
      <c r="C46" s="1668" t="str">
        <f t="shared" si="1"/>
        <v>113.66</v>
      </c>
      <c r="D46" s="1672">
        <f t="shared" si="2"/>
        <v>159.12</v>
      </c>
      <c r="E46" s="1670"/>
      <c r="F46" s="1671" t="str">
        <f t="shared" si="3"/>
        <v>71.34</v>
      </c>
      <c r="G46" s="1672">
        <f t="shared" si="0"/>
        <v>99.88</v>
      </c>
      <c r="H46" s="1670"/>
      <c r="I46" s="1670"/>
      <c r="J46" s="1708">
        <v>42</v>
      </c>
      <c r="K46" s="1693">
        <v>83.08</v>
      </c>
      <c r="L46" s="1693">
        <v>84.61</v>
      </c>
      <c r="M46" s="1693">
        <v>86.14</v>
      </c>
      <c r="N46" s="1693">
        <v>87.67</v>
      </c>
      <c r="O46" s="1693">
        <v>89.2</v>
      </c>
      <c r="P46" s="1694">
        <v>90.73</v>
      </c>
      <c r="Q46" s="1694">
        <v>92.26</v>
      </c>
      <c r="R46" s="1694">
        <v>93.79</v>
      </c>
      <c r="S46" s="1695">
        <v>95.31</v>
      </c>
      <c r="T46" s="1696">
        <v>96.84</v>
      </c>
      <c r="U46" s="1696">
        <v>98.37</v>
      </c>
      <c r="V46" s="1695">
        <v>99.9</v>
      </c>
      <c r="W46" s="1695">
        <v>101.43</v>
      </c>
      <c r="X46" s="1695">
        <v>102.96</v>
      </c>
      <c r="Y46" s="1697">
        <v>104.49</v>
      </c>
      <c r="Z46" s="1698">
        <v>106.02</v>
      </c>
      <c r="AA46" s="1699">
        <v>107.54</v>
      </c>
      <c r="AB46" s="1699">
        <v>109.07</v>
      </c>
      <c r="AC46" s="1699">
        <v>110.6</v>
      </c>
      <c r="AD46" s="1699">
        <v>112.13</v>
      </c>
      <c r="AE46" s="1699">
        <v>113.66</v>
      </c>
      <c r="AF46" s="1700">
        <v>93.52</v>
      </c>
      <c r="AG46" s="1700">
        <v>95.05</v>
      </c>
      <c r="AH46" s="1700">
        <v>96.58</v>
      </c>
      <c r="AI46" s="1700">
        <v>98.11</v>
      </c>
      <c r="AJ46" s="1701">
        <v>99.64</v>
      </c>
      <c r="AK46" s="1701">
        <v>101.17</v>
      </c>
      <c r="AL46" s="1701">
        <v>102.69</v>
      </c>
      <c r="AM46" s="1701">
        <v>104.22</v>
      </c>
      <c r="AN46" s="1701">
        <v>105.75</v>
      </c>
      <c r="AO46" s="1702">
        <v>107.28</v>
      </c>
      <c r="AP46" s="1700">
        <v>108.81</v>
      </c>
      <c r="AQ46" s="1700">
        <v>110.34</v>
      </c>
      <c r="AR46" s="1700">
        <v>111.87</v>
      </c>
      <c r="AS46" s="1700">
        <v>113.4</v>
      </c>
      <c r="AT46" s="1700">
        <v>114.93</v>
      </c>
      <c r="AU46" s="1700">
        <v>116.45</v>
      </c>
      <c r="AV46" s="1700">
        <v>117.98</v>
      </c>
      <c r="AW46" s="1700">
        <v>119.51</v>
      </c>
      <c r="AX46" s="1700">
        <v>121.04</v>
      </c>
      <c r="AY46" s="1700">
        <v>122.57</v>
      </c>
      <c r="AZ46" s="1700">
        <v>124.1</v>
      </c>
      <c r="BA46" s="1700">
        <v>125.63</v>
      </c>
      <c r="BB46" s="1683">
        <v>127.16</v>
      </c>
      <c r="BC46" s="1700">
        <v>128.68</v>
      </c>
      <c r="BD46" s="1683">
        <v>130.21</v>
      </c>
      <c r="BE46" s="1700">
        <v>131.74</v>
      </c>
      <c r="BF46" s="1700">
        <v>133.27000000000001</v>
      </c>
      <c r="BG46" s="1700">
        <v>134.80000000000001</v>
      </c>
      <c r="BH46" s="1700">
        <v>136.33000000000001</v>
      </c>
      <c r="BI46" s="1700">
        <v>137.86000000000001</v>
      </c>
      <c r="BJ46" s="1700">
        <v>139.38999999999999</v>
      </c>
      <c r="BK46" s="1700">
        <v>140.91</v>
      </c>
      <c r="BL46" s="1700">
        <v>142.44</v>
      </c>
      <c r="BM46" s="1700">
        <v>143.97</v>
      </c>
      <c r="BN46" s="1700"/>
      <c r="BO46" s="1703">
        <v>42</v>
      </c>
      <c r="BP46" s="1693">
        <v>49.75</v>
      </c>
      <c r="BQ46" s="1693">
        <v>50.83</v>
      </c>
      <c r="BR46" s="1693">
        <v>51.91</v>
      </c>
      <c r="BS46" s="1693">
        <v>52.99</v>
      </c>
      <c r="BT46" s="1693">
        <v>54.07</v>
      </c>
      <c r="BU46" s="1694">
        <v>55.15</v>
      </c>
      <c r="BV46" s="1694">
        <v>56.23</v>
      </c>
      <c r="BW46" s="1694">
        <v>57.31</v>
      </c>
      <c r="BX46" s="1695">
        <v>58.39</v>
      </c>
      <c r="BY46" s="1696">
        <v>59.47</v>
      </c>
      <c r="BZ46" s="1696">
        <v>60.55</v>
      </c>
      <c r="CA46" s="1695">
        <v>61.63</v>
      </c>
      <c r="CB46" s="1695">
        <v>62.71</v>
      </c>
      <c r="CC46" s="1704">
        <v>63.78</v>
      </c>
      <c r="CD46" s="1697">
        <v>64.86</v>
      </c>
      <c r="CE46" s="1698">
        <v>65.94</v>
      </c>
      <c r="CF46" s="1699">
        <v>67.02</v>
      </c>
      <c r="CG46" s="1699">
        <v>68.099999999999994</v>
      </c>
      <c r="CH46" s="1699">
        <v>69.180000000000007</v>
      </c>
      <c r="CI46" s="1699">
        <v>70.260000000000005</v>
      </c>
      <c r="CJ46" s="1699">
        <v>71.34</v>
      </c>
      <c r="CK46" s="1700">
        <v>61.58</v>
      </c>
      <c r="CL46" s="1700">
        <v>62.66</v>
      </c>
      <c r="CM46" s="1700">
        <v>63.74</v>
      </c>
      <c r="CN46" s="1700">
        <v>64.819999999999993</v>
      </c>
      <c r="CO46" s="1705">
        <v>65.900000000000006</v>
      </c>
      <c r="CP46" s="1706">
        <v>66.98</v>
      </c>
      <c r="CQ46" s="1701">
        <v>68.06</v>
      </c>
      <c r="CR46" s="1701">
        <v>69.14</v>
      </c>
      <c r="CS46" s="1707">
        <v>70.22</v>
      </c>
      <c r="CT46" s="1700">
        <v>71.3</v>
      </c>
      <c r="CU46" s="1700">
        <v>72.38</v>
      </c>
      <c r="CV46" s="1700">
        <v>73.459999999999994</v>
      </c>
      <c r="CW46" s="1700">
        <v>74.540000000000006</v>
      </c>
      <c r="CX46" s="1700">
        <v>75.61</v>
      </c>
      <c r="CY46" s="1700">
        <v>76.69</v>
      </c>
      <c r="CZ46" s="1700">
        <v>77.77</v>
      </c>
      <c r="DA46" s="1700">
        <v>78.849999999999994</v>
      </c>
      <c r="DB46" s="1700">
        <v>79.930000000000007</v>
      </c>
      <c r="DC46" s="1700">
        <v>81.010000000000005</v>
      </c>
      <c r="DD46" s="1700">
        <v>82.09</v>
      </c>
      <c r="DE46" s="1700">
        <v>83.17</v>
      </c>
      <c r="DF46" s="1700">
        <v>84.25</v>
      </c>
      <c r="DG46" s="1700">
        <v>85.33</v>
      </c>
      <c r="DH46" s="1700">
        <v>86.41</v>
      </c>
      <c r="DI46" s="1700">
        <v>87.49</v>
      </c>
      <c r="DJ46" s="1700">
        <v>88.57</v>
      </c>
      <c r="DK46" s="1700">
        <v>59.65</v>
      </c>
      <c r="DL46" s="1700">
        <v>90.73</v>
      </c>
      <c r="DM46" s="1700">
        <v>91.81</v>
      </c>
      <c r="DN46" s="1700">
        <v>92.89</v>
      </c>
      <c r="DO46" s="1700">
        <v>93.96</v>
      </c>
      <c r="DP46" s="1700">
        <v>95.04</v>
      </c>
      <c r="DQ46" s="1700">
        <v>96.12</v>
      </c>
      <c r="DR46" s="1700">
        <v>97.2</v>
      </c>
      <c r="DS46" s="1700"/>
      <c r="DT46" s="1700"/>
      <c r="DU46" s="1700"/>
      <c r="DV46" s="1700"/>
      <c r="DW46" s="1700"/>
      <c r="DX46" s="1700"/>
    </row>
    <row r="47" spans="1:128">
      <c r="A47" s="1622"/>
      <c r="B47" s="1691">
        <f t="shared" si="4"/>
        <v>43</v>
      </c>
      <c r="C47" s="1668" t="str">
        <f t="shared" si="1"/>
        <v>116.32</v>
      </c>
      <c r="D47" s="1672">
        <f t="shared" si="2"/>
        <v>162.85</v>
      </c>
      <c r="E47" s="1670"/>
      <c r="F47" s="1671" t="str">
        <f t="shared" si="3"/>
        <v>73.02</v>
      </c>
      <c r="G47" s="1672">
        <f t="shared" si="0"/>
        <v>102.23</v>
      </c>
      <c r="H47" s="1670"/>
      <c r="I47" s="1670"/>
      <c r="J47" s="1708">
        <v>43</v>
      </c>
      <c r="K47" s="1693">
        <v>85.02</v>
      </c>
      <c r="L47" s="1693">
        <v>86.59</v>
      </c>
      <c r="M47" s="1693">
        <v>88.15</v>
      </c>
      <c r="N47" s="1693">
        <v>89.72</v>
      </c>
      <c r="O47" s="1693">
        <v>91.28</v>
      </c>
      <c r="P47" s="1694">
        <v>92.85</v>
      </c>
      <c r="Q47" s="1694">
        <v>94.41</v>
      </c>
      <c r="R47" s="1694">
        <v>95.98</v>
      </c>
      <c r="S47" s="1695">
        <v>97.54</v>
      </c>
      <c r="T47" s="1696">
        <v>99.11</v>
      </c>
      <c r="U47" s="1696">
        <v>100.67</v>
      </c>
      <c r="V47" s="1695">
        <v>102.24</v>
      </c>
      <c r="W47" s="1695">
        <v>103.8</v>
      </c>
      <c r="X47" s="1695">
        <v>105.37</v>
      </c>
      <c r="Y47" s="1697">
        <v>106.93</v>
      </c>
      <c r="Z47" s="1698">
        <v>108.5</v>
      </c>
      <c r="AA47" s="1699">
        <v>110.06</v>
      </c>
      <c r="AB47" s="1699">
        <v>111.63</v>
      </c>
      <c r="AC47" s="1699">
        <v>113.19</v>
      </c>
      <c r="AD47" s="1699">
        <v>114.76</v>
      </c>
      <c r="AE47" s="1699">
        <v>116.32</v>
      </c>
      <c r="AF47" s="1683">
        <v>95.72</v>
      </c>
      <c r="AG47" s="1683">
        <v>97.29</v>
      </c>
      <c r="AH47" s="1683">
        <v>98.85</v>
      </c>
      <c r="AI47" s="1683">
        <v>100.42</v>
      </c>
      <c r="AJ47" s="1701">
        <v>101.99</v>
      </c>
      <c r="AK47" s="1701">
        <v>103.55</v>
      </c>
      <c r="AL47" s="1701">
        <v>105.12</v>
      </c>
      <c r="AM47" s="1701">
        <v>106.68</v>
      </c>
      <c r="AN47" s="1701">
        <v>108.25</v>
      </c>
      <c r="AO47" s="1702">
        <v>109.81</v>
      </c>
      <c r="AP47" s="1700">
        <v>111.38</v>
      </c>
      <c r="AQ47" s="1700">
        <v>112.94</v>
      </c>
      <c r="AR47" s="1683">
        <v>114.51</v>
      </c>
      <c r="AS47" s="1700">
        <v>116.07</v>
      </c>
      <c r="AT47" s="1683">
        <v>117.64</v>
      </c>
      <c r="AU47" s="1700">
        <v>119.2</v>
      </c>
      <c r="AV47" s="1683">
        <v>120.77</v>
      </c>
      <c r="AW47" s="1683">
        <v>122.33</v>
      </c>
      <c r="AX47" s="1683">
        <v>123.9</v>
      </c>
      <c r="AY47" s="1683">
        <v>125.46</v>
      </c>
      <c r="AZ47" s="1683">
        <v>127.03</v>
      </c>
      <c r="BA47" s="1683">
        <v>128.59</v>
      </c>
      <c r="BB47" s="1700">
        <v>130.16</v>
      </c>
      <c r="BC47" s="1683">
        <v>131.72</v>
      </c>
      <c r="BD47" s="1700">
        <v>133.29</v>
      </c>
      <c r="BE47" s="1683">
        <v>134.85</v>
      </c>
      <c r="BF47" s="1683">
        <v>136.41999999999999</v>
      </c>
      <c r="BG47" s="1683">
        <v>137.97999999999999</v>
      </c>
      <c r="BH47" s="1683">
        <v>139.55000000000001</v>
      </c>
      <c r="BI47" s="1683">
        <v>141.12</v>
      </c>
      <c r="BJ47" s="1683">
        <v>142.68</v>
      </c>
      <c r="BK47" s="1683">
        <v>144.25</v>
      </c>
      <c r="BL47" s="1683">
        <v>145.81</v>
      </c>
      <c r="BM47" s="1683">
        <v>147.38</v>
      </c>
      <c r="BN47" s="1683"/>
      <c r="BO47" s="1703">
        <v>43</v>
      </c>
      <c r="BP47" s="1693">
        <v>50.71</v>
      </c>
      <c r="BQ47" s="1693">
        <v>52.02</v>
      </c>
      <c r="BR47" s="1693">
        <v>53.12</v>
      </c>
      <c r="BS47" s="1693">
        <v>54.23</v>
      </c>
      <c r="BT47" s="1693">
        <v>55.33</v>
      </c>
      <c r="BU47" s="1694">
        <v>56.44</v>
      </c>
      <c r="BV47" s="1694">
        <v>57.54</v>
      </c>
      <c r="BW47" s="1694">
        <v>58.65</v>
      </c>
      <c r="BX47" s="1695">
        <v>59.75</v>
      </c>
      <c r="BY47" s="1696">
        <v>60.86</v>
      </c>
      <c r="BZ47" s="1696">
        <v>61.96</v>
      </c>
      <c r="CA47" s="1695">
        <v>63.07</v>
      </c>
      <c r="CB47" s="1695">
        <v>64.17</v>
      </c>
      <c r="CC47" s="1704">
        <v>65.28</v>
      </c>
      <c r="CD47" s="1697">
        <v>66.38</v>
      </c>
      <c r="CE47" s="1698" t="s">
        <v>1449</v>
      </c>
      <c r="CF47" s="1699">
        <v>68.59</v>
      </c>
      <c r="CG47" s="1699">
        <v>69.7</v>
      </c>
      <c r="CH47" s="1699">
        <v>70.81</v>
      </c>
      <c r="CI47" s="1699">
        <v>71.91</v>
      </c>
      <c r="CJ47" s="1699">
        <v>73.02</v>
      </c>
      <c r="CK47" s="1700">
        <v>63.03</v>
      </c>
      <c r="CL47" s="1700">
        <v>64.14</v>
      </c>
      <c r="CM47" s="1700">
        <v>65.239999999999995</v>
      </c>
      <c r="CN47" s="1700">
        <v>66.349999999999994</v>
      </c>
      <c r="CO47" s="1705">
        <v>67.45</v>
      </c>
      <c r="CP47" s="1706">
        <v>68.56</v>
      </c>
      <c r="CQ47" s="1701">
        <v>69.66</v>
      </c>
      <c r="CR47" s="1701">
        <v>70.77</v>
      </c>
      <c r="CS47" s="1707">
        <v>71.88</v>
      </c>
      <c r="CT47" s="1700">
        <v>72.98</v>
      </c>
      <c r="CU47" s="1700">
        <v>74.09</v>
      </c>
      <c r="CV47" s="1700">
        <v>75.19</v>
      </c>
      <c r="CW47" s="1700">
        <v>76.3</v>
      </c>
      <c r="CX47" s="1700">
        <v>77.400000000000006</v>
      </c>
      <c r="CY47" s="1700">
        <v>78.510000000000005</v>
      </c>
      <c r="CZ47" s="1700">
        <v>79.61</v>
      </c>
      <c r="DA47" s="1700">
        <v>80.72</v>
      </c>
      <c r="DB47" s="1700">
        <v>81.819999999999993</v>
      </c>
      <c r="DC47" s="1700">
        <v>82.93</v>
      </c>
      <c r="DD47" s="1700">
        <v>84.03</v>
      </c>
      <c r="DE47" s="1700">
        <v>85.14</v>
      </c>
      <c r="DF47" s="1700">
        <v>86.24</v>
      </c>
      <c r="DG47" s="1700">
        <v>87.35</v>
      </c>
      <c r="DH47" s="1700">
        <v>88.45</v>
      </c>
      <c r="DI47" s="1700">
        <v>89.56</v>
      </c>
      <c r="DJ47" s="1700">
        <v>90.66</v>
      </c>
      <c r="DK47" s="1700">
        <v>91.77</v>
      </c>
      <c r="DL47" s="1700">
        <v>92.87</v>
      </c>
      <c r="DM47" s="1700">
        <v>93.98</v>
      </c>
      <c r="DN47" s="1700">
        <v>95.08</v>
      </c>
      <c r="DO47" s="1700">
        <v>96.19</v>
      </c>
      <c r="DP47" s="1700">
        <v>97.29</v>
      </c>
      <c r="DQ47" s="1700">
        <v>98.4</v>
      </c>
      <c r="DR47" s="1700">
        <v>99.5</v>
      </c>
      <c r="DS47" s="1700"/>
      <c r="DT47" s="1700"/>
      <c r="DU47" s="1700"/>
      <c r="DV47" s="1700"/>
      <c r="DW47" s="1700"/>
      <c r="DX47" s="1700"/>
    </row>
    <row r="48" spans="1:128">
      <c r="A48" s="1622"/>
      <c r="B48" s="1691">
        <f t="shared" si="4"/>
        <v>44</v>
      </c>
      <c r="C48" s="1668" t="str">
        <f t="shared" si="1"/>
        <v>119.01</v>
      </c>
      <c r="D48" s="1672">
        <f t="shared" si="2"/>
        <v>166.61</v>
      </c>
      <c r="E48" s="1670"/>
      <c r="F48" s="1671" t="str">
        <f t="shared" si="3"/>
        <v>74.7</v>
      </c>
      <c r="G48" s="1672">
        <f t="shared" si="0"/>
        <v>104.58</v>
      </c>
      <c r="H48" s="1670"/>
      <c r="I48" s="1670"/>
      <c r="J48" s="1708">
        <v>44</v>
      </c>
      <c r="K48" s="1693">
        <v>86.98</v>
      </c>
      <c r="L48" s="1693">
        <v>88.58</v>
      </c>
      <c r="M48" s="1693">
        <v>90.18</v>
      </c>
      <c r="N48" s="1693">
        <v>91.78</v>
      </c>
      <c r="O48" s="1693">
        <v>93.38</v>
      </c>
      <c r="P48" s="1694">
        <v>94.98</v>
      </c>
      <c r="Q48" s="1694">
        <v>96.59</v>
      </c>
      <c r="R48" s="1694">
        <v>98.19</v>
      </c>
      <c r="S48" s="1695">
        <v>99.79</v>
      </c>
      <c r="T48" s="1696">
        <v>101.39</v>
      </c>
      <c r="U48" s="1696">
        <v>102.99</v>
      </c>
      <c r="V48" s="1695">
        <v>104.59</v>
      </c>
      <c r="W48" s="1695">
        <v>106.2</v>
      </c>
      <c r="X48" s="1695">
        <v>107.8</v>
      </c>
      <c r="Y48" s="1697">
        <v>109.4</v>
      </c>
      <c r="Z48" s="1698">
        <v>111</v>
      </c>
      <c r="AA48" s="1699">
        <v>112.6</v>
      </c>
      <c r="AB48" s="1699">
        <v>114.2</v>
      </c>
      <c r="AC48" s="1699">
        <v>115.81</v>
      </c>
      <c r="AD48" s="1699">
        <v>117.41</v>
      </c>
      <c r="AE48" s="1699">
        <v>119.01</v>
      </c>
      <c r="AF48" s="1700">
        <v>97.94</v>
      </c>
      <c r="AG48" s="1700">
        <v>99.54</v>
      </c>
      <c r="AH48" s="1700">
        <v>101.14</v>
      </c>
      <c r="AI48" s="1700">
        <v>102.74</v>
      </c>
      <c r="AJ48" s="1701">
        <v>104.34</v>
      </c>
      <c r="AK48" s="1701">
        <v>105.95</v>
      </c>
      <c r="AL48" s="1701">
        <v>107.55</v>
      </c>
      <c r="AM48" s="1701">
        <v>109.15</v>
      </c>
      <c r="AN48" s="1701">
        <v>110.75</v>
      </c>
      <c r="AO48" s="1702">
        <v>112.35</v>
      </c>
      <c r="AP48" s="1700">
        <v>113.95</v>
      </c>
      <c r="AQ48" s="1700">
        <v>115.56</v>
      </c>
      <c r="AR48" s="1700">
        <v>117.16</v>
      </c>
      <c r="AS48" s="1700">
        <v>118.76</v>
      </c>
      <c r="AT48" s="1700">
        <v>120.36</v>
      </c>
      <c r="AU48" s="1700">
        <v>121.96</v>
      </c>
      <c r="AV48" s="1700">
        <v>123.56</v>
      </c>
      <c r="AW48" s="1700">
        <v>125.17</v>
      </c>
      <c r="AX48" s="1700">
        <v>126.77</v>
      </c>
      <c r="AY48" s="1700">
        <v>128.37</v>
      </c>
      <c r="AZ48" s="1700">
        <v>129.97</v>
      </c>
      <c r="BA48" s="1700">
        <v>131.57</v>
      </c>
      <c r="BB48" s="1700">
        <v>133.16999999999999</v>
      </c>
      <c r="BC48" s="1700">
        <v>134.77000000000001</v>
      </c>
      <c r="BD48" s="1700">
        <v>136.38</v>
      </c>
      <c r="BE48" s="1700">
        <v>137.97999999999999</v>
      </c>
      <c r="BF48" s="1700">
        <v>139.58000000000001</v>
      </c>
      <c r="BG48" s="1700">
        <v>141.18</v>
      </c>
      <c r="BH48" s="1700">
        <v>142.78</v>
      </c>
      <c r="BI48" s="1700">
        <v>144.38</v>
      </c>
      <c r="BJ48" s="1700">
        <v>145.99</v>
      </c>
      <c r="BK48" s="1700">
        <v>147.59</v>
      </c>
      <c r="BL48" s="1700">
        <v>149.19</v>
      </c>
      <c r="BM48" s="1700">
        <v>150.79</v>
      </c>
      <c r="BN48" s="1700"/>
      <c r="BO48" s="1703">
        <v>44</v>
      </c>
      <c r="BP48" s="1693">
        <v>52.09</v>
      </c>
      <c r="BQ48" s="1693">
        <v>53.22</v>
      </c>
      <c r="BR48" s="1693">
        <v>54.35</v>
      </c>
      <c r="BS48" s="1693">
        <v>55.48</v>
      </c>
      <c r="BT48" s="1693">
        <v>56.61</v>
      </c>
      <c r="BU48" s="1694">
        <v>57.74</v>
      </c>
      <c r="BV48" s="1694">
        <v>58.87</v>
      </c>
      <c r="BW48" s="1694">
        <v>60</v>
      </c>
      <c r="BX48" s="1695">
        <v>61.13</v>
      </c>
      <c r="BY48" s="1696">
        <v>62.27</v>
      </c>
      <c r="BZ48" s="1696">
        <v>63.4</v>
      </c>
      <c r="CA48" s="1695">
        <v>64.53</v>
      </c>
      <c r="CB48" s="1695">
        <v>65.66</v>
      </c>
      <c r="CC48" s="1704">
        <v>66.790000000000006</v>
      </c>
      <c r="CD48" s="1697">
        <v>67.92</v>
      </c>
      <c r="CE48" s="1698">
        <v>69.05</v>
      </c>
      <c r="CF48" s="1699">
        <v>70.180000000000007</v>
      </c>
      <c r="CG48" s="1699">
        <v>71.31</v>
      </c>
      <c r="CH48" s="1699">
        <v>72.44</v>
      </c>
      <c r="CI48" s="1699">
        <v>73.569999999999993</v>
      </c>
      <c r="CJ48" s="1699">
        <v>74.7</v>
      </c>
      <c r="CK48" s="1700">
        <v>64.489999999999995</v>
      </c>
      <c r="CL48" s="1700">
        <v>65.63</v>
      </c>
      <c r="CM48" s="1700">
        <v>66.760000000000005</v>
      </c>
      <c r="CN48" s="1700">
        <v>67.89</v>
      </c>
      <c r="CO48" s="1705">
        <v>69.02</v>
      </c>
      <c r="CP48" s="1706">
        <v>70.150000000000006</v>
      </c>
      <c r="CQ48" s="1701">
        <v>71.28</v>
      </c>
      <c r="CR48" s="1701">
        <v>72.41</v>
      </c>
      <c r="CS48" s="1707">
        <v>73.540000000000006</v>
      </c>
      <c r="CT48" s="1700">
        <v>74.67</v>
      </c>
      <c r="CU48" s="1700">
        <v>75.8</v>
      </c>
      <c r="CV48" s="1700">
        <v>76.930000000000007</v>
      </c>
      <c r="CW48" s="1700">
        <v>78.06</v>
      </c>
      <c r="CX48" s="1700">
        <v>79.19</v>
      </c>
      <c r="CY48" s="1700">
        <v>80.33</v>
      </c>
      <c r="CZ48" s="1700">
        <v>81.459999999999994</v>
      </c>
      <c r="DA48" s="1700">
        <v>82.59</v>
      </c>
      <c r="DB48" s="1700">
        <v>83.72</v>
      </c>
      <c r="DC48" s="1700">
        <v>84.852000000000004</v>
      </c>
      <c r="DD48" s="1700">
        <v>85.98</v>
      </c>
      <c r="DE48" s="1700">
        <v>87.11</v>
      </c>
      <c r="DF48" s="1700">
        <v>88.24</v>
      </c>
      <c r="DG48" s="1700">
        <v>89.37</v>
      </c>
      <c r="DH48" s="1700">
        <v>90.5</v>
      </c>
      <c r="DI48" s="1700">
        <v>91.63</v>
      </c>
      <c r="DJ48" s="1700">
        <v>92.76</v>
      </c>
      <c r="DK48" s="1700">
        <v>93.9</v>
      </c>
      <c r="DL48" s="1700">
        <v>95.03</v>
      </c>
      <c r="DM48" s="1700">
        <v>96.16</v>
      </c>
      <c r="DN48" s="1700">
        <v>97.29</v>
      </c>
      <c r="DO48" s="1700">
        <v>98.42</v>
      </c>
      <c r="DP48" s="1700">
        <v>99.55</v>
      </c>
      <c r="DQ48" s="1700">
        <v>100.68</v>
      </c>
      <c r="DR48" s="1700">
        <v>101.81</v>
      </c>
      <c r="DS48" s="1700"/>
      <c r="DT48" s="1700"/>
      <c r="DU48" s="1700"/>
      <c r="DV48" s="1700"/>
      <c r="DW48" s="1700"/>
      <c r="DX48" s="1700"/>
    </row>
    <row r="49" spans="1:128">
      <c r="A49" s="1622"/>
      <c r="B49" s="1691">
        <f t="shared" si="4"/>
        <v>45</v>
      </c>
      <c r="C49" s="1668" t="str">
        <f t="shared" si="1"/>
        <v>121.68</v>
      </c>
      <c r="D49" s="1672">
        <f t="shared" si="2"/>
        <v>170.35</v>
      </c>
      <c r="E49" s="1670"/>
      <c r="F49" s="1671" t="str">
        <f t="shared" si="3"/>
        <v>76.39</v>
      </c>
      <c r="G49" s="1672">
        <f t="shared" si="0"/>
        <v>106.95</v>
      </c>
      <c r="H49" s="1670"/>
      <c r="I49" s="1670"/>
      <c r="J49" s="1708">
        <v>45</v>
      </c>
      <c r="K49" s="1693">
        <v>88.92</v>
      </c>
      <c r="L49" s="1693">
        <v>90.55</v>
      </c>
      <c r="M49" s="1693">
        <v>92.19</v>
      </c>
      <c r="N49" s="1693">
        <v>93.83</v>
      </c>
      <c r="O49" s="1693">
        <v>95.47</v>
      </c>
      <c r="P49" s="1694">
        <v>97.11</v>
      </c>
      <c r="Q49" s="1694">
        <v>98.74</v>
      </c>
      <c r="R49" s="1694">
        <v>100.38</v>
      </c>
      <c r="S49" s="1695">
        <v>102.02</v>
      </c>
      <c r="T49" s="1696">
        <v>103.66</v>
      </c>
      <c r="U49" s="1696">
        <v>105.3</v>
      </c>
      <c r="V49" s="1695">
        <v>106.93</v>
      </c>
      <c r="W49" s="1695">
        <v>108.57</v>
      </c>
      <c r="X49" s="1695">
        <v>110.21</v>
      </c>
      <c r="Y49" s="1697">
        <v>111.85</v>
      </c>
      <c r="Z49" s="1698">
        <v>113.49</v>
      </c>
      <c r="AA49" s="1699">
        <v>115.12</v>
      </c>
      <c r="AB49" s="1699">
        <v>116.76</v>
      </c>
      <c r="AC49" s="1699">
        <v>118.4</v>
      </c>
      <c r="AD49" s="1699">
        <v>120.04</v>
      </c>
      <c r="AE49" s="1699">
        <v>121.68</v>
      </c>
      <c r="AF49" s="1700">
        <v>100.14</v>
      </c>
      <c r="AG49" s="1700">
        <v>101.78</v>
      </c>
      <c r="AH49" s="1700">
        <v>103.42</v>
      </c>
      <c r="AI49" s="1700">
        <v>105.06</v>
      </c>
      <c r="AJ49" s="1701">
        <v>106.69</v>
      </c>
      <c r="AK49" s="1701">
        <v>108.33</v>
      </c>
      <c r="AL49" s="1701">
        <v>109.97</v>
      </c>
      <c r="AM49" s="1701">
        <v>111.61</v>
      </c>
      <c r="AN49" s="1701">
        <v>113.25</v>
      </c>
      <c r="AO49" s="1702">
        <v>114.88</v>
      </c>
      <c r="AP49" s="1700">
        <v>116.52</v>
      </c>
      <c r="AQ49" s="1700">
        <v>118.16</v>
      </c>
      <c r="AR49" s="1683">
        <v>119.8</v>
      </c>
      <c r="AS49" s="1700">
        <v>121.44</v>
      </c>
      <c r="AT49" s="1700">
        <v>123.07</v>
      </c>
      <c r="AU49" s="1700">
        <v>124.71</v>
      </c>
      <c r="AV49" s="1700">
        <v>126.35</v>
      </c>
      <c r="AW49" s="1700">
        <v>127.99</v>
      </c>
      <c r="AX49" s="1700">
        <v>129.63</v>
      </c>
      <c r="AY49" s="1700">
        <v>131.26</v>
      </c>
      <c r="AZ49" s="1700">
        <v>132.9</v>
      </c>
      <c r="BA49" s="1700">
        <v>134.54</v>
      </c>
      <c r="BB49" s="1683">
        <v>136.18</v>
      </c>
      <c r="BC49" s="1700">
        <v>137.82</v>
      </c>
      <c r="BD49" s="1683">
        <v>139.44999999999999</v>
      </c>
      <c r="BE49" s="1700">
        <v>141.09</v>
      </c>
      <c r="BF49" s="1700">
        <v>142.72999999999999</v>
      </c>
      <c r="BG49" s="1700">
        <v>144.37</v>
      </c>
      <c r="BH49" s="1700">
        <v>146.01</v>
      </c>
      <c r="BI49" s="1700">
        <v>147.63999999999999</v>
      </c>
      <c r="BJ49" s="1700">
        <v>149.28</v>
      </c>
      <c r="BK49" s="1700">
        <v>150.91999999999999</v>
      </c>
      <c r="BL49" s="1700">
        <v>152.56</v>
      </c>
      <c r="BM49" s="1700">
        <v>154.19999999999999</v>
      </c>
      <c r="BN49" s="1700"/>
      <c r="BO49" s="1703">
        <v>45</v>
      </c>
      <c r="BP49" s="1693">
        <v>53.26</v>
      </c>
      <c r="BQ49" s="1693">
        <v>54.41</v>
      </c>
      <c r="BR49" s="1693">
        <v>55.57</v>
      </c>
      <c r="BS49" s="1693">
        <v>45.73</v>
      </c>
      <c r="BT49" s="1693">
        <v>57.88</v>
      </c>
      <c r="BU49" s="1694">
        <v>59.04</v>
      </c>
      <c r="BV49" s="1694">
        <v>60.2</v>
      </c>
      <c r="BW49" s="1694">
        <v>61.35</v>
      </c>
      <c r="BX49" s="1695">
        <v>62.51</v>
      </c>
      <c r="BY49" s="1696">
        <v>63.67</v>
      </c>
      <c r="BZ49" s="1696">
        <v>64.819999999999993</v>
      </c>
      <c r="CA49" s="1695">
        <v>65.98</v>
      </c>
      <c r="CB49" s="1695">
        <v>67.14</v>
      </c>
      <c r="CC49" s="1704">
        <v>68.290000000000006</v>
      </c>
      <c r="CD49" s="1697">
        <v>69.45</v>
      </c>
      <c r="CE49" s="1698">
        <v>70.61</v>
      </c>
      <c r="CF49" s="1699">
        <v>71.760000000000005</v>
      </c>
      <c r="CG49" s="1699">
        <v>72.92</v>
      </c>
      <c r="CH49" s="1699">
        <v>74.08</v>
      </c>
      <c r="CI49" s="1699">
        <v>75.23</v>
      </c>
      <c r="CJ49" s="1699">
        <v>76.39</v>
      </c>
      <c r="CK49" s="1700">
        <v>65.95</v>
      </c>
      <c r="CL49" s="1700">
        <v>67.11</v>
      </c>
      <c r="CM49" s="1700">
        <v>68.260000000000005</v>
      </c>
      <c r="CN49" s="1700">
        <v>69.42</v>
      </c>
      <c r="CO49" s="1705">
        <v>70.58</v>
      </c>
      <c r="CP49" s="1706">
        <v>71.73</v>
      </c>
      <c r="CQ49" s="1701">
        <v>72.89</v>
      </c>
      <c r="CR49" s="1701">
        <v>74.05</v>
      </c>
      <c r="CS49" s="1707">
        <v>75.2</v>
      </c>
      <c r="CT49" s="1700">
        <v>76.36</v>
      </c>
      <c r="CU49" s="1700">
        <v>77.52</v>
      </c>
      <c r="CV49" s="1700">
        <v>78.67</v>
      </c>
      <c r="CW49" s="1700">
        <v>79.83</v>
      </c>
      <c r="CX49" s="1700">
        <v>80.989999999999995</v>
      </c>
      <c r="CY49" s="1700">
        <v>82.14</v>
      </c>
      <c r="CZ49" s="1700">
        <v>83.3</v>
      </c>
      <c r="DA49" s="1700">
        <v>84.46</v>
      </c>
      <c r="DB49" s="1700">
        <v>85.61</v>
      </c>
      <c r="DC49" s="1700">
        <v>86.77</v>
      </c>
      <c r="DD49" s="1700">
        <v>87.93</v>
      </c>
      <c r="DE49" s="1700">
        <v>89.08</v>
      </c>
      <c r="DF49" s="1700">
        <v>90.24</v>
      </c>
      <c r="DG49" s="1700">
        <v>91.39</v>
      </c>
      <c r="DH49" s="1700">
        <v>92.55</v>
      </c>
      <c r="DI49" s="1700">
        <v>93.71</v>
      </c>
      <c r="DJ49" s="1700">
        <v>94.86</v>
      </c>
      <c r="DK49" s="1700">
        <v>96.02</v>
      </c>
      <c r="DL49" s="1700">
        <v>97.18</v>
      </c>
      <c r="DM49" s="1700">
        <v>98.33</v>
      </c>
      <c r="DN49" s="1700">
        <v>99.49</v>
      </c>
      <c r="DO49" s="1700">
        <v>100.65</v>
      </c>
      <c r="DP49" s="1700">
        <v>101.8</v>
      </c>
      <c r="DQ49" s="1700">
        <v>102.96</v>
      </c>
      <c r="DR49" s="1700">
        <v>104.12</v>
      </c>
      <c r="DS49" s="1700"/>
      <c r="DT49" s="1700"/>
      <c r="DU49" s="1700"/>
      <c r="DV49" s="1700"/>
      <c r="DW49" s="1700"/>
      <c r="DX49" s="1700"/>
    </row>
    <row r="50" spans="1:128">
      <c r="A50" s="1622"/>
      <c r="B50" s="1691">
        <f t="shared" si="4"/>
        <v>46</v>
      </c>
      <c r="C50" s="1668" t="str">
        <f t="shared" si="1"/>
        <v>124.36</v>
      </c>
      <c r="D50" s="1672">
        <f t="shared" si="2"/>
        <v>174.1</v>
      </c>
      <c r="E50" s="1670"/>
      <c r="F50" s="1671" t="str">
        <f t="shared" si="3"/>
        <v>78.08</v>
      </c>
      <c r="G50" s="1672">
        <f t="shared" si="0"/>
        <v>109.31</v>
      </c>
      <c r="H50" s="1670"/>
      <c r="I50" s="1670"/>
      <c r="J50" s="1708">
        <v>46</v>
      </c>
      <c r="K50" s="1693">
        <v>90.87</v>
      </c>
      <c r="L50" s="1693">
        <v>92.55</v>
      </c>
      <c r="M50" s="1693">
        <v>94.22</v>
      </c>
      <c r="N50" s="1693">
        <v>95.9</v>
      </c>
      <c r="O50" s="1693">
        <v>97.57</v>
      </c>
      <c r="P50" s="1694">
        <v>99.24</v>
      </c>
      <c r="Q50" s="1694">
        <v>100.92</v>
      </c>
      <c r="R50" s="1694">
        <v>102.59</v>
      </c>
      <c r="S50" s="1695">
        <v>104.27</v>
      </c>
      <c r="T50" s="1696">
        <v>105.94</v>
      </c>
      <c r="U50" s="1696">
        <v>107.62</v>
      </c>
      <c r="V50" s="1695">
        <v>109.29</v>
      </c>
      <c r="W50" s="1695">
        <v>110.97</v>
      </c>
      <c r="X50" s="1695">
        <v>112.64</v>
      </c>
      <c r="Y50" s="1697">
        <v>114.31</v>
      </c>
      <c r="Z50" s="1698">
        <v>115.99</v>
      </c>
      <c r="AA50" s="1699">
        <v>117.66</v>
      </c>
      <c r="AB50" s="1699">
        <v>119.34</v>
      </c>
      <c r="AC50" s="1699">
        <v>121.01</v>
      </c>
      <c r="AD50" s="1699">
        <v>122.69</v>
      </c>
      <c r="AE50" s="1699">
        <v>124.36</v>
      </c>
      <c r="AF50" s="1683">
        <v>102.36</v>
      </c>
      <c r="AG50" s="1683">
        <v>104.03</v>
      </c>
      <c r="AH50" s="1683">
        <v>105.71</v>
      </c>
      <c r="AI50" s="1683">
        <v>107.38</v>
      </c>
      <c r="AJ50" s="1701">
        <v>109.05</v>
      </c>
      <c r="AK50" s="1701">
        <v>110.73</v>
      </c>
      <c r="AL50" s="1701">
        <v>112.4</v>
      </c>
      <c r="AM50" s="1701">
        <v>114.08</v>
      </c>
      <c r="AN50" s="1701">
        <v>115.75</v>
      </c>
      <c r="AO50" s="1702">
        <v>117.43</v>
      </c>
      <c r="AP50" s="1700">
        <v>119.1</v>
      </c>
      <c r="AQ50" s="1700">
        <v>120.77</v>
      </c>
      <c r="AR50" s="1700">
        <v>122.45</v>
      </c>
      <c r="AS50" s="1700">
        <v>124.12</v>
      </c>
      <c r="AT50" s="1683">
        <v>125.8</v>
      </c>
      <c r="AU50" s="1700">
        <v>127.47</v>
      </c>
      <c r="AV50" s="1683">
        <v>129.15</v>
      </c>
      <c r="AW50" s="1683">
        <v>130.82</v>
      </c>
      <c r="AX50" s="1683">
        <v>132.5</v>
      </c>
      <c r="AY50" s="1683">
        <v>134.16999999999999</v>
      </c>
      <c r="AZ50" s="1683">
        <v>135.84</v>
      </c>
      <c r="BA50" s="1683">
        <v>137.52000000000001</v>
      </c>
      <c r="BB50" s="1700">
        <v>139.19</v>
      </c>
      <c r="BC50" s="1683">
        <v>140.87</v>
      </c>
      <c r="BD50" s="1700">
        <v>142.54</v>
      </c>
      <c r="BE50" s="1683">
        <v>144.22</v>
      </c>
      <c r="BF50" s="1683">
        <v>145.88999999999999</v>
      </c>
      <c r="BG50" s="1683">
        <v>147.57</v>
      </c>
      <c r="BH50" s="1683">
        <v>149.24</v>
      </c>
      <c r="BI50" s="1683">
        <v>150.91</v>
      </c>
      <c r="BJ50" s="1683">
        <v>152.59</v>
      </c>
      <c r="BK50" s="1683">
        <v>154.26</v>
      </c>
      <c r="BL50" s="1683">
        <v>155.94</v>
      </c>
      <c r="BM50" s="1683">
        <v>157.61000000000001</v>
      </c>
      <c r="BN50" s="1683"/>
      <c r="BO50" s="1703">
        <v>46</v>
      </c>
      <c r="BP50" s="1693">
        <v>54.43</v>
      </c>
      <c r="BQ50" s="1693">
        <v>55.61</v>
      </c>
      <c r="BR50" s="1693">
        <v>56.8</v>
      </c>
      <c r="BS50" s="1693">
        <v>57.98</v>
      </c>
      <c r="BT50" s="1693">
        <v>59.16</v>
      </c>
      <c r="BU50" s="1694">
        <v>60.34</v>
      </c>
      <c r="BV50" s="1694">
        <v>61.53</v>
      </c>
      <c r="BW50" s="1694">
        <v>62.71</v>
      </c>
      <c r="BX50" s="1695">
        <v>63.89</v>
      </c>
      <c r="BY50" s="1696">
        <v>65.069999999999993</v>
      </c>
      <c r="BZ50" s="1696">
        <v>66.25</v>
      </c>
      <c r="CA50" s="1695">
        <v>67.44</v>
      </c>
      <c r="CB50" s="1695">
        <v>68.62</v>
      </c>
      <c r="CC50" s="1704">
        <v>69.8</v>
      </c>
      <c r="CD50" s="1697">
        <v>70.98</v>
      </c>
      <c r="CE50" s="1698">
        <v>72.17</v>
      </c>
      <c r="CF50" s="1699">
        <v>73.349999999999994</v>
      </c>
      <c r="CG50" s="1699">
        <v>74.53</v>
      </c>
      <c r="CH50" s="1699">
        <v>75.709999999999994</v>
      </c>
      <c r="CI50" s="1699">
        <v>76.89</v>
      </c>
      <c r="CJ50" s="1699">
        <v>78.08</v>
      </c>
      <c r="CK50" s="1700">
        <v>67.41</v>
      </c>
      <c r="CL50" s="1700">
        <v>68.59</v>
      </c>
      <c r="CM50" s="1700">
        <v>69.78</v>
      </c>
      <c r="CN50" s="1700">
        <v>70.959999999999994</v>
      </c>
      <c r="CO50" s="1705">
        <v>72.14</v>
      </c>
      <c r="CP50" s="1706">
        <v>73.319999999999993</v>
      </c>
      <c r="CQ50" s="1701">
        <v>74.5</v>
      </c>
      <c r="CR50" s="1701">
        <v>75.69</v>
      </c>
      <c r="CS50" s="1707">
        <v>76.87</v>
      </c>
      <c r="CT50" s="1700">
        <v>78.05</v>
      </c>
      <c r="CU50" s="1700">
        <v>79.23</v>
      </c>
      <c r="CV50" s="1700">
        <v>80.42</v>
      </c>
      <c r="CW50" s="1700">
        <v>81.599999999999994</v>
      </c>
      <c r="CX50" s="1700">
        <v>82.78</v>
      </c>
      <c r="CY50" s="1700">
        <v>83.96</v>
      </c>
      <c r="CZ50" s="1700">
        <v>85.14</v>
      </c>
      <c r="DA50" s="1700">
        <v>86.33</v>
      </c>
      <c r="DB50" s="1700">
        <v>87.51</v>
      </c>
      <c r="DC50" s="1700">
        <v>88.69</v>
      </c>
      <c r="DD50" s="1700">
        <v>89.87</v>
      </c>
      <c r="DE50" s="1700">
        <v>91.06</v>
      </c>
      <c r="DF50" s="1700">
        <v>92.24</v>
      </c>
      <c r="DG50" s="1700">
        <v>93.42</v>
      </c>
      <c r="DH50" s="1700">
        <v>94.6</v>
      </c>
      <c r="DI50" s="1700">
        <v>95.78</v>
      </c>
      <c r="DJ50" s="1700">
        <v>96.97</v>
      </c>
      <c r="DK50" s="1700">
        <v>98.15</v>
      </c>
      <c r="DL50" s="1700">
        <v>99.33</v>
      </c>
      <c r="DM50" s="1700">
        <v>100.51</v>
      </c>
      <c r="DN50" s="1700">
        <v>101.7</v>
      </c>
      <c r="DO50" s="1700">
        <v>102.88</v>
      </c>
      <c r="DP50" s="1700">
        <v>104.06</v>
      </c>
      <c r="DQ50" s="1700">
        <v>105.24</v>
      </c>
      <c r="DR50" s="1700">
        <v>106.42</v>
      </c>
      <c r="DS50" s="1700"/>
      <c r="DT50" s="1700"/>
      <c r="DU50" s="1700"/>
      <c r="DV50" s="1700"/>
      <c r="DW50" s="1700"/>
      <c r="DX50" s="1700"/>
    </row>
    <row r="51" spans="1:128">
      <c r="A51" s="1622"/>
      <c r="B51" s="1691">
        <f t="shared" si="4"/>
        <v>47</v>
      </c>
      <c r="C51" s="1668" t="str">
        <f t="shared" si="1"/>
        <v>127.03</v>
      </c>
      <c r="D51" s="1672">
        <f t="shared" si="2"/>
        <v>177.84</v>
      </c>
      <c r="E51" s="1670"/>
      <c r="F51" s="1671" t="str">
        <f t="shared" si="3"/>
        <v>79.76</v>
      </c>
      <c r="G51" s="1672">
        <f t="shared" si="0"/>
        <v>111.66</v>
      </c>
      <c r="H51" s="1670"/>
      <c r="I51" s="1670"/>
      <c r="J51" s="1708">
        <v>47</v>
      </c>
      <c r="K51" s="1693">
        <v>92.81</v>
      </c>
      <c r="L51" s="1693">
        <v>94.52</v>
      </c>
      <c r="M51" s="1693">
        <v>96.23</v>
      </c>
      <c r="N51" s="1693">
        <v>97.94</v>
      </c>
      <c r="O51" s="1693">
        <v>99.65</v>
      </c>
      <c r="P51" s="1694">
        <v>101.36</v>
      </c>
      <c r="Q51" s="1694">
        <v>103.07</v>
      </c>
      <c r="R51" s="1694">
        <v>104.79</v>
      </c>
      <c r="S51" s="1695">
        <v>106.5</v>
      </c>
      <c r="T51" s="1696">
        <v>108.21</v>
      </c>
      <c r="U51" s="1696">
        <v>109.92</v>
      </c>
      <c r="V51" s="1695">
        <v>111.63</v>
      </c>
      <c r="W51" s="1695">
        <v>113.34</v>
      </c>
      <c r="X51" s="1695">
        <v>115.05</v>
      </c>
      <c r="Y51" s="1697">
        <v>116.76</v>
      </c>
      <c r="Z51" s="1698">
        <v>118.47</v>
      </c>
      <c r="AA51" s="1699">
        <v>120.18</v>
      </c>
      <c r="AB51" s="1699">
        <v>121.89</v>
      </c>
      <c r="AC51" s="1699">
        <v>123.6</v>
      </c>
      <c r="AD51" s="1699">
        <v>125.32</v>
      </c>
      <c r="AE51" s="1699">
        <v>127.03</v>
      </c>
      <c r="AF51" s="1700">
        <v>104.56</v>
      </c>
      <c r="AG51" s="1700">
        <v>106.27</v>
      </c>
      <c r="AH51" s="1700">
        <v>107.98</v>
      </c>
      <c r="AI51" s="1700">
        <v>109.69</v>
      </c>
      <c r="AJ51" s="1701">
        <v>111.4</v>
      </c>
      <c r="AK51" s="1701">
        <v>113.11</v>
      </c>
      <c r="AL51" s="1701">
        <v>114.82</v>
      </c>
      <c r="AM51" s="1701">
        <v>116.53</v>
      </c>
      <c r="AN51" s="1701">
        <v>118.25</v>
      </c>
      <c r="AO51" s="1702">
        <v>119.96</v>
      </c>
      <c r="AP51" s="1700">
        <v>121.67</v>
      </c>
      <c r="AQ51" s="1700">
        <v>123.38</v>
      </c>
      <c r="AR51" s="1683">
        <v>125.09</v>
      </c>
      <c r="AS51" s="1700">
        <v>126.8</v>
      </c>
      <c r="AT51" s="1700">
        <v>128.51</v>
      </c>
      <c r="AU51" s="1700">
        <v>130.22</v>
      </c>
      <c r="AV51" s="1700">
        <v>131.93</v>
      </c>
      <c r="AW51" s="1700">
        <v>133.63999999999999</v>
      </c>
      <c r="AX51" s="1700">
        <v>135.35</v>
      </c>
      <c r="AY51" s="1700">
        <v>137.06</v>
      </c>
      <c r="AZ51" s="1700">
        <v>138.78</v>
      </c>
      <c r="BA51" s="1700">
        <v>140.49</v>
      </c>
      <c r="BB51" s="1700">
        <v>142.19999999999999</v>
      </c>
      <c r="BC51" s="1700">
        <v>143.91</v>
      </c>
      <c r="BD51" s="1700">
        <v>145.62</v>
      </c>
      <c r="BE51" s="1700">
        <v>147.33000000000001</v>
      </c>
      <c r="BF51" s="1700">
        <v>149.04</v>
      </c>
      <c r="BG51" s="1700">
        <v>150.75</v>
      </c>
      <c r="BH51" s="1700">
        <v>152.46</v>
      </c>
      <c r="BI51" s="1700">
        <v>154.16999999999999</v>
      </c>
      <c r="BJ51" s="1700">
        <v>155.88</v>
      </c>
      <c r="BK51" s="1700">
        <v>157.59</v>
      </c>
      <c r="BL51" s="1700">
        <v>159.30000000000001</v>
      </c>
      <c r="BM51" s="1700">
        <v>161.02000000000001</v>
      </c>
      <c r="BN51" s="1700"/>
      <c r="BO51" s="1703">
        <v>47</v>
      </c>
      <c r="BP51" s="1693">
        <v>55.6</v>
      </c>
      <c r="BQ51" s="1693">
        <v>56.81</v>
      </c>
      <c r="BR51" s="1693">
        <v>58.02</v>
      </c>
      <c r="BS51" s="1693">
        <v>9.2200000000000006</v>
      </c>
      <c r="BT51" s="1693">
        <v>60.43</v>
      </c>
      <c r="BU51" s="1694">
        <v>61.64</v>
      </c>
      <c r="BV51" s="1694">
        <v>62.85</v>
      </c>
      <c r="BW51" s="1694">
        <v>64.06</v>
      </c>
      <c r="BX51" s="1695">
        <v>65.260000000000005</v>
      </c>
      <c r="BY51" s="1696">
        <v>66.47</v>
      </c>
      <c r="BZ51" s="1696">
        <v>67.680000000000007</v>
      </c>
      <c r="CA51" s="1695">
        <v>68.89</v>
      </c>
      <c r="CB51" s="1695">
        <v>70.099999999999994</v>
      </c>
      <c r="CC51" s="1704">
        <v>71.3</v>
      </c>
      <c r="CD51" s="1697">
        <v>72.510000000000005</v>
      </c>
      <c r="CE51" s="1698">
        <v>73.72</v>
      </c>
      <c r="CF51" s="1699">
        <v>74.930000000000007</v>
      </c>
      <c r="CG51" s="1699">
        <v>76.13</v>
      </c>
      <c r="CH51" s="1699">
        <v>77.34</v>
      </c>
      <c r="CI51" s="1699">
        <v>78.55</v>
      </c>
      <c r="CJ51" s="1699">
        <v>79.760000000000005</v>
      </c>
      <c r="CK51" s="1700">
        <v>68.87</v>
      </c>
      <c r="CL51" s="1700">
        <v>70.08</v>
      </c>
      <c r="CM51" s="1700">
        <v>71.28</v>
      </c>
      <c r="CN51" s="1700">
        <v>72.489999999999995</v>
      </c>
      <c r="CO51" s="1705">
        <v>73.7</v>
      </c>
      <c r="CP51" s="1706">
        <v>74.91</v>
      </c>
      <c r="CQ51" s="1701">
        <v>76.11</v>
      </c>
      <c r="CR51" s="1701">
        <v>77.319999999999993</v>
      </c>
      <c r="CS51" s="1707">
        <v>78.53</v>
      </c>
      <c r="CT51" s="1700">
        <v>79.739999999999995</v>
      </c>
      <c r="CU51" s="1700">
        <v>80.95</v>
      </c>
      <c r="CV51" s="1700">
        <v>82.15</v>
      </c>
      <c r="CW51" s="1700">
        <v>83.36</v>
      </c>
      <c r="CX51" s="1700">
        <v>84.57</v>
      </c>
      <c r="CY51" s="1700">
        <v>85.78</v>
      </c>
      <c r="CZ51" s="1700">
        <v>86.99</v>
      </c>
      <c r="DA51" s="1700">
        <v>88.19</v>
      </c>
      <c r="DB51" s="1700">
        <v>89.4</v>
      </c>
      <c r="DC51" s="1700">
        <v>90.61</v>
      </c>
      <c r="DD51" s="1700">
        <v>91.82</v>
      </c>
      <c r="DE51" s="1700">
        <v>93.03</v>
      </c>
      <c r="DF51" s="1700">
        <v>94.23</v>
      </c>
      <c r="DG51" s="1700">
        <v>95.44</v>
      </c>
      <c r="DH51" s="1700">
        <v>96.65</v>
      </c>
      <c r="DI51" s="1700">
        <v>97.86</v>
      </c>
      <c r="DJ51" s="1700">
        <v>99.06</v>
      </c>
      <c r="DK51" s="1700">
        <v>100.27</v>
      </c>
      <c r="DL51" s="1700">
        <v>101.48</v>
      </c>
      <c r="DM51" s="1700">
        <v>102.69</v>
      </c>
      <c r="DN51" s="1700">
        <v>103.9</v>
      </c>
      <c r="DO51" s="1700">
        <v>105.1</v>
      </c>
      <c r="DP51" s="1700">
        <v>106.31</v>
      </c>
      <c r="DQ51" s="1700">
        <v>107.52</v>
      </c>
      <c r="DR51" s="1700">
        <v>108.73</v>
      </c>
      <c r="DS51" s="1700"/>
      <c r="DT51" s="1700"/>
      <c r="DU51" s="1700"/>
      <c r="DV51" s="1700"/>
      <c r="DW51" s="1700"/>
      <c r="DX51" s="1700"/>
    </row>
    <row r="52" spans="1:128">
      <c r="A52" s="1622"/>
      <c r="B52" s="1691">
        <f t="shared" si="4"/>
        <v>48</v>
      </c>
      <c r="C52" s="1668" t="str">
        <f t="shared" si="1"/>
        <v>129.71</v>
      </c>
      <c r="D52" s="1672">
        <f t="shared" si="2"/>
        <v>181.59</v>
      </c>
      <c r="E52" s="1670"/>
      <c r="F52" s="1671" t="str">
        <f t="shared" si="3"/>
        <v>81.43</v>
      </c>
      <c r="G52" s="1672">
        <f t="shared" si="0"/>
        <v>114</v>
      </c>
      <c r="H52" s="1670"/>
      <c r="I52" s="1670"/>
      <c r="J52" s="1708">
        <v>48</v>
      </c>
      <c r="K52" s="1693">
        <v>94.76</v>
      </c>
      <c r="L52" s="1693">
        <v>96.51</v>
      </c>
      <c r="M52" s="1693">
        <v>98.26</v>
      </c>
      <c r="N52" s="1693">
        <v>100.01</v>
      </c>
      <c r="O52" s="1693">
        <v>101.75</v>
      </c>
      <c r="P52" s="1694">
        <v>103.5</v>
      </c>
      <c r="Q52" s="1694">
        <v>105.25</v>
      </c>
      <c r="R52" s="1694">
        <v>107</v>
      </c>
      <c r="S52" s="1695">
        <v>108.74</v>
      </c>
      <c r="T52" s="1696">
        <v>110.49</v>
      </c>
      <c r="U52" s="1696">
        <v>112.24</v>
      </c>
      <c r="V52" s="1695">
        <v>113.98</v>
      </c>
      <c r="W52" s="1695">
        <v>115.73</v>
      </c>
      <c r="X52" s="1695">
        <v>117.48</v>
      </c>
      <c r="Y52" s="1697">
        <v>119.23</v>
      </c>
      <c r="Z52" s="1698">
        <v>120.97</v>
      </c>
      <c r="AA52" s="1699">
        <v>122.72</v>
      </c>
      <c r="AB52" s="1699">
        <v>124.47</v>
      </c>
      <c r="AC52" s="1699">
        <v>126.21</v>
      </c>
      <c r="AD52" s="1699">
        <v>127.96</v>
      </c>
      <c r="AE52" s="1699">
        <v>129.71</v>
      </c>
      <c r="AF52" s="1700">
        <v>106.77</v>
      </c>
      <c r="AG52" s="1700">
        <v>108.52</v>
      </c>
      <c r="AH52" s="1700">
        <v>110.27</v>
      </c>
      <c r="AI52" s="1700">
        <v>112.01</v>
      </c>
      <c r="AJ52" s="1701">
        <v>113.76</v>
      </c>
      <c r="AK52" s="1701">
        <v>115.51</v>
      </c>
      <c r="AL52" s="1701">
        <v>117.26</v>
      </c>
      <c r="AM52" s="1701">
        <v>119</v>
      </c>
      <c r="AN52" s="1701">
        <v>120.75</v>
      </c>
      <c r="AO52" s="1702">
        <v>122.5</v>
      </c>
      <c r="AP52" s="1700">
        <v>124.24</v>
      </c>
      <c r="AQ52" s="1700">
        <v>125.99</v>
      </c>
      <c r="AR52" s="1700">
        <v>127.74</v>
      </c>
      <c r="AS52" s="1700">
        <v>129.49</v>
      </c>
      <c r="AT52" s="1700">
        <v>131.22999999999999</v>
      </c>
      <c r="AU52" s="1700">
        <v>132.97999999999999</v>
      </c>
      <c r="AV52" s="1700">
        <v>134.72999999999999</v>
      </c>
      <c r="AW52" s="1700">
        <v>136.47</v>
      </c>
      <c r="AX52" s="1700">
        <v>138.22</v>
      </c>
      <c r="AY52" s="1700">
        <v>139.97</v>
      </c>
      <c r="AZ52" s="1700">
        <v>141.72</v>
      </c>
      <c r="BA52" s="1700">
        <v>143.46</v>
      </c>
      <c r="BB52" s="1683">
        <v>145.21</v>
      </c>
      <c r="BC52" s="1700">
        <v>146.96</v>
      </c>
      <c r="BD52" s="1683">
        <v>148.71</v>
      </c>
      <c r="BE52" s="1700">
        <v>150.44999999999999</v>
      </c>
      <c r="BF52" s="1700">
        <v>152.19999999999999</v>
      </c>
      <c r="BG52" s="1700">
        <v>153.94999999999999</v>
      </c>
      <c r="BH52" s="1700">
        <v>155.69</v>
      </c>
      <c r="BI52" s="1700">
        <v>157.44</v>
      </c>
      <c r="BJ52" s="1700">
        <v>159.19</v>
      </c>
      <c r="BK52" s="1700">
        <v>160.94</v>
      </c>
      <c r="BL52" s="1700">
        <v>162.68</v>
      </c>
      <c r="BM52" s="1700">
        <v>164.43</v>
      </c>
      <c r="BN52" s="1700"/>
      <c r="BO52" s="1703">
        <v>48</v>
      </c>
      <c r="BP52" s="1693">
        <v>56.76</v>
      </c>
      <c r="BQ52" s="1693">
        <v>57.99</v>
      </c>
      <c r="BR52" s="1693">
        <v>59.23</v>
      </c>
      <c r="BS52" s="1693">
        <v>60.46</v>
      </c>
      <c r="BT52" s="1693">
        <v>61.7</v>
      </c>
      <c r="BU52" s="1694">
        <v>62.93</v>
      </c>
      <c r="BV52" s="1694">
        <v>64.16</v>
      </c>
      <c r="BW52" s="1694">
        <v>65.400000000000006</v>
      </c>
      <c r="BX52" s="1695">
        <v>66.63</v>
      </c>
      <c r="BY52" s="1696">
        <v>67.86</v>
      </c>
      <c r="BZ52" s="1696">
        <v>69.099999999999994</v>
      </c>
      <c r="CA52" s="1695">
        <v>70.33</v>
      </c>
      <c r="CB52" s="1695">
        <v>71.56</v>
      </c>
      <c r="CC52" s="1704">
        <v>72.8</v>
      </c>
      <c r="CD52" s="1697">
        <v>74.03</v>
      </c>
      <c r="CE52" s="1698">
        <v>75.27</v>
      </c>
      <c r="CF52" s="1699">
        <v>76.5</v>
      </c>
      <c r="CG52" s="1699">
        <v>77.73</v>
      </c>
      <c r="CH52" s="1699">
        <v>78.97</v>
      </c>
      <c r="CI52" s="1699">
        <v>80.2</v>
      </c>
      <c r="CJ52" s="1699">
        <v>81.430000000000007</v>
      </c>
      <c r="CK52" s="1700">
        <v>70.319999999999993</v>
      </c>
      <c r="CL52" s="1700">
        <v>71.55</v>
      </c>
      <c r="CM52" s="1700">
        <v>72.790000000000006</v>
      </c>
      <c r="CN52" s="1700">
        <v>74.02</v>
      </c>
      <c r="CO52" s="1705">
        <v>75.25</v>
      </c>
      <c r="CP52" s="1706">
        <v>76.489999999999995</v>
      </c>
      <c r="CQ52" s="1701">
        <v>77.72</v>
      </c>
      <c r="CR52" s="1701">
        <v>78.95</v>
      </c>
      <c r="CS52" s="1707">
        <v>80.19</v>
      </c>
      <c r="CT52" s="1700">
        <v>81.819999999999993</v>
      </c>
      <c r="CU52" s="1700">
        <v>82.65</v>
      </c>
      <c r="CV52" s="1700">
        <v>83.89</v>
      </c>
      <c r="CW52" s="1700">
        <v>85.12</v>
      </c>
      <c r="CX52" s="1700">
        <v>86.36</v>
      </c>
      <c r="CY52" s="1700">
        <v>87.59</v>
      </c>
      <c r="CZ52" s="1700">
        <v>88.82</v>
      </c>
      <c r="DA52" s="1700">
        <v>90.06</v>
      </c>
      <c r="DB52" s="1700">
        <v>91.29</v>
      </c>
      <c r="DC52" s="1700">
        <v>92.52</v>
      </c>
      <c r="DD52" s="1700">
        <v>93.76</v>
      </c>
      <c r="DE52" s="1700">
        <v>94.99</v>
      </c>
      <c r="DF52" s="1700">
        <v>96.22</v>
      </c>
      <c r="DG52" s="1700">
        <v>97.46</v>
      </c>
      <c r="DH52" s="1700">
        <v>98.69</v>
      </c>
      <c r="DI52" s="1700">
        <v>99.93</v>
      </c>
      <c r="DJ52" s="1700">
        <v>101.16</v>
      </c>
      <c r="DK52" s="1700">
        <v>102.39</v>
      </c>
      <c r="DL52" s="1700">
        <v>103.63</v>
      </c>
      <c r="DM52" s="1700">
        <v>104.86</v>
      </c>
      <c r="DN52" s="1700">
        <v>106.09</v>
      </c>
      <c r="DO52" s="1700">
        <v>107.33</v>
      </c>
      <c r="DP52" s="1700">
        <v>108.56</v>
      </c>
      <c r="DQ52" s="1700">
        <v>109.79</v>
      </c>
      <c r="DR52" s="1700">
        <v>111.03</v>
      </c>
      <c r="DS52" s="1700"/>
      <c r="DT52" s="1700"/>
      <c r="DU52" s="1700"/>
      <c r="DV52" s="1700"/>
      <c r="DW52" s="1700"/>
      <c r="DX52" s="1700"/>
    </row>
    <row r="53" spans="1:128">
      <c r="A53" s="1622"/>
      <c r="B53" s="1691">
        <f t="shared" si="4"/>
        <v>49</v>
      </c>
      <c r="C53" s="1668" t="str">
        <f t="shared" si="1"/>
        <v>132.37</v>
      </c>
      <c r="D53" s="1672">
        <f t="shared" si="2"/>
        <v>185.32</v>
      </c>
      <c r="E53" s="1670"/>
      <c r="F53" s="1671" t="str">
        <f t="shared" si="3"/>
        <v>83.12</v>
      </c>
      <c r="G53" s="1672">
        <f t="shared" si="0"/>
        <v>116.37</v>
      </c>
      <c r="H53" s="1670"/>
      <c r="I53" s="1670"/>
      <c r="J53" s="1708">
        <v>49</v>
      </c>
      <c r="K53" s="1693">
        <v>96.7</v>
      </c>
      <c r="L53" s="1693">
        <v>98.48</v>
      </c>
      <c r="M53" s="1693">
        <v>100.26</v>
      </c>
      <c r="N53" s="1693">
        <v>102.05</v>
      </c>
      <c r="O53" s="1693">
        <v>103.83</v>
      </c>
      <c r="P53" s="1694">
        <v>105.61</v>
      </c>
      <c r="Q53" s="1694">
        <v>107.4</v>
      </c>
      <c r="R53" s="1694">
        <v>109.18</v>
      </c>
      <c r="S53" s="1695">
        <v>110.96</v>
      </c>
      <c r="T53" s="1696">
        <v>112.75</v>
      </c>
      <c r="U53" s="1696">
        <v>114.53</v>
      </c>
      <c r="V53" s="1695">
        <v>116.31</v>
      </c>
      <c r="W53" s="1695">
        <v>118.1</v>
      </c>
      <c r="X53" s="1695">
        <v>119.88</v>
      </c>
      <c r="Y53" s="1697">
        <v>121.67</v>
      </c>
      <c r="Z53" s="1698">
        <v>123.45</v>
      </c>
      <c r="AA53" s="1699">
        <v>125.23</v>
      </c>
      <c r="AB53" s="1699">
        <v>127.02</v>
      </c>
      <c r="AC53" s="1699">
        <v>128.80000000000001</v>
      </c>
      <c r="AD53" s="1699">
        <v>130.58000000000001</v>
      </c>
      <c r="AE53" s="1699">
        <v>132.37</v>
      </c>
      <c r="AF53" s="1683">
        <v>108.97</v>
      </c>
      <c r="AG53" s="1683">
        <v>110.75</v>
      </c>
      <c r="AH53" s="1683">
        <v>112.54</v>
      </c>
      <c r="AI53" s="1683">
        <v>114.32</v>
      </c>
      <c r="AJ53" s="1701">
        <v>116.11</v>
      </c>
      <c r="AK53" s="1701">
        <v>117.89</v>
      </c>
      <c r="AL53" s="1701">
        <v>119.67</v>
      </c>
      <c r="AM53" s="1701">
        <v>121.46</v>
      </c>
      <c r="AN53" s="1701">
        <v>123.24</v>
      </c>
      <c r="AO53" s="1702">
        <v>125.02</v>
      </c>
      <c r="AP53" s="1700">
        <v>126.81</v>
      </c>
      <c r="AQ53" s="1700">
        <v>128.59</v>
      </c>
      <c r="AR53" s="1683">
        <v>130.37</v>
      </c>
      <c r="AS53" s="1700">
        <v>132.16</v>
      </c>
      <c r="AT53" s="1683">
        <v>133.94</v>
      </c>
      <c r="AU53" s="1700">
        <v>135.72</v>
      </c>
      <c r="AV53" s="1683">
        <v>137.51</v>
      </c>
      <c r="AW53" s="1683">
        <v>139.29</v>
      </c>
      <c r="AX53" s="1683">
        <v>141.08000000000001</v>
      </c>
      <c r="AY53" s="1683">
        <v>142.86000000000001</v>
      </c>
      <c r="AZ53" s="1683">
        <v>144.63999999999999</v>
      </c>
      <c r="BA53" s="1683">
        <v>146.43</v>
      </c>
      <c r="BB53" s="1700">
        <v>148.21</v>
      </c>
      <c r="BC53" s="1683">
        <v>149.99</v>
      </c>
      <c r="BD53" s="1700">
        <v>151.78</v>
      </c>
      <c r="BE53" s="1683">
        <v>153.56</v>
      </c>
      <c r="BF53" s="1683">
        <v>155.34</v>
      </c>
      <c r="BG53" s="1683">
        <v>157.13</v>
      </c>
      <c r="BH53" s="1683">
        <v>158.91</v>
      </c>
      <c r="BI53" s="1683">
        <v>160.69999999999999</v>
      </c>
      <c r="BJ53" s="1683">
        <v>162.47999999999999</v>
      </c>
      <c r="BK53" s="1683">
        <v>164.26</v>
      </c>
      <c r="BL53" s="1683">
        <v>166.05</v>
      </c>
      <c r="BM53" s="1683">
        <v>167.83</v>
      </c>
      <c r="BN53" s="1683"/>
      <c r="BO53" s="1703">
        <v>49</v>
      </c>
      <c r="BP53" s="1693">
        <v>57.94</v>
      </c>
      <c r="BQ53" s="1693">
        <v>59.2</v>
      </c>
      <c r="BR53" s="1693">
        <v>60.46</v>
      </c>
      <c r="BS53" s="1693">
        <v>61.72</v>
      </c>
      <c r="BT53" s="1693">
        <v>62.97</v>
      </c>
      <c r="BU53" s="1694">
        <v>64.23</v>
      </c>
      <c r="BV53" s="1694">
        <v>65.489999999999995</v>
      </c>
      <c r="BW53" s="1694">
        <v>66.75</v>
      </c>
      <c r="BX53" s="1695">
        <v>68.010000000000005</v>
      </c>
      <c r="BY53" s="1696">
        <v>69.27</v>
      </c>
      <c r="BZ53" s="1696">
        <v>70.53</v>
      </c>
      <c r="CA53" s="1695">
        <v>71.790000000000006</v>
      </c>
      <c r="CB53" s="1695">
        <v>73.5</v>
      </c>
      <c r="CC53" s="1704">
        <v>74.31</v>
      </c>
      <c r="CD53" s="1697">
        <v>75.569999999999993</v>
      </c>
      <c r="CE53" s="1698">
        <v>76.83</v>
      </c>
      <c r="CF53" s="1699">
        <v>78.09</v>
      </c>
      <c r="CG53" s="1699">
        <v>79.349999999999994</v>
      </c>
      <c r="CH53" s="1699">
        <v>80.599999999999994</v>
      </c>
      <c r="CI53" s="1699">
        <v>81.86</v>
      </c>
      <c r="CJ53" s="1699">
        <v>83.12</v>
      </c>
      <c r="CK53" s="1700">
        <v>71.78</v>
      </c>
      <c r="CL53" s="1700">
        <v>73.040000000000006</v>
      </c>
      <c r="CM53" s="1700">
        <v>74.3</v>
      </c>
      <c r="CN53" s="1700">
        <v>75.56</v>
      </c>
      <c r="CO53" s="1705">
        <v>76.819999999999993</v>
      </c>
      <c r="CP53" s="1706">
        <v>78.08</v>
      </c>
      <c r="CQ53" s="1701">
        <v>79.34</v>
      </c>
      <c r="CR53" s="1701">
        <v>80.59</v>
      </c>
      <c r="CS53" s="1707">
        <v>81.849999999999994</v>
      </c>
      <c r="CT53" s="1700">
        <v>83.11</v>
      </c>
      <c r="CU53" s="1700">
        <v>84.37</v>
      </c>
      <c r="CV53" s="1700">
        <v>85.63</v>
      </c>
      <c r="CW53" s="1700">
        <v>86.89</v>
      </c>
      <c r="CX53" s="1700">
        <v>88.15</v>
      </c>
      <c r="CY53" s="1700">
        <v>89.41</v>
      </c>
      <c r="CZ53" s="1700">
        <v>90.67</v>
      </c>
      <c r="DA53" s="1700">
        <v>91.63</v>
      </c>
      <c r="DB53" s="1700">
        <v>93.19</v>
      </c>
      <c r="DC53" s="1700">
        <v>94.45</v>
      </c>
      <c r="DD53" s="1700">
        <v>95.71</v>
      </c>
      <c r="DE53" s="1700">
        <v>96.97</v>
      </c>
      <c r="DF53" s="1700">
        <v>98.23</v>
      </c>
      <c r="DG53" s="1700">
        <v>99.48</v>
      </c>
      <c r="DH53" s="1700">
        <v>100.74</v>
      </c>
      <c r="DI53" s="1700">
        <v>102</v>
      </c>
      <c r="DJ53" s="1700">
        <v>103.26</v>
      </c>
      <c r="DK53" s="1700">
        <v>104.52</v>
      </c>
      <c r="DL53" s="1700">
        <v>105.78</v>
      </c>
      <c r="DM53" s="1700">
        <v>107.04</v>
      </c>
      <c r="DN53" s="1700">
        <v>108.3</v>
      </c>
      <c r="DO53" s="1700">
        <v>109.56</v>
      </c>
      <c r="DP53" s="1700">
        <v>110.82</v>
      </c>
      <c r="DQ53" s="1700">
        <v>112.08</v>
      </c>
      <c r="DR53" s="1700">
        <v>113.34</v>
      </c>
      <c r="DS53" s="1700"/>
      <c r="DT53" s="1700"/>
      <c r="DU53" s="1700"/>
      <c r="DV53" s="1700"/>
      <c r="DW53" s="1700"/>
      <c r="DX53" s="1700"/>
    </row>
    <row r="54" spans="1:128">
      <c r="A54" s="1622"/>
      <c r="B54" s="1691">
        <f t="shared" si="4"/>
        <v>50</v>
      </c>
      <c r="C54" s="1668" t="str">
        <f t="shared" si="1"/>
        <v>135.04</v>
      </c>
      <c r="D54" s="1672">
        <f t="shared" si="2"/>
        <v>189.06</v>
      </c>
      <c r="E54" s="1670"/>
      <c r="F54" s="1671" t="str">
        <f t="shared" si="3"/>
        <v>84.81</v>
      </c>
      <c r="G54" s="1672">
        <f t="shared" si="0"/>
        <v>118.73</v>
      </c>
      <c r="H54" s="1670"/>
      <c r="I54" s="1670"/>
      <c r="J54" s="1708">
        <v>50</v>
      </c>
      <c r="K54" s="1693">
        <v>98.64</v>
      </c>
      <c r="L54" s="1693">
        <v>100.46</v>
      </c>
      <c r="M54" s="1693">
        <v>102.28</v>
      </c>
      <c r="N54" s="1693">
        <v>104.1</v>
      </c>
      <c r="O54" s="1693">
        <v>105.92</v>
      </c>
      <c r="P54" s="1694">
        <v>107.74</v>
      </c>
      <c r="Q54" s="1694">
        <v>109.56</v>
      </c>
      <c r="R54" s="1694">
        <v>111.38</v>
      </c>
      <c r="S54" s="1695">
        <v>113.2</v>
      </c>
      <c r="T54" s="1696">
        <v>115.02</v>
      </c>
      <c r="U54" s="1696">
        <v>116.84</v>
      </c>
      <c r="V54" s="1695">
        <v>118.66</v>
      </c>
      <c r="W54" s="1695">
        <v>120.48</v>
      </c>
      <c r="X54" s="1695">
        <v>122.3</v>
      </c>
      <c r="Y54" s="1697">
        <v>124.12</v>
      </c>
      <c r="Z54" s="1698">
        <v>125.94</v>
      </c>
      <c r="AA54" s="1699">
        <v>127.76</v>
      </c>
      <c r="AB54" s="1699">
        <v>129.58000000000001</v>
      </c>
      <c r="AC54" s="1699">
        <v>131.4</v>
      </c>
      <c r="AD54" s="1699">
        <v>133.22</v>
      </c>
      <c r="AE54" s="1699">
        <v>135.04</v>
      </c>
      <c r="AF54" s="1700">
        <v>111.18</v>
      </c>
      <c r="AG54" s="1700">
        <v>113</v>
      </c>
      <c r="AH54" s="1700">
        <v>114.82</v>
      </c>
      <c r="AI54" s="1700">
        <v>116.64</v>
      </c>
      <c r="AJ54" s="1701">
        <v>118.46</v>
      </c>
      <c r="AK54" s="1701">
        <v>120.28</v>
      </c>
      <c r="AL54" s="1701">
        <v>122.1</v>
      </c>
      <c r="AM54" s="1701">
        <v>123.92</v>
      </c>
      <c r="AN54" s="1701">
        <v>125.74</v>
      </c>
      <c r="AO54" s="1702">
        <v>127.56</v>
      </c>
      <c r="AP54" s="1700">
        <v>129.38</v>
      </c>
      <c r="AQ54" s="1700">
        <v>131.19999999999999</v>
      </c>
      <c r="AR54" s="1700">
        <v>133.02000000000001</v>
      </c>
      <c r="AS54" s="1700">
        <v>134.84</v>
      </c>
      <c r="AT54" s="1700">
        <v>136.66</v>
      </c>
      <c r="AU54" s="1700">
        <v>138.47999999999999</v>
      </c>
      <c r="AV54" s="1700">
        <v>140.30000000000001</v>
      </c>
      <c r="AW54" s="1700">
        <v>142.12</v>
      </c>
      <c r="AX54" s="1700">
        <v>143.94</v>
      </c>
      <c r="AY54" s="1700">
        <v>145.76</v>
      </c>
      <c r="AZ54" s="1700">
        <v>147.58000000000001</v>
      </c>
      <c r="BA54" s="1700">
        <v>149.4</v>
      </c>
      <c r="BB54" s="1700">
        <v>151.22</v>
      </c>
      <c r="BC54" s="1700">
        <v>153.04</v>
      </c>
      <c r="BD54" s="1700">
        <v>154.86000000000001</v>
      </c>
      <c r="BE54" s="1700">
        <v>156.68</v>
      </c>
      <c r="BF54" s="1700">
        <v>158.5</v>
      </c>
      <c r="BG54" s="1700">
        <v>160.32</v>
      </c>
      <c r="BH54" s="1700">
        <v>162.13999999999999</v>
      </c>
      <c r="BI54" s="1700">
        <v>153.96</v>
      </c>
      <c r="BJ54" s="1700">
        <v>165.78</v>
      </c>
      <c r="BK54" s="1700">
        <v>167.6</v>
      </c>
      <c r="BL54" s="1700">
        <v>169.42</v>
      </c>
      <c r="BM54" s="1700">
        <v>171.24</v>
      </c>
      <c r="BN54" s="1700"/>
      <c r="BO54" s="1703">
        <v>50</v>
      </c>
      <c r="BP54" s="1693">
        <v>59.11</v>
      </c>
      <c r="BQ54" s="1693">
        <v>60.39</v>
      </c>
      <c r="BR54" s="1693">
        <v>61.68</v>
      </c>
      <c r="BS54" s="1693">
        <v>62.96</v>
      </c>
      <c r="BT54" s="1693">
        <v>64.25</v>
      </c>
      <c r="BU54" s="1694">
        <v>65.53</v>
      </c>
      <c r="BV54" s="1694">
        <v>66.819999999999993</v>
      </c>
      <c r="BW54" s="1694">
        <v>68.099999999999994</v>
      </c>
      <c r="BX54" s="1695">
        <v>69.39</v>
      </c>
      <c r="BY54" s="1696">
        <v>70.67</v>
      </c>
      <c r="BZ54" s="1696">
        <v>71.959999999999994</v>
      </c>
      <c r="CA54" s="1695">
        <v>73.239999999999995</v>
      </c>
      <c r="CB54" s="1695">
        <v>74.53</v>
      </c>
      <c r="CC54" s="1704">
        <v>75.81</v>
      </c>
      <c r="CD54" s="1697">
        <v>77.099999999999994</v>
      </c>
      <c r="CE54" s="1698">
        <v>78.38</v>
      </c>
      <c r="CF54" s="1699">
        <v>79.67</v>
      </c>
      <c r="CG54" s="1699">
        <v>80.95</v>
      </c>
      <c r="CH54" s="1699">
        <v>82.24</v>
      </c>
      <c r="CI54" s="1699">
        <v>83.52</v>
      </c>
      <c r="CJ54" s="1699">
        <v>84.81</v>
      </c>
      <c r="CK54" s="1700">
        <v>73.239999999999995</v>
      </c>
      <c r="CL54" s="1700">
        <v>74.52</v>
      </c>
      <c r="CM54" s="1700">
        <v>75.81</v>
      </c>
      <c r="CN54" s="1700">
        <v>77.09</v>
      </c>
      <c r="CO54" s="1705">
        <v>78.38</v>
      </c>
      <c r="CP54" s="1706">
        <v>79.66</v>
      </c>
      <c r="CQ54" s="1701">
        <v>80.95</v>
      </c>
      <c r="CR54" s="1701">
        <v>82.23</v>
      </c>
      <c r="CS54" s="1707">
        <v>83.52</v>
      </c>
      <c r="CT54" s="1700">
        <v>84.8</v>
      </c>
      <c r="CU54" s="1700">
        <v>86.09</v>
      </c>
      <c r="CV54" s="1700">
        <v>87.37</v>
      </c>
      <c r="CW54" s="1700">
        <v>88.66</v>
      </c>
      <c r="CX54" s="1700">
        <v>89.94</v>
      </c>
      <c r="CY54" s="1700">
        <v>91.23</v>
      </c>
      <c r="CZ54" s="1700">
        <v>92.51</v>
      </c>
      <c r="DA54" s="1700">
        <v>93.8</v>
      </c>
      <c r="DB54" s="1700">
        <v>95.08</v>
      </c>
      <c r="DC54" s="1700">
        <v>96.37</v>
      </c>
      <c r="DD54" s="1700">
        <v>97.65</v>
      </c>
      <c r="DE54" s="1700">
        <v>98.94</v>
      </c>
      <c r="DF54" s="1700">
        <v>100.22</v>
      </c>
      <c r="DG54" s="1700">
        <v>101.51</v>
      </c>
      <c r="DH54" s="1700">
        <v>102.79</v>
      </c>
      <c r="DI54" s="1700">
        <v>104.08</v>
      </c>
      <c r="DJ54" s="1700">
        <v>105.36</v>
      </c>
      <c r="DK54" s="1700">
        <v>106.65</v>
      </c>
      <c r="DL54" s="1700">
        <v>107.93</v>
      </c>
      <c r="DM54" s="1700">
        <v>109.22</v>
      </c>
      <c r="DN54" s="1700">
        <v>110.5</v>
      </c>
      <c r="DO54" s="1700">
        <v>111.79</v>
      </c>
      <c r="DP54" s="1700">
        <v>113.07</v>
      </c>
      <c r="DQ54" s="1700">
        <v>114.36</v>
      </c>
      <c r="DR54" s="1700">
        <v>115.64</v>
      </c>
      <c r="DS54" s="1700"/>
      <c r="DT54" s="1700"/>
      <c r="DU54" s="1700"/>
      <c r="DV54" s="1700"/>
      <c r="DW54" s="1700"/>
      <c r="DX54" s="1700"/>
    </row>
    <row r="55" spans="1:128">
      <c r="A55" s="1622"/>
      <c r="B55" s="1691">
        <f t="shared" si="4"/>
        <v>51</v>
      </c>
      <c r="C55" s="1668" t="str">
        <f t="shared" si="1"/>
        <v>137.73</v>
      </c>
      <c r="D55" s="1672">
        <f t="shared" si="2"/>
        <v>192.82</v>
      </c>
      <c r="E55" s="1670"/>
      <c r="F55" s="1671" t="str">
        <f t="shared" si="3"/>
        <v>86.49</v>
      </c>
      <c r="G55" s="1672">
        <f t="shared" si="0"/>
        <v>121.09</v>
      </c>
      <c r="H55" s="1670"/>
      <c r="I55" s="1670"/>
      <c r="J55" s="1708">
        <v>51</v>
      </c>
      <c r="K55" s="1693">
        <v>100.61</v>
      </c>
      <c r="L55" s="1693">
        <v>102.46</v>
      </c>
      <c r="M55" s="1693">
        <v>104.32</v>
      </c>
      <c r="N55" s="1693">
        <v>106.17</v>
      </c>
      <c r="O55" s="1693">
        <v>108.03</v>
      </c>
      <c r="P55" s="1694">
        <v>109.89</v>
      </c>
      <c r="Q55" s="1694">
        <v>111.74</v>
      </c>
      <c r="R55" s="1694">
        <v>113.6</v>
      </c>
      <c r="S55" s="1695">
        <v>115.46</v>
      </c>
      <c r="T55" s="1696">
        <v>117.31</v>
      </c>
      <c r="U55" s="1696">
        <v>119.17</v>
      </c>
      <c r="V55" s="1695">
        <v>121.03</v>
      </c>
      <c r="W55" s="1695">
        <v>122.88</v>
      </c>
      <c r="X55" s="1695">
        <v>124.74</v>
      </c>
      <c r="Y55" s="1697">
        <v>126.59</v>
      </c>
      <c r="Z55" s="1698">
        <v>128.44999999999999</v>
      </c>
      <c r="AA55" s="1699">
        <v>130.31</v>
      </c>
      <c r="AB55" s="1699">
        <v>132.16</v>
      </c>
      <c r="AC55" s="1699">
        <v>134.02000000000001</v>
      </c>
      <c r="AD55" s="1699">
        <v>135.88</v>
      </c>
      <c r="AE55" s="1699">
        <v>137.72999999999999</v>
      </c>
      <c r="AF55" s="1700">
        <v>113.4</v>
      </c>
      <c r="AG55" s="1700">
        <v>115.25</v>
      </c>
      <c r="AH55" s="1700">
        <v>117.11</v>
      </c>
      <c r="AI55" s="1700">
        <v>118.97</v>
      </c>
      <c r="AJ55" s="1701">
        <v>120.82</v>
      </c>
      <c r="AK55" s="1701">
        <v>122.68</v>
      </c>
      <c r="AL55" s="1701">
        <v>124.54</v>
      </c>
      <c r="AM55" s="1701">
        <v>126.39</v>
      </c>
      <c r="AN55" s="1701">
        <v>128.25</v>
      </c>
      <c r="AO55" s="1702">
        <v>130.11000000000001</v>
      </c>
      <c r="AP55" s="1700">
        <v>131.96</v>
      </c>
      <c r="AQ55" s="1700">
        <v>133.82</v>
      </c>
      <c r="AR55" s="1683">
        <v>135.66999999999999</v>
      </c>
      <c r="AS55" s="1700">
        <v>137.53</v>
      </c>
      <c r="AT55" s="1700">
        <v>139.38999999999999</v>
      </c>
      <c r="AU55" s="1700">
        <v>141.24</v>
      </c>
      <c r="AV55" s="1700">
        <v>143.1</v>
      </c>
      <c r="AW55" s="1700">
        <v>144.96</v>
      </c>
      <c r="AX55" s="1700">
        <v>146.81</v>
      </c>
      <c r="AY55" s="1700">
        <v>148.66999999999999</v>
      </c>
      <c r="AZ55" s="1700">
        <v>150.53</v>
      </c>
      <c r="BA55" s="1700">
        <v>152.38</v>
      </c>
      <c r="BB55" s="1683">
        <v>154.24</v>
      </c>
      <c r="BC55" s="1700">
        <v>156.09</v>
      </c>
      <c r="BD55" s="1683">
        <v>157.94999999999999</v>
      </c>
      <c r="BE55" s="1700">
        <v>159.81</v>
      </c>
      <c r="BF55" s="1700">
        <v>161.66</v>
      </c>
      <c r="BG55" s="1700">
        <v>163.52000000000001</v>
      </c>
      <c r="BH55" s="1700">
        <v>165.38</v>
      </c>
      <c r="BI55" s="1700">
        <v>167.23</v>
      </c>
      <c r="BJ55" s="1700">
        <v>169.09</v>
      </c>
      <c r="BK55" s="1700">
        <v>170.95</v>
      </c>
      <c r="BL55" s="1700">
        <v>172.8</v>
      </c>
      <c r="BM55" s="1700">
        <v>174.66</v>
      </c>
      <c r="BN55" s="1700"/>
      <c r="BO55" s="1703">
        <v>51</v>
      </c>
      <c r="BP55" s="1693">
        <v>60.28</v>
      </c>
      <c r="BQ55" s="1693">
        <v>61.59</v>
      </c>
      <c r="BR55" s="1693">
        <v>62.9</v>
      </c>
      <c r="BS55" s="1693">
        <v>64.209999999999994</v>
      </c>
      <c r="BT55" s="1693">
        <v>65.52</v>
      </c>
      <c r="BU55" s="1694">
        <v>66.83</v>
      </c>
      <c r="BV55" s="1694">
        <v>68.14</v>
      </c>
      <c r="BW55" s="1694">
        <v>69.45</v>
      </c>
      <c r="BX55" s="1695">
        <v>70.760000000000005</v>
      </c>
      <c r="BY55" s="1696">
        <v>72.08</v>
      </c>
      <c r="BZ55" s="1696">
        <v>73.39</v>
      </c>
      <c r="CA55" s="1695">
        <v>74.7</v>
      </c>
      <c r="CB55" s="1695">
        <v>76.010000000000005</v>
      </c>
      <c r="CC55" s="1704">
        <v>77.319999999999993</v>
      </c>
      <c r="CD55" s="1697">
        <v>78.63</v>
      </c>
      <c r="CE55" s="1698">
        <v>79.94</v>
      </c>
      <c r="CF55" s="1699">
        <v>81.25</v>
      </c>
      <c r="CG55" s="1699">
        <v>82.56</v>
      </c>
      <c r="CH55" s="1699">
        <v>83.87</v>
      </c>
      <c r="CI55" s="1699">
        <v>85.18</v>
      </c>
      <c r="CJ55" s="1699">
        <v>86.49</v>
      </c>
      <c r="CK55" s="1700">
        <v>74.7</v>
      </c>
      <c r="CL55" s="1700">
        <v>76.010000000000005</v>
      </c>
      <c r="CM55" s="1700">
        <v>77.319999999999993</v>
      </c>
      <c r="CN55" s="1700">
        <v>78.63</v>
      </c>
      <c r="CO55" s="1705">
        <v>79.94</v>
      </c>
      <c r="CP55" s="1706">
        <v>81.25</v>
      </c>
      <c r="CQ55" s="1701">
        <v>82.56</v>
      </c>
      <c r="CR55" s="1701">
        <v>83.87</v>
      </c>
      <c r="CS55" s="1707">
        <v>85.18</v>
      </c>
      <c r="CT55" s="1700">
        <v>86.49</v>
      </c>
      <c r="CU55" s="1700">
        <v>87.8</v>
      </c>
      <c r="CV55" s="1700">
        <v>89.11</v>
      </c>
      <c r="CW55" s="1700">
        <v>90.42</v>
      </c>
      <c r="CX55" s="1700">
        <v>91.73</v>
      </c>
      <c r="CY55" s="1700">
        <v>93.04</v>
      </c>
      <c r="CZ55" s="1700">
        <v>94.36</v>
      </c>
      <c r="DA55" s="1700">
        <v>95.67</v>
      </c>
      <c r="DB55" s="1700">
        <v>96.98</v>
      </c>
      <c r="DC55" s="1700">
        <v>98.29</v>
      </c>
      <c r="DD55" s="1700">
        <v>99.6</v>
      </c>
      <c r="DE55" s="1700">
        <v>100.91</v>
      </c>
      <c r="DF55" s="1700">
        <v>102.22</v>
      </c>
      <c r="DG55" s="1700">
        <v>103.53</v>
      </c>
      <c r="DH55" s="1700">
        <v>104.84</v>
      </c>
      <c r="DI55" s="1700">
        <v>106.15</v>
      </c>
      <c r="DJ55" s="1700">
        <v>107.46</v>
      </c>
      <c r="DK55" s="1700">
        <v>108.77</v>
      </c>
      <c r="DL55" s="1700">
        <v>110.08</v>
      </c>
      <c r="DM55" s="1700">
        <v>111.39</v>
      </c>
      <c r="DN55" s="1700">
        <v>112.71</v>
      </c>
      <c r="DO55" s="1700">
        <v>114.02</v>
      </c>
      <c r="DP55" s="1700">
        <v>115.33</v>
      </c>
      <c r="DQ55" s="1700">
        <v>116.64</v>
      </c>
      <c r="DR55" s="1700">
        <v>117.95</v>
      </c>
      <c r="DS55" s="1700"/>
      <c r="DT55" s="1700"/>
      <c r="DU55" s="1700"/>
      <c r="DV55" s="1700"/>
      <c r="DW55" s="1700"/>
      <c r="DX55" s="1700"/>
    </row>
    <row r="56" spans="1:128">
      <c r="A56" s="1622"/>
      <c r="B56" s="1691">
        <f t="shared" si="4"/>
        <v>52</v>
      </c>
      <c r="C56" s="1668" t="str">
        <f t="shared" si="1"/>
        <v>140.39</v>
      </c>
      <c r="D56" s="1672">
        <f t="shared" si="2"/>
        <v>196.55</v>
      </c>
      <c r="E56" s="1670"/>
      <c r="F56" s="1671" t="str">
        <f t="shared" si="3"/>
        <v>88.17</v>
      </c>
      <c r="G56" s="1672">
        <f t="shared" si="0"/>
        <v>123.44</v>
      </c>
      <c r="H56" s="1670"/>
      <c r="I56" s="1670"/>
      <c r="J56" s="1708">
        <v>52</v>
      </c>
      <c r="K56" s="1693">
        <v>102.54</v>
      </c>
      <c r="L56" s="1693">
        <v>104.43</v>
      </c>
      <c r="M56" s="1693">
        <v>106.32</v>
      </c>
      <c r="N56" s="1693">
        <v>108.22</v>
      </c>
      <c r="O56" s="1693">
        <v>110.11</v>
      </c>
      <c r="P56" s="1694">
        <v>112</v>
      </c>
      <c r="Q56" s="1694">
        <v>113.9</v>
      </c>
      <c r="R56" s="1694">
        <v>115.79</v>
      </c>
      <c r="S56" s="1695">
        <v>117.68</v>
      </c>
      <c r="T56" s="1696">
        <v>119.57</v>
      </c>
      <c r="U56" s="1696">
        <v>121.47</v>
      </c>
      <c r="V56" s="1695">
        <v>123.36</v>
      </c>
      <c r="W56" s="1695">
        <v>125.25</v>
      </c>
      <c r="X56" s="1695">
        <v>127.15</v>
      </c>
      <c r="Y56" s="1697" t="s">
        <v>1444</v>
      </c>
      <c r="Z56" s="1698">
        <v>130.93</v>
      </c>
      <c r="AA56" s="1699">
        <v>132.82</v>
      </c>
      <c r="AB56" s="1699">
        <v>134.72</v>
      </c>
      <c r="AC56" s="1699">
        <v>136.61000000000001</v>
      </c>
      <c r="AD56" s="1699">
        <v>138.5</v>
      </c>
      <c r="AE56" s="1699">
        <v>140.38999999999999</v>
      </c>
      <c r="AF56" s="1683">
        <v>115.6</v>
      </c>
      <c r="AG56" s="1683">
        <v>117.49</v>
      </c>
      <c r="AH56" s="1683">
        <v>119.38</v>
      </c>
      <c r="AI56" s="1683">
        <v>121.28</v>
      </c>
      <c r="AJ56" s="1701">
        <v>123.17</v>
      </c>
      <c r="AK56" s="1701">
        <v>125.06</v>
      </c>
      <c r="AL56" s="1701">
        <v>126.95</v>
      </c>
      <c r="AM56" s="1701">
        <v>128.85</v>
      </c>
      <c r="AN56" s="1701">
        <v>130.74</v>
      </c>
      <c r="AO56" s="1702">
        <v>132.63</v>
      </c>
      <c r="AP56" s="1700">
        <v>134.53</v>
      </c>
      <c r="AQ56" s="1700">
        <v>136.41999999999999</v>
      </c>
      <c r="AR56" s="1700">
        <v>138.31</v>
      </c>
      <c r="AS56" s="1700">
        <v>140.19999999999999</v>
      </c>
      <c r="AT56" s="1683">
        <v>142.1</v>
      </c>
      <c r="AU56" s="1700">
        <v>143.99</v>
      </c>
      <c r="AV56" s="1683">
        <v>145.88</v>
      </c>
      <c r="AW56" s="1683">
        <v>147.78</v>
      </c>
      <c r="AX56" s="1683">
        <v>149.66999999999999</v>
      </c>
      <c r="AY56" s="1683">
        <v>151.56</v>
      </c>
      <c r="AZ56" s="1683">
        <v>153.44999999999999</v>
      </c>
      <c r="BA56" s="1683">
        <v>155.35</v>
      </c>
      <c r="BB56" s="1700">
        <v>157.24</v>
      </c>
      <c r="BC56" s="1683">
        <v>159.13</v>
      </c>
      <c r="BD56" s="1700">
        <v>161.03</v>
      </c>
      <c r="BE56" s="1683">
        <v>162.91999999999999</v>
      </c>
      <c r="BF56" s="1683">
        <v>164.8</v>
      </c>
      <c r="BG56" s="1683">
        <v>166.7</v>
      </c>
      <c r="BH56" s="1683">
        <v>168.6</v>
      </c>
      <c r="BI56" s="1683">
        <v>170.49</v>
      </c>
      <c r="BJ56" s="1683">
        <v>172.38</v>
      </c>
      <c r="BK56" s="1683">
        <v>174.27</v>
      </c>
      <c r="BL56" s="1683">
        <v>176.17</v>
      </c>
      <c r="BM56" s="1683">
        <v>178.06</v>
      </c>
      <c r="BN56" s="1683"/>
      <c r="BO56" s="1703">
        <v>52</v>
      </c>
      <c r="BP56" s="1693">
        <v>41.44</v>
      </c>
      <c r="BQ56" s="1693">
        <v>62.78</v>
      </c>
      <c r="BR56" s="1693">
        <v>64.12</v>
      </c>
      <c r="BS56" s="1693">
        <v>65.45</v>
      </c>
      <c r="BT56" s="1693">
        <v>66.790000000000006</v>
      </c>
      <c r="BU56" s="1694">
        <v>68.12</v>
      </c>
      <c r="BV56" s="1694">
        <v>69.459999999999994</v>
      </c>
      <c r="BW56" s="1694">
        <v>70.8</v>
      </c>
      <c r="BX56" s="1695">
        <v>72.13</v>
      </c>
      <c r="BY56" s="1696">
        <v>73.47</v>
      </c>
      <c r="BZ56" s="1696">
        <v>74.81</v>
      </c>
      <c r="CA56" s="1695">
        <v>76.14</v>
      </c>
      <c r="CB56" s="1695">
        <v>77.48</v>
      </c>
      <c r="CC56" s="1704">
        <v>78.819999999999993</v>
      </c>
      <c r="CD56" s="1697">
        <v>80.150000000000006</v>
      </c>
      <c r="CE56" s="1698">
        <v>81.489999999999995</v>
      </c>
      <c r="CF56" s="1699">
        <v>82.82</v>
      </c>
      <c r="CG56" s="1699">
        <v>84.16</v>
      </c>
      <c r="CH56" s="1699">
        <v>85.5</v>
      </c>
      <c r="CI56" s="1699">
        <v>86.83</v>
      </c>
      <c r="CJ56" s="1699">
        <v>88.17</v>
      </c>
      <c r="CK56" s="1700">
        <v>76.150000000000006</v>
      </c>
      <c r="CL56" s="1700">
        <v>77.48</v>
      </c>
      <c r="CM56" s="1700">
        <v>78.819999999999993</v>
      </c>
      <c r="CN56" s="1700">
        <v>80.16</v>
      </c>
      <c r="CO56" s="1705">
        <v>81.489999999999995</v>
      </c>
      <c r="CP56" s="1706">
        <v>82.83</v>
      </c>
      <c r="CQ56" s="1701">
        <v>84.17</v>
      </c>
      <c r="CR56" s="1701">
        <v>85.5</v>
      </c>
      <c r="CS56" s="1707">
        <v>86.84</v>
      </c>
      <c r="CT56" s="1700">
        <v>88.18</v>
      </c>
      <c r="CU56" s="1700">
        <v>89.51</v>
      </c>
      <c r="CV56" s="1700">
        <v>90.85</v>
      </c>
      <c r="CW56" s="1700">
        <v>92.19</v>
      </c>
      <c r="CX56" s="1700">
        <v>93.52</v>
      </c>
      <c r="CY56" s="1700">
        <v>94.86</v>
      </c>
      <c r="CZ56" s="1700">
        <v>96.19</v>
      </c>
      <c r="DA56" s="1700">
        <v>97.53</v>
      </c>
      <c r="DB56" s="1700">
        <v>98.87</v>
      </c>
      <c r="DC56" s="1700">
        <v>100.2</v>
      </c>
      <c r="DD56" s="1700">
        <v>101.54</v>
      </c>
      <c r="DE56" s="1700">
        <v>102.88</v>
      </c>
      <c r="DF56" s="1700">
        <v>104.21</v>
      </c>
      <c r="DG56" s="1700">
        <v>105.55</v>
      </c>
      <c r="DH56" s="1700">
        <v>106.89</v>
      </c>
      <c r="DI56" s="1700">
        <v>108.22</v>
      </c>
      <c r="DJ56" s="1700">
        <v>109.56</v>
      </c>
      <c r="DK56" s="1700">
        <v>110.89</v>
      </c>
      <c r="DL56" s="1700">
        <v>112.23</v>
      </c>
      <c r="DM56" s="1700">
        <v>113.57</v>
      </c>
      <c r="DN56" s="1700">
        <v>114.9</v>
      </c>
      <c r="DO56" s="1700">
        <v>116.24</v>
      </c>
      <c r="DP56" s="1700">
        <v>117.58</v>
      </c>
      <c r="DQ56" s="1700">
        <v>118.91</v>
      </c>
      <c r="DR56" s="1700">
        <v>120.25</v>
      </c>
      <c r="DS56" s="1700"/>
      <c r="DT56" s="1700"/>
      <c r="DU56" s="1700"/>
      <c r="DV56" s="1700"/>
      <c r="DW56" s="1700"/>
      <c r="DX56" s="1700"/>
    </row>
    <row r="57" spans="1:128">
      <c r="A57" s="1622"/>
      <c r="B57" s="1691">
        <f t="shared" si="4"/>
        <v>53</v>
      </c>
      <c r="C57" s="1668" t="str">
        <f t="shared" si="1"/>
        <v>143.07</v>
      </c>
      <c r="D57" s="1672">
        <f t="shared" si="2"/>
        <v>200.3</v>
      </c>
      <c r="E57" s="1670"/>
      <c r="F57" s="1671" t="str">
        <f t="shared" si="3"/>
        <v>89.85</v>
      </c>
      <c r="G57" s="1672">
        <f t="shared" si="0"/>
        <v>125.79</v>
      </c>
      <c r="H57" s="1670"/>
      <c r="I57" s="1670"/>
      <c r="J57" s="1708">
        <v>53</v>
      </c>
      <c r="K57" s="1693">
        <v>104.49</v>
      </c>
      <c r="L57" s="1693">
        <v>106.42</v>
      </c>
      <c r="M57" s="1693">
        <v>108.35</v>
      </c>
      <c r="N57" s="1693">
        <v>110.28</v>
      </c>
      <c r="O57" s="1693">
        <v>112.21</v>
      </c>
      <c r="P57" s="1694">
        <v>114.13</v>
      </c>
      <c r="Q57" s="1694">
        <v>116.06</v>
      </c>
      <c r="R57" s="1694">
        <v>117.99</v>
      </c>
      <c r="S57" s="1695">
        <v>119.92</v>
      </c>
      <c r="T57" s="1696">
        <v>121.85</v>
      </c>
      <c r="U57" s="1696">
        <v>123.78</v>
      </c>
      <c r="V57" s="1695">
        <v>125.71</v>
      </c>
      <c r="W57" s="1695">
        <v>127.64</v>
      </c>
      <c r="X57" s="1695">
        <v>129.57</v>
      </c>
      <c r="Y57" s="1697">
        <v>131.5</v>
      </c>
      <c r="Z57" s="1698">
        <v>133.43</v>
      </c>
      <c r="AA57" s="1699">
        <v>135.36000000000001</v>
      </c>
      <c r="AB57" s="1699">
        <v>137.28</v>
      </c>
      <c r="AC57" s="1699">
        <v>139.21</v>
      </c>
      <c r="AD57" s="1699">
        <v>141.13999999999999</v>
      </c>
      <c r="AE57" s="1699">
        <v>143.07</v>
      </c>
      <c r="AF57" s="1700">
        <v>117.81</v>
      </c>
      <c r="AG57" s="1700">
        <v>119.74</v>
      </c>
      <c r="AH57" s="1700">
        <v>121.67</v>
      </c>
      <c r="AI57" s="1700">
        <v>123.6</v>
      </c>
      <c r="AJ57" s="1701">
        <v>125.52</v>
      </c>
      <c r="AK57" s="1701">
        <v>127.45</v>
      </c>
      <c r="AL57" s="1701">
        <v>129.38</v>
      </c>
      <c r="AM57" s="1701">
        <v>131.31</v>
      </c>
      <c r="AN57" s="1701">
        <v>133.24</v>
      </c>
      <c r="AO57" s="1702">
        <v>135.16999999999999</v>
      </c>
      <c r="AP57" s="1700">
        <v>137.1</v>
      </c>
      <c r="AQ57" s="1700">
        <v>139.03</v>
      </c>
      <c r="AR57" s="1683">
        <v>140.96</v>
      </c>
      <c r="AS57" s="1700">
        <v>142.88999999999999</v>
      </c>
      <c r="AT57" s="1700">
        <v>144.82</v>
      </c>
      <c r="AU57" s="1700">
        <v>146.75</v>
      </c>
      <c r="AV57" s="1700">
        <v>148.68</v>
      </c>
      <c r="AW57" s="1700">
        <v>150.6</v>
      </c>
      <c r="AX57" s="1700">
        <v>152.53</v>
      </c>
      <c r="AY57" s="1700">
        <v>154.46</v>
      </c>
      <c r="AZ57" s="1700">
        <v>156.38999999999999</v>
      </c>
      <c r="BA57" s="1700">
        <v>158.32</v>
      </c>
      <c r="BB57" s="1700">
        <v>160.25</v>
      </c>
      <c r="BC57" s="1700">
        <v>162.18</v>
      </c>
      <c r="BD57" s="1700">
        <v>164.11</v>
      </c>
      <c r="BE57" s="1700">
        <v>166.04</v>
      </c>
      <c r="BF57" s="1700">
        <v>167.97</v>
      </c>
      <c r="BG57" s="1700">
        <v>169.9</v>
      </c>
      <c r="BH57" s="1700">
        <v>171.83</v>
      </c>
      <c r="BI57" s="1700">
        <v>173.75</v>
      </c>
      <c r="BJ57" s="1700">
        <v>175.68</v>
      </c>
      <c r="BK57" s="1700">
        <v>177.61</v>
      </c>
      <c r="BL57" s="1700">
        <v>179.54</v>
      </c>
      <c r="BM57" s="1700">
        <v>181.47</v>
      </c>
      <c r="BN57" s="1700"/>
      <c r="BO57" s="1703">
        <v>53</v>
      </c>
      <c r="BP57" s="1693">
        <v>62.61</v>
      </c>
      <c r="BQ57" s="1693">
        <v>63.97</v>
      </c>
      <c r="BR57" s="1693">
        <v>65.33</v>
      </c>
      <c r="BS57" s="1693">
        <v>66.7</v>
      </c>
      <c r="BT57" s="1693">
        <v>68.06</v>
      </c>
      <c r="BU57" s="1694">
        <v>69.42</v>
      </c>
      <c r="BV57" s="1694">
        <v>70.78</v>
      </c>
      <c r="BW57" s="1694">
        <v>72.14</v>
      </c>
      <c r="BX57" s="1695">
        <v>73.510000000000005</v>
      </c>
      <c r="BY57" s="1696">
        <v>74.87</v>
      </c>
      <c r="BZ57" s="1696">
        <v>76.23</v>
      </c>
      <c r="CA57" s="1695">
        <v>77.59</v>
      </c>
      <c r="CB57" s="1695">
        <v>78.95</v>
      </c>
      <c r="CC57" s="1704">
        <v>80.319999999999993</v>
      </c>
      <c r="CD57" s="1697">
        <v>81.680000000000007</v>
      </c>
      <c r="CE57" s="1698">
        <v>83.04</v>
      </c>
      <c r="CF57" s="1699">
        <v>84.4</v>
      </c>
      <c r="CG57" s="1699">
        <v>85.77</v>
      </c>
      <c r="CH57" s="1699">
        <v>87.13</v>
      </c>
      <c r="CI57" s="1699">
        <v>88.49</v>
      </c>
      <c r="CJ57" s="1699">
        <v>89.85</v>
      </c>
      <c r="CK57" s="1700">
        <v>77.599999999999994</v>
      </c>
      <c r="CL57" s="1700">
        <v>78.97</v>
      </c>
      <c r="CM57" s="1700">
        <v>80.33</v>
      </c>
      <c r="CN57" s="1700">
        <v>81.69</v>
      </c>
      <c r="CO57" s="1705">
        <v>83.05</v>
      </c>
      <c r="CP57" s="1706">
        <v>84.41</v>
      </c>
      <c r="CQ57" s="1701">
        <v>85.78</v>
      </c>
      <c r="CR57" s="1701">
        <v>87.14</v>
      </c>
      <c r="CS57" s="1707">
        <v>88.5</v>
      </c>
      <c r="CT57" s="1700">
        <v>89.86</v>
      </c>
      <c r="CU57" s="1700">
        <v>91.22</v>
      </c>
      <c r="CV57" s="1700">
        <v>92.59</v>
      </c>
      <c r="CW57" s="1700">
        <v>93.95</v>
      </c>
      <c r="CX57" s="1700">
        <v>95.31</v>
      </c>
      <c r="CY57" s="1700">
        <v>96.67</v>
      </c>
      <c r="CZ57" s="1700">
        <v>98.04</v>
      </c>
      <c r="DA57" s="1700">
        <v>99.4</v>
      </c>
      <c r="DB57" s="1700">
        <v>100.76</v>
      </c>
      <c r="DC57" s="1700">
        <v>102.12</v>
      </c>
      <c r="DD57" s="1700">
        <v>103.48</v>
      </c>
      <c r="DE57" s="1700">
        <v>104.85</v>
      </c>
      <c r="DF57" s="1700">
        <v>106.21</v>
      </c>
      <c r="DG57" s="1700">
        <v>107.57</v>
      </c>
      <c r="DH57" s="1700">
        <v>108.93</v>
      </c>
      <c r="DI57" s="1700">
        <v>110.29</v>
      </c>
      <c r="DJ57" s="1700">
        <v>111.66</v>
      </c>
      <c r="DK57" s="1700">
        <v>113.02</v>
      </c>
      <c r="DL57" s="1700">
        <v>114.38</v>
      </c>
      <c r="DM57" s="1700">
        <v>115.74</v>
      </c>
      <c r="DN57" s="1700">
        <v>117.1</v>
      </c>
      <c r="DO57" s="1700">
        <v>118.47</v>
      </c>
      <c r="DP57" s="1700">
        <v>119.83</v>
      </c>
      <c r="DQ57" s="1700">
        <v>121.19</v>
      </c>
      <c r="DR57" s="1700">
        <v>122.55</v>
      </c>
      <c r="DS57" s="1700"/>
      <c r="DT57" s="1700"/>
      <c r="DU57" s="1700"/>
      <c r="DV57" s="1700"/>
      <c r="DW57" s="1700"/>
      <c r="DX57" s="1700"/>
    </row>
    <row r="58" spans="1:128">
      <c r="A58" s="1622"/>
      <c r="B58" s="1691">
        <f t="shared" si="4"/>
        <v>54</v>
      </c>
      <c r="C58" s="1668" t="str">
        <f t="shared" si="1"/>
        <v>145.77</v>
      </c>
      <c r="D58" s="1672">
        <f t="shared" si="2"/>
        <v>204.08</v>
      </c>
      <c r="E58" s="1670"/>
      <c r="F58" s="1671" t="str">
        <f t="shared" si="3"/>
        <v>91.54</v>
      </c>
      <c r="G58" s="1672">
        <f t="shared" si="0"/>
        <v>128.16</v>
      </c>
      <c r="H58" s="1670"/>
      <c r="I58" s="1670"/>
      <c r="J58" s="1708">
        <v>54</v>
      </c>
      <c r="K58" s="1693">
        <v>106.45</v>
      </c>
      <c r="L58" s="1693">
        <v>108.42</v>
      </c>
      <c r="M58" s="1693">
        <v>110.39</v>
      </c>
      <c r="N58" s="1693">
        <v>112.35</v>
      </c>
      <c r="O58" s="1693">
        <v>114.32</v>
      </c>
      <c r="P58" s="1694">
        <v>116.28</v>
      </c>
      <c r="Q58" s="1694">
        <v>118.25</v>
      </c>
      <c r="R58" s="1694">
        <v>120.21</v>
      </c>
      <c r="S58" s="1695">
        <v>122.18</v>
      </c>
      <c r="T58" s="1696">
        <v>124.14</v>
      </c>
      <c r="U58" s="1696">
        <v>126.11</v>
      </c>
      <c r="V58" s="1695">
        <v>128.08000000000001</v>
      </c>
      <c r="W58" s="1695">
        <v>130.04</v>
      </c>
      <c r="X58" s="1695">
        <v>132.01</v>
      </c>
      <c r="Y58" s="1697">
        <v>133.97</v>
      </c>
      <c r="Z58" s="1698">
        <v>135.94</v>
      </c>
      <c r="AA58" s="1699">
        <v>137.9</v>
      </c>
      <c r="AB58" s="1699">
        <v>139.87</v>
      </c>
      <c r="AC58" s="1699">
        <v>141.83000000000001</v>
      </c>
      <c r="AD58" s="1699">
        <v>143.80000000000001</v>
      </c>
      <c r="AE58" s="1699">
        <v>145.77000000000001</v>
      </c>
      <c r="AF58" s="1700">
        <v>120.03</v>
      </c>
      <c r="AG58" s="1700">
        <v>121.99</v>
      </c>
      <c r="AH58" s="1700">
        <v>123.96</v>
      </c>
      <c r="AI58" s="1700">
        <v>125.92</v>
      </c>
      <c r="AJ58" s="1701">
        <v>127.89</v>
      </c>
      <c r="AK58" s="1701">
        <v>129.86000000000001</v>
      </c>
      <c r="AL58" s="1701">
        <v>131.82</v>
      </c>
      <c r="AM58" s="1701">
        <v>133.79</v>
      </c>
      <c r="AN58" s="1701">
        <v>135.75</v>
      </c>
      <c r="AO58" s="1702">
        <v>137.72</v>
      </c>
      <c r="AP58" s="1700">
        <v>139.68</v>
      </c>
      <c r="AQ58" s="1700">
        <v>141.65</v>
      </c>
      <c r="AR58" s="1700">
        <v>143.61000000000001</v>
      </c>
      <c r="AS58" s="1700">
        <v>145.58000000000001</v>
      </c>
      <c r="AT58" s="1700">
        <v>147.55000000000001</v>
      </c>
      <c r="AU58" s="1700">
        <v>149.51</v>
      </c>
      <c r="AV58" s="1700">
        <v>151.47999999999999</v>
      </c>
      <c r="AW58" s="1700">
        <v>153.44</v>
      </c>
      <c r="AX58" s="1700">
        <v>155.41</v>
      </c>
      <c r="AY58" s="1700">
        <v>157.37</v>
      </c>
      <c r="AZ58" s="1700">
        <v>159.34</v>
      </c>
      <c r="BA58" s="1700">
        <v>161.30000000000001</v>
      </c>
      <c r="BB58" s="1683">
        <v>163.27000000000001</v>
      </c>
      <c r="BC58" s="1700">
        <v>165.24</v>
      </c>
      <c r="BD58" s="1683">
        <v>167.2</v>
      </c>
      <c r="BE58" s="1700">
        <v>169.17</v>
      </c>
      <c r="BF58" s="1700">
        <v>171.13</v>
      </c>
      <c r="BG58" s="1700">
        <v>173.1</v>
      </c>
      <c r="BH58" s="1700">
        <v>175.06</v>
      </c>
      <c r="BI58" s="1700">
        <v>177.03</v>
      </c>
      <c r="BJ58" s="1700">
        <v>179</v>
      </c>
      <c r="BK58" s="1700">
        <v>180.96</v>
      </c>
      <c r="BL58" s="1700">
        <v>182.93</v>
      </c>
      <c r="BM58" s="1700">
        <v>184.89</v>
      </c>
      <c r="BN58" s="1700"/>
      <c r="BO58" s="1703">
        <v>54</v>
      </c>
      <c r="BP58" s="1693">
        <v>63.78</v>
      </c>
      <c r="BQ58" s="1693">
        <v>65.17</v>
      </c>
      <c r="BR58" s="1693">
        <v>66.56</v>
      </c>
      <c r="BS58" s="1693">
        <v>67.94</v>
      </c>
      <c r="BT58" s="1693">
        <v>69.33</v>
      </c>
      <c r="BU58" s="1694">
        <v>70.72</v>
      </c>
      <c r="BV58" s="1694">
        <v>72.11</v>
      </c>
      <c r="BW58" s="1694">
        <v>73.5</v>
      </c>
      <c r="BX58" s="1695">
        <v>74.88</v>
      </c>
      <c r="BY58" s="1696">
        <v>76.27</v>
      </c>
      <c r="BZ58" s="1696">
        <v>77.66</v>
      </c>
      <c r="CA58" s="1695">
        <v>79.05</v>
      </c>
      <c r="CB58" s="1695">
        <v>80.430000000000007</v>
      </c>
      <c r="CC58" s="1704">
        <v>81.819999999999993</v>
      </c>
      <c r="CD58" s="1697">
        <v>83.21</v>
      </c>
      <c r="CE58" s="1698">
        <v>84.6</v>
      </c>
      <c r="CF58" s="1699">
        <v>85.99</v>
      </c>
      <c r="CG58" s="1699">
        <v>87.37</v>
      </c>
      <c r="CH58" s="1699">
        <v>88.76</v>
      </c>
      <c r="CI58" s="1699">
        <v>90.15</v>
      </c>
      <c r="CJ58" s="1699">
        <v>91.54</v>
      </c>
      <c r="CK58" s="1700">
        <v>79.06</v>
      </c>
      <c r="CL58" s="1700">
        <v>80.45</v>
      </c>
      <c r="CM58" s="1700">
        <v>81.84</v>
      </c>
      <c r="CN58" s="1700">
        <v>83.22</v>
      </c>
      <c r="CO58" s="1705">
        <v>84.61</v>
      </c>
      <c r="CP58" s="1706">
        <v>86</v>
      </c>
      <c r="CQ58" s="1701">
        <v>87.39</v>
      </c>
      <c r="CR58" s="1701">
        <v>88.78</v>
      </c>
      <c r="CS58" s="1707">
        <v>90.16</v>
      </c>
      <c r="CT58" s="1700">
        <v>91.55</v>
      </c>
      <c r="CU58" s="1700">
        <v>92.94</v>
      </c>
      <c r="CV58" s="1700">
        <v>94.33</v>
      </c>
      <c r="CW58" s="1700">
        <v>95.72</v>
      </c>
      <c r="CX58" s="1700">
        <v>97.1</v>
      </c>
      <c r="CY58" s="1700">
        <v>98.49</v>
      </c>
      <c r="CZ58" s="1700">
        <v>99.88</v>
      </c>
      <c r="DA58" s="1700">
        <v>101.27</v>
      </c>
      <c r="DB58" s="1700">
        <v>102.65</v>
      </c>
      <c r="DC58" s="1700">
        <v>104.04</v>
      </c>
      <c r="DD58" s="1700">
        <v>105.43</v>
      </c>
      <c r="DE58" s="1700">
        <v>106.82</v>
      </c>
      <c r="DF58" s="1700">
        <v>108.21</v>
      </c>
      <c r="DG58" s="1700">
        <v>109.59</v>
      </c>
      <c r="DH58" s="1700">
        <v>110.98</v>
      </c>
      <c r="DI58" s="1700">
        <v>112.37</v>
      </c>
      <c r="DJ58" s="1700">
        <v>113.76</v>
      </c>
      <c r="DK58" s="1700">
        <v>115.14</v>
      </c>
      <c r="DL58" s="1700">
        <v>116.53</v>
      </c>
      <c r="DM58" s="1700">
        <v>117.92</v>
      </c>
      <c r="DN58" s="1700">
        <v>119.31</v>
      </c>
      <c r="DO58" s="1700">
        <v>120.7</v>
      </c>
      <c r="DP58" s="1700">
        <v>122.08</v>
      </c>
      <c r="DQ58" s="1700">
        <v>123.47</v>
      </c>
      <c r="DR58" s="1700">
        <v>124.86</v>
      </c>
      <c r="DS58" s="1700"/>
      <c r="DT58" s="1700"/>
      <c r="DU58" s="1700"/>
      <c r="DV58" s="1700"/>
      <c r="DW58" s="1700"/>
      <c r="DX58" s="1700"/>
    </row>
    <row r="59" spans="1:128">
      <c r="A59" s="1622"/>
      <c r="B59" s="1691">
        <f t="shared" si="4"/>
        <v>55</v>
      </c>
      <c r="C59" s="1668" t="str">
        <f t="shared" si="1"/>
        <v>148.42</v>
      </c>
      <c r="D59" s="1672">
        <f t="shared" si="2"/>
        <v>207.79</v>
      </c>
      <c r="E59" s="1670"/>
      <c r="F59" s="1671" t="str">
        <f t="shared" si="3"/>
        <v>93.23</v>
      </c>
      <c r="G59" s="1672">
        <f t="shared" si="0"/>
        <v>130.52000000000001</v>
      </c>
      <c r="H59" s="1670"/>
      <c r="I59" s="1670"/>
      <c r="J59" s="1708">
        <v>55</v>
      </c>
      <c r="K59" s="1693">
        <v>108.38</v>
      </c>
      <c r="L59" s="1693">
        <v>110.39</v>
      </c>
      <c r="M59" s="1693">
        <v>112.39</v>
      </c>
      <c r="N59" s="1693">
        <v>114.39</v>
      </c>
      <c r="O59" s="1693">
        <v>116.39</v>
      </c>
      <c r="P59" s="1694">
        <v>118.39</v>
      </c>
      <c r="Q59" s="1694">
        <v>120.4</v>
      </c>
      <c r="R59" s="1694">
        <v>122.4</v>
      </c>
      <c r="S59" s="1695">
        <v>124.4</v>
      </c>
      <c r="T59" s="1696">
        <v>126.4</v>
      </c>
      <c r="U59" s="1696">
        <v>128.4</v>
      </c>
      <c r="V59" s="1695">
        <v>130.41</v>
      </c>
      <c r="W59" s="1695">
        <v>132.41</v>
      </c>
      <c r="X59" s="1695">
        <v>134.41</v>
      </c>
      <c r="Y59" s="1697">
        <v>136.41</v>
      </c>
      <c r="Z59" s="1698">
        <v>138.41</v>
      </c>
      <c r="AA59" s="1699">
        <v>140.41999999999999</v>
      </c>
      <c r="AB59" s="1699">
        <v>142.41999999999999</v>
      </c>
      <c r="AC59" s="1699">
        <v>144.41999999999999</v>
      </c>
      <c r="AD59" s="1699">
        <v>146.41999999999999</v>
      </c>
      <c r="AE59" s="1699">
        <v>148.41999999999999</v>
      </c>
      <c r="AF59" s="1683">
        <v>122.23</v>
      </c>
      <c r="AG59" s="1683">
        <v>124.23</v>
      </c>
      <c r="AH59" s="1683">
        <v>126.23</v>
      </c>
      <c r="AI59" s="1683">
        <v>128.22999999999999</v>
      </c>
      <c r="AJ59" s="1701">
        <v>130.22999999999999</v>
      </c>
      <c r="AK59" s="1701">
        <v>132.24</v>
      </c>
      <c r="AL59" s="1701">
        <v>134.24</v>
      </c>
      <c r="AM59" s="1701">
        <v>136.24</v>
      </c>
      <c r="AN59" s="1701">
        <v>138.24</v>
      </c>
      <c r="AO59" s="1702">
        <v>140.24</v>
      </c>
      <c r="AP59" s="1700">
        <v>142.25</v>
      </c>
      <c r="AQ59" s="1700">
        <v>144.25</v>
      </c>
      <c r="AR59" s="1683">
        <v>146.25</v>
      </c>
      <c r="AS59" s="1700">
        <v>148.25</v>
      </c>
      <c r="AT59" s="1683">
        <v>150.25</v>
      </c>
      <c r="AU59" s="1700">
        <v>152.26</v>
      </c>
      <c r="AV59" s="1683">
        <v>154.26</v>
      </c>
      <c r="AW59" s="1683">
        <v>156.26</v>
      </c>
      <c r="AX59" s="1683">
        <v>158.26</v>
      </c>
      <c r="AY59" s="1683">
        <v>160.26</v>
      </c>
      <c r="AZ59" s="1683">
        <v>162.27000000000001</v>
      </c>
      <c r="BA59" s="1683">
        <v>164.27</v>
      </c>
      <c r="BB59" s="1700">
        <v>166.27</v>
      </c>
      <c r="BC59" s="1683">
        <v>168.27</v>
      </c>
      <c r="BD59" s="1700">
        <v>170.27</v>
      </c>
      <c r="BE59" s="1683">
        <v>172.28</v>
      </c>
      <c r="BF59" s="1683">
        <v>174.28</v>
      </c>
      <c r="BG59" s="1683">
        <v>176.28</v>
      </c>
      <c r="BH59" s="1683">
        <v>178.28</v>
      </c>
      <c r="BI59" s="1683">
        <v>180.28</v>
      </c>
      <c r="BJ59" s="1683">
        <v>182.29</v>
      </c>
      <c r="BK59" s="1683">
        <v>184.29</v>
      </c>
      <c r="BL59" s="1683">
        <v>186.29</v>
      </c>
      <c r="BM59" s="1683">
        <v>188.29</v>
      </c>
      <c r="BN59" s="1683"/>
      <c r="BO59" s="1703">
        <v>55</v>
      </c>
      <c r="BP59" s="1693">
        <v>64.959999999999994</v>
      </c>
      <c r="BQ59" s="1693">
        <v>66.37</v>
      </c>
      <c r="BR59" s="1693">
        <v>67.78</v>
      </c>
      <c r="BS59" s="1693">
        <v>69.2</v>
      </c>
      <c r="BT59" s="1693">
        <v>70.61</v>
      </c>
      <c r="BU59" s="1694">
        <v>72.02</v>
      </c>
      <c r="BV59" s="1694">
        <v>73.44</v>
      </c>
      <c r="BW59" s="1694">
        <v>74.849999999999994</v>
      </c>
      <c r="BX59" s="1695">
        <v>76.260000000000005</v>
      </c>
      <c r="BY59" s="1696">
        <v>77.680000000000007</v>
      </c>
      <c r="BZ59" s="1696">
        <v>79.09</v>
      </c>
      <c r="CA59" s="1695">
        <v>80.5</v>
      </c>
      <c r="CB59" s="1695">
        <v>81.92</v>
      </c>
      <c r="CC59" s="1704">
        <v>83.33</v>
      </c>
      <c r="CD59" s="1697">
        <v>84.74</v>
      </c>
      <c r="CE59" s="1698">
        <v>86.16</v>
      </c>
      <c r="CF59" s="1699">
        <v>87.57</v>
      </c>
      <c r="CG59" s="1699">
        <v>88.99</v>
      </c>
      <c r="CH59" s="1699">
        <v>90.4</v>
      </c>
      <c r="CI59" s="1699">
        <v>91.81</v>
      </c>
      <c r="CJ59" s="1699">
        <v>93.23</v>
      </c>
      <c r="CK59" s="1700">
        <v>80.52</v>
      </c>
      <c r="CL59" s="1700">
        <v>81.94</v>
      </c>
      <c r="CM59" s="1700">
        <v>83.35</v>
      </c>
      <c r="CN59" s="1700">
        <v>84.76</v>
      </c>
      <c r="CO59" s="1705">
        <v>86.18</v>
      </c>
      <c r="CP59" s="1706">
        <v>87.59</v>
      </c>
      <c r="CQ59" s="1701">
        <v>89</v>
      </c>
      <c r="CR59" s="1701">
        <v>90.42</v>
      </c>
      <c r="CS59" s="1707">
        <v>91.83</v>
      </c>
      <c r="CT59" s="1700">
        <v>93.24</v>
      </c>
      <c r="CU59" s="1700">
        <v>94.66</v>
      </c>
      <c r="CV59" s="1700">
        <v>96.07</v>
      </c>
      <c r="CW59" s="1700">
        <v>97.48</v>
      </c>
      <c r="CX59" s="1700">
        <v>98.9</v>
      </c>
      <c r="CY59" s="1700">
        <v>100.31</v>
      </c>
      <c r="CZ59" s="1700">
        <v>101.72</v>
      </c>
      <c r="DA59" s="1700">
        <v>103.14</v>
      </c>
      <c r="DB59" s="1700">
        <v>104.55</v>
      </c>
      <c r="DC59" s="1700">
        <v>105.96</v>
      </c>
      <c r="DD59" s="1700">
        <v>107.38</v>
      </c>
      <c r="DE59" s="1700">
        <v>108.79</v>
      </c>
      <c r="DF59" s="1700">
        <v>110.21</v>
      </c>
      <c r="DG59" s="1700">
        <v>111.62</v>
      </c>
      <c r="DH59" s="1700">
        <v>113.03</v>
      </c>
      <c r="DI59" s="1700">
        <v>114.45</v>
      </c>
      <c r="DJ59" s="1700">
        <v>115.86</v>
      </c>
      <c r="DK59" s="1700">
        <v>117.27</v>
      </c>
      <c r="DL59" s="1700">
        <v>118.69</v>
      </c>
      <c r="DM59" s="1700">
        <v>120.1</v>
      </c>
      <c r="DN59" s="1700">
        <v>121.51</v>
      </c>
      <c r="DO59" s="1700">
        <v>122.93</v>
      </c>
      <c r="DP59" s="1700">
        <v>124.34</v>
      </c>
      <c r="DQ59" s="1700">
        <v>125.75</v>
      </c>
      <c r="DR59" s="1700">
        <v>127.17</v>
      </c>
      <c r="DS59" s="1700"/>
      <c r="DT59" s="1700"/>
      <c r="DU59" s="1700"/>
      <c r="DV59" s="1700"/>
      <c r="DW59" s="1700"/>
      <c r="DX59" s="1700"/>
    </row>
    <row r="60" spans="1:128">
      <c r="A60" s="1622"/>
      <c r="B60" s="1691">
        <f t="shared" si="4"/>
        <v>56</v>
      </c>
      <c r="C60" s="1668" t="str">
        <f t="shared" si="1"/>
        <v>151.1</v>
      </c>
      <c r="D60" s="1672">
        <f t="shared" si="2"/>
        <v>211.54</v>
      </c>
      <c r="E60" s="1670"/>
      <c r="F60" s="1671" t="str">
        <f t="shared" si="3"/>
        <v>94.9</v>
      </c>
      <c r="G60" s="1672">
        <f t="shared" si="0"/>
        <v>132.86000000000001</v>
      </c>
      <c r="H60" s="1670"/>
      <c r="I60" s="1670"/>
      <c r="J60" s="1708">
        <v>56</v>
      </c>
      <c r="K60" s="1693">
        <v>110.33</v>
      </c>
      <c r="L60" s="1693">
        <v>112.37</v>
      </c>
      <c r="M60" s="1693">
        <v>114.4</v>
      </c>
      <c r="N60" s="1693">
        <v>116.44</v>
      </c>
      <c r="O60" s="1693">
        <v>118.48</v>
      </c>
      <c r="P60" s="1694">
        <v>120.52</v>
      </c>
      <c r="Q60" s="1694">
        <v>122.56</v>
      </c>
      <c r="R60" s="1694">
        <v>124.6</v>
      </c>
      <c r="S60" s="1695">
        <v>126.63</v>
      </c>
      <c r="T60" s="1696">
        <v>128.66999999999999</v>
      </c>
      <c r="U60" s="1696">
        <v>130.71</v>
      </c>
      <c r="V60" s="1695">
        <v>132.75</v>
      </c>
      <c r="W60" s="1695">
        <v>134.79</v>
      </c>
      <c r="X60" s="1695">
        <v>136.83000000000001</v>
      </c>
      <c r="Y60" s="1697">
        <v>138.86000000000001</v>
      </c>
      <c r="Z60" s="1698">
        <v>140.9</v>
      </c>
      <c r="AA60" s="1699">
        <v>142.94</v>
      </c>
      <c r="AB60" s="1699">
        <v>144.97999999999999</v>
      </c>
      <c r="AC60" s="1699">
        <v>147.02000000000001</v>
      </c>
      <c r="AD60" s="1699">
        <v>149.06</v>
      </c>
      <c r="AE60" s="1699">
        <v>151.1</v>
      </c>
      <c r="AF60" s="1700">
        <v>124.43</v>
      </c>
      <c r="AG60" s="1700">
        <v>126.47</v>
      </c>
      <c r="AH60" s="1700">
        <v>128.51</v>
      </c>
      <c r="AI60" s="1700">
        <v>130.55000000000001</v>
      </c>
      <c r="AJ60" s="1701">
        <v>132.59</v>
      </c>
      <c r="AK60" s="1701">
        <v>134.62</v>
      </c>
      <c r="AL60" s="1701">
        <v>136.66</v>
      </c>
      <c r="AM60" s="1701">
        <v>138.69999999999999</v>
      </c>
      <c r="AN60" s="1701">
        <v>140.74</v>
      </c>
      <c r="AO60" s="1702">
        <v>142.78</v>
      </c>
      <c r="AP60" s="1700">
        <v>144.82</v>
      </c>
      <c r="AQ60" s="1700">
        <v>146.85</v>
      </c>
      <c r="AR60" s="1700">
        <v>148.88999999999999</v>
      </c>
      <c r="AS60" s="1700">
        <v>150.93</v>
      </c>
      <c r="AT60" s="1700">
        <v>152.97</v>
      </c>
      <c r="AU60" s="1700">
        <v>155.01</v>
      </c>
      <c r="AV60" s="1700">
        <v>157.05000000000001</v>
      </c>
      <c r="AW60" s="1700">
        <v>159.09</v>
      </c>
      <c r="AX60" s="1700">
        <v>161.12</v>
      </c>
      <c r="AY60" s="1700">
        <v>163.16</v>
      </c>
      <c r="AZ60" s="1700">
        <v>165.2</v>
      </c>
      <c r="BA60" s="1700">
        <v>167.24</v>
      </c>
      <c r="BB60" s="1700">
        <v>169.28</v>
      </c>
      <c r="BC60" s="1700">
        <v>171.32</v>
      </c>
      <c r="BD60" s="1700">
        <v>173.35</v>
      </c>
      <c r="BE60" s="1700">
        <v>175.39</v>
      </c>
      <c r="BF60" s="1700">
        <v>17.43</v>
      </c>
      <c r="BG60" s="1700">
        <v>179.47</v>
      </c>
      <c r="BH60" s="1700">
        <v>181.51</v>
      </c>
      <c r="BI60" s="1700">
        <v>183.55</v>
      </c>
      <c r="BJ60" s="1700">
        <v>185.58</v>
      </c>
      <c r="BK60" s="1700">
        <v>187.62</v>
      </c>
      <c r="BL60" s="1700">
        <v>189.66</v>
      </c>
      <c r="BM60" s="1700">
        <v>191.7</v>
      </c>
      <c r="BN60" s="1700"/>
      <c r="BO60" s="1703">
        <v>56</v>
      </c>
      <c r="BP60" s="1693">
        <v>66.12</v>
      </c>
      <c r="BQ60" s="1693">
        <v>67.56</v>
      </c>
      <c r="BR60" s="1693">
        <v>69</v>
      </c>
      <c r="BS60" s="1693">
        <v>70.44</v>
      </c>
      <c r="BT60" s="1693">
        <v>72.88</v>
      </c>
      <c r="BU60" s="1694">
        <v>73.319999999999993</v>
      </c>
      <c r="BV60" s="1694">
        <v>74.75</v>
      </c>
      <c r="BW60" s="1694">
        <v>76.19</v>
      </c>
      <c r="BX60" s="1695">
        <v>77.63</v>
      </c>
      <c r="BY60" s="1696">
        <v>79.069999999999993</v>
      </c>
      <c r="BZ60" s="1696">
        <v>80.510000000000005</v>
      </c>
      <c r="CA60" s="1695">
        <v>81.95</v>
      </c>
      <c r="CB60" s="1695">
        <v>83.39</v>
      </c>
      <c r="CC60" s="1704">
        <v>84.83</v>
      </c>
      <c r="CD60" s="1697">
        <v>86.27</v>
      </c>
      <c r="CE60" s="1698">
        <v>87.71</v>
      </c>
      <c r="CF60" s="1699">
        <v>89.15</v>
      </c>
      <c r="CG60" s="1699">
        <v>90.59</v>
      </c>
      <c r="CH60" s="1699">
        <v>92.03</v>
      </c>
      <c r="CI60" s="1699">
        <v>93.46</v>
      </c>
      <c r="CJ60" s="1699">
        <v>94.9</v>
      </c>
      <c r="CK60" s="1700">
        <v>81.98</v>
      </c>
      <c r="CL60" s="1700">
        <v>83.41</v>
      </c>
      <c r="CM60" s="1700">
        <v>84.85</v>
      </c>
      <c r="CN60" s="1700">
        <v>86.29</v>
      </c>
      <c r="CO60" s="1705">
        <v>87.73</v>
      </c>
      <c r="CP60" s="1706">
        <v>89.17</v>
      </c>
      <c r="CQ60" s="1701">
        <v>90.61</v>
      </c>
      <c r="CR60" s="1701">
        <v>92.05</v>
      </c>
      <c r="CS60" s="1707">
        <v>93.49</v>
      </c>
      <c r="CT60" s="1700">
        <v>94.93</v>
      </c>
      <c r="CU60" s="1700">
        <v>96.37</v>
      </c>
      <c r="CV60" s="1700">
        <v>97.81</v>
      </c>
      <c r="CW60" s="1700">
        <v>99.25</v>
      </c>
      <c r="CX60" s="1700">
        <v>100.68</v>
      </c>
      <c r="CY60" s="1700">
        <v>102.12</v>
      </c>
      <c r="CZ60" s="1700">
        <v>103.56</v>
      </c>
      <c r="DA60" s="1700">
        <v>105</v>
      </c>
      <c r="DB60" s="1700">
        <v>106.44</v>
      </c>
      <c r="DC60" s="1700">
        <v>107.88</v>
      </c>
      <c r="DD60" s="1700">
        <v>109.32</v>
      </c>
      <c r="DE60" s="1700">
        <v>110.76</v>
      </c>
      <c r="DF60" s="1700">
        <v>112.2</v>
      </c>
      <c r="DG60" s="1700">
        <v>113.64</v>
      </c>
      <c r="DH60" s="1700">
        <v>115.08</v>
      </c>
      <c r="DI60" s="1700">
        <v>116.52</v>
      </c>
      <c r="DJ60" s="1700">
        <v>117.96</v>
      </c>
      <c r="DK60" s="1700">
        <v>119.39</v>
      </c>
      <c r="DL60" s="1700">
        <v>120.83</v>
      </c>
      <c r="DM60" s="1700">
        <v>122.27</v>
      </c>
      <c r="DN60" s="1700">
        <v>123.71</v>
      </c>
      <c r="DO60" s="1700">
        <v>125.15</v>
      </c>
      <c r="DP60" s="1700">
        <v>126.59</v>
      </c>
      <c r="DQ60" s="1700">
        <v>128.03</v>
      </c>
      <c r="DR60" s="1700">
        <v>129.47</v>
      </c>
      <c r="DS60" s="1700"/>
      <c r="DT60" s="1700"/>
      <c r="DU60" s="1700"/>
      <c r="DV60" s="1700"/>
      <c r="DW60" s="1700"/>
      <c r="DX60" s="1700"/>
    </row>
    <row r="61" spans="1:128">
      <c r="A61" s="1622"/>
      <c r="B61" s="1691">
        <f t="shared" si="4"/>
        <v>57</v>
      </c>
      <c r="C61" s="1668" t="str">
        <f t="shared" si="1"/>
        <v>153.78</v>
      </c>
      <c r="D61" s="1672">
        <f t="shared" si="2"/>
        <v>215.29</v>
      </c>
      <c r="E61" s="1670"/>
      <c r="F61" s="1671" t="str">
        <f t="shared" si="3"/>
        <v>96.58</v>
      </c>
      <c r="G61" s="1672">
        <f t="shared" si="0"/>
        <v>135.21</v>
      </c>
      <c r="H61" s="1670"/>
      <c r="I61" s="1670"/>
      <c r="J61" s="1708">
        <v>57</v>
      </c>
      <c r="K61" s="1693">
        <v>112.29</v>
      </c>
      <c r="L61" s="1693">
        <v>114.36</v>
      </c>
      <c r="M61" s="1693">
        <v>116.44</v>
      </c>
      <c r="N61" s="1693">
        <v>118.51</v>
      </c>
      <c r="O61" s="1693">
        <v>120.59</v>
      </c>
      <c r="P61" s="1694">
        <v>122.66</v>
      </c>
      <c r="Q61" s="1694">
        <v>124.73</v>
      </c>
      <c r="R61" s="1694">
        <v>126.81</v>
      </c>
      <c r="S61" s="1695">
        <v>128.88</v>
      </c>
      <c r="T61" s="1696">
        <v>130.96</v>
      </c>
      <c r="U61" s="1696">
        <v>133.03</v>
      </c>
      <c r="V61" s="1695">
        <v>135.11000000000001</v>
      </c>
      <c r="W61" s="1695">
        <v>137.18</v>
      </c>
      <c r="X61" s="1695">
        <v>139.26</v>
      </c>
      <c r="Y61" s="1697">
        <v>141.33000000000001</v>
      </c>
      <c r="Z61" s="1698">
        <v>143.41</v>
      </c>
      <c r="AA61" s="1699">
        <v>145.47999999999999</v>
      </c>
      <c r="AB61" s="1699">
        <v>147.56</v>
      </c>
      <c r="AC61" s="1699">
        <v>149.63</v>
      </c>
      <c r="AD61" s="1699">
        <v>151.71</v>
      </c>
      <c r="AE61" s="1699">
        <v>153.78</v>
      </c>
      <c r="AF61" s="1700">
        <v>126.65</v>
      </c>
      <c r="AG61" s="1700">
        <v>128.72</v>
      </c>
      <c r="AH61" s="1700">
        <v>130.80000000000001</v>
      </c>
      <c r="AI61" s="1700">
        <v>132.87</v>
      </c>
      <c r="AJ61" s="1701">
        <v>134.94999999999999</v>
      </c>
      <c r="AK61" s="1701">
        <v>137.02000000000001</v>
      </c>
      <c r="AL61" s="1701">
        <v>139.1</v>
      </c>
      <c r="AM61" s="1701">
        <v>141.16999999999999</v>
      </c>
      <c r="AN61" s="1701">
        <v>143.25</v>
      </c>
      <c r="AO61" s="1702">
        <v>145.32</v>
      </c>
      <c r="AP61" s="1700">
        <v>147.4</v>
      </c>
      <c r="AQ61" s="1700">
        <v>149.47</v>
      </c>
      <c r="AR61" s="1683">
        <v>151.55000000000001</v>
      </c>
      <c r="AS61" s="1700">
        <v>153.62</v>
      </c>
      <c r="AT61" s="1700">
        <v>155.69</v>
      </c>
      <c r="AU61" s="1700">
        <v>157.77000000000001</v>
      </c>
      <c r="AV61" s="1700">
        <v>159.84</v>
      </c>
      <c r="AW61" s="1700">
        <v>161.91999999999999</v>
      </c>
      <c r="AX61" s="1700">
        <v>163.99</v>
      </c>
      <c r="AY61" s="1700">
        <v>166.07</v>
      </c>
      <c r="AZ61" s="1700">
        <v>168.14</v>
      </c>
      <c r="BA61" s="1700">
        <v>170.22</v>
      </c>
      <c r="BB61" s="1683">
        <v>172.29</v>
      </c>
      <c r="BC61" s="1700">
        <v>174.37</v>
      </c>
      <c r="BD61" s="1683">
        <v>176.44</v>
      </c>
      <c r="BE61" s="1700">
        <v>178.52</v>
      </c>
      <c r="BF61" s="1700">
        <v>180.59</v>
      </c>
      <c r="BG61" s="1700">
        <v>182.67</v>
      </c>
      <c r="BH61" s="1700">
        <v>184.74</v>
      </c>
      <c r="BI61" s="1700">
        <v>186.82</v>
      </c>
      <c r="BJ61" s="1700">
        <v>188.89</v>
      </c>
      <c r="BK61" s="1700">
        <v>190.97</v>
      </c>
      <c r="BL61" s="1700">
        <v>193.04</v>
      </c>
      <c r="BM61" s="1700">
        <v>195.12</v>
      </c>
      <c r="BN61" s="1700"/>
      <c r="BO61" s="1703">
        <v>57</v>
      </c>
      <c r="BP61" s="1693">
        <v>67.290000000000006</v>
      </c>
      <c r="BQ61" s="1693">
        <v>68.75</v>
      </c>
      <c r="BR61" s="1693">
        <v>70.22</v>
      </c>
      <c r="BS61" s="1693">
        <v>71.680000000000007</v>
      </c>
      <c r="BT61" s="1693">
        <v>73.150000000000006</v>
      </c>
      <c r="BU61" s="1694">
        <v>74.61</v>
      </c>
      <c r="BV61" s="1694">
        <v>76.08</v>
      </c>
      <c r="BW61" s="1694">
        <v>77.540000000000006</v>
      </c>
      <c r="BX61" s="1695">
        <v>79.010000000000005</v>
      </c>
      <c r="BY61" s="1696">
        <v>80.47</v>
      </c>
      <c r="BZ61" s="1696">
        <v>81.94</v>
      </c>
      <c r="CA61" s="1695">
        <v>83.4</v>
      </c>
      <c r="CB61" s="1695">
        <v>84.87</v>
      </c>
      <c r="CC61" s="1704">
        <v>86.33</v>
      </c>
      <c r="CD61" s="1697">
        <v>87.8</v>
      </c>
      <c r="CE61" s="1698">
        <v>89.26</v>
      </c>
      <c r="CF61" s="1699">
        <v>90.73</v>
      </c>
      <c r="CG61" s="1699">
        <v>92.19</v>
      </c>
      <c r="CH61" s="1699">
        <v>93.65</v>
      </c>
      <c r="CI61" s="1699">
        <v>95.12</v>
      </c>
      <c r="CJ61" s="1699">
        <v>96.58</v>
      </c>
      <c r="CK61" s="1700">
        <v>83.43</v>
      </c>
      <c r="CL61" s="1700">
        <v>84.9</v>
      </c>
      <c r="CM61" s="1700">
        <v>86.36</v>
      </c>
      <c r="CN61" s="1700">
        <v>87.83</v>
      </c>
      <c r="CO61" s="1705">
        <v>89.29</v>
      </c>
      <c r="CP61" s="1706">
        <v>90.75</v>
      </c>
      <c r="CQ61" s="1701">
        <v>92.22</v>
      </c>
      <c r="CR61" s="1701">
        <v>93.68</v>
      </c>
      <c r="CS61" s="1707">
        <v>95.15</v>
      </c>
      <c r="CT61" s="1700">
        <v>96.61</v>
      </c>
      <c r="CU61" s="1700">
        <v>98.08</v>
      </c>
      <c r="CV61" s="1700">
        <v>99.54</v>
      </c>
      <c r="CW61" s="1700">
        <v>101.01</v>
      </c>
      <c r="CX61" s="1700">
        <v>102.47</v>
      </c>
      <c r="CY61" s="1700">
        <v>103.94</v>
      </c>
      <c r="CZ61" s="1700">
        <v>105.4</v>
      </c>
      <c r="DA61" s="1700">
        <v>106.87</v>
      </c>
      <c r="DB61" s="1700">
        <v>108.33</v>
      </c>
      <c r="DC61" s="1700">
        <v>109.8</v>
      </c>
      <c r="DD61" s="1700">
        <v>111.26</v>
      </c>
      <c r="DE61" s="1700">
        <v>112.73</v>
      </c>
      <c r="DF61" s="1700">
        <v>114.19</v>
      </c>
      <c r="DG61" s="1700">
        <v>115.66</v>
      </c>
      <c r="DH61" s="1700">
        <v>117.12</v>
      </c>
      <c r="DI61" s="1700">
        <v>118.59</v>
      </c>
      <c r="DJ61" s="1700">
        <v>120.05</v>
      </c>
      <c r="DK61" s="1700">
        <v>121.52</v>
      </c>
      <c r="DL61" s="1700">
        <v>122.98</v>
      </c>
      <c r="DM61" s="1700">
        <v>124.45</v>
      </c>
      <c r="DN61" s="1700">
        <v>125.91</v>
      </c>
      <c r="DO61" s="1700">
        <v>127.38</v>
      </c>
      <c r="DP61" s="1700">
        <v>128.84</v>
      </c>
      <c r="DQ61" s="1700">
        <v>130.31</v>
      </c>
      <c r="DR61" s="1700">
        <v>131.77000000000001</v>
      </c>
      <c r="DS61" s="1700"/>
      <c r="DT61" s="1700"/>
      <c r="DU61" s="1700"/>
      <c r="DV61" s="1700"/>
      <c r="DW61" s="1700"/>
      <c r="DX61" s="1700"/>
    </row>
    <row r="62" spans="1:128">
      <c r="A62" s="1622"/>
      <c r="B62" s="1691">
        <f t="shared" si="4"/>
        <v>58</v>
      </c>
      <c r="C62" s="1668" t="str">
        <f t="shared" si="1"/>
        <v>156.49</v>
      </c>
      <c r="D62" s="1672">
        <f t="shared" si="2"/>
        <v>219.09</v>
      </c>
      <c r="E62" s="1670"/>
      <c r="F62" s="1671" t="str">
        <f t="shared" si="3"/>
        <v>98.27</v>
      </c>
      <c r="G62" s="1672">
        <f t="shared" si="0"/>
        <v>137.58000000000001</v>
      </c>
      <c r="H62" s="1670"/>
      <c r="I62" s="1670"/>
      <c r="J62" s="1708">
        <v>58</v>
      </c>
      <c r="K62" s="1693">
        <v>114.26</v>
      </c>
      <c r="L62" s="1693">
        <v>116.37</v>
      </c>
      <c r="M62" s="1693">
        <v>118.48</v>
      </c>
      <c r="N62" s="1693">
        <v>120.59</v>
      </c>
      <c r="O62" s="1693">
        <v>122.74</v>
      </c>
      <c r="P62" s="1694">
        <v>124.82</v>
      </c>
      <c r="Q62" s="1694">
        <v>126.93</v>
      </c>
      <c r="R62" s="1694">
        <v>129.04</v>
      </c>
      <c r="S62" s="1695">
        <v>131.15</v>
      </c>
      <c r="T62" s="1696">
        <v>133.26</v>
      </c>
      <c r="U62" s="1696">
        <v>135.37</v>
      </c>
      <c r="V62" s="1695">
        <v>137.47999999999999</v>
      </c>
      <c r="W62" s="1695">
        <v>139.6</v>
      </c>
      <c r="X62" s="1695">
        <v>141.71</v>
      </c>
      <c r="Y62" s="1697">
        <v>143.82</v>
      </c>
      <c r="Z62" s="1698">
        <v>145.93</v>
      </c>
      <c r="AA62" s="1699">
        <v>148.04</v>
      </c>
      <c r="AB62" s="1699">
        <v>150.15</v>
      </c>
      <c r="AC62" s="1699">
        <v>152.26</v>
      </c>
      <c r="AD62" s="1699">
        <v>154.37</v>
      </c>
      <c r="AE62" s="1699">
        <v>156.49</v>
      </c>
      <c r="AF62" s="1683">
        <v>128.87</v>
      </c>
      <c r="AG62" s="1683">
        <v>130.97999999999999</v>
      </c>
      <c r="AH62" s="1683">
        <v>133.1</v>
      </c>
      <c r="AI62" s="1683">
        <v>135.21</v>
      </c>
      <c r="AJ62" s="1701">
        <v>137.32</v>
      </c>
      <c r="AK62" s="1701">
        <v>139.43</v>
      </c>
      <c r="AL62" s="1701">
        <v>141.54</v>
      </c>
      <c r="AM62" s="1701">
        <v>143.65</v>
      </c>
      <c r="AN62" s="1701">
        <v>145.76</v>
      </c>
      <c r="AO62" s="1702">
        <v>147.87</v>
      </c>
      <c r="AP62" s="1700">
        <v>149.97999999999999</v>
      </c>
      <c r="AQ62" s="1700">
        <v>152.1</v>
      </c>
      <c r="AR62" s="1700">
        <v>154.21</v>
      </c>
      <c r="AS62" s="1700">
        <v>156.32</v>
      </c>
      <c r="AT62" s="1683">
        <v>158.43</v>
      </c>
      <c r="AU62" s="1700">
        <v>160.54</v>
      </c>
      <c r="AV62" s="1683">
        <v>162.65</v>
      </c>
      <c r="AW62" s="1683">
        <v>164.76</v>
      </c>
      <c r="AX62" s="1683">
        <v>166.87</v>
      </c>
      <c r="AY62" s="1683">
        <v>168.99</v>
      </c>
      <c r="AZ62" s="1683">
        <v>171.1</v>
      </c>
      <c r="BA62" s="1683">
        <v>173.21</v>
      </c>
      <c r="BB62" s="1700">
        <v>175.32</v>
      </c>
      <c r="BC62" s="1683">
        <v>177.43</v>
      </c>
      <c r="BD62" s="1700">
        <v>179.54</v>
      </c>
      <c r="BE62" s="1683">
        <v>181.65</v>
      </c>
      <c r="BF62" s="1683">
        <v>183.76</v>
      </c>
      <c r="BG62" s="1683">
        <v>185.88</v>
      </c>
      <c r="BH62" s="1683">
        <v>187.99</v>
      </c>
      <c r="BI62" s="1683">
        <v>190.1</v>
      </c>
      <c r="BJ62" s="1683">
        <v>192.21</v>
      </c>
      <c r="BK62" s="1683">
        <v>194.32</v>
      </c>
      <c r="BL62" s="1683">
        <v>196.43</v>
      </c>
      <c r="BM62" s="1683">
        <v>198.54</v>
      </c>
      <c r="BN62" s="1683"/>
      <c r="BO62" s="1703">
        <v>58</v>
      </c>
      <c r="BP62" s="1693">
        <v>68.459999999999994</v>
      </c>
      <c r="BQ62" s="1693">
        <v>69.95</v>
      </c>
      <c r="BR62" s="1693">
        <v>71.44</v>
      </c>
      <c r="BS62" s="1693">
        <v>72.930000000000007</v>
      </c>
      <c r="BT62" s="1693">
        <v>74.42</v>
      </c>
      <c r="BU62" s="1694">
        <v>75.91</v>
      </c>
      <c r="BV62" s="1694">
        <v>77.400000000000006</v>
      </c>
      <c r="BW62" s="1694">
        <v>78.89</v>
      </c>
      <c r="BX62" s="1695">
        <v>80.38</v>
      </c>
      <c r="BY62" s="1696">
        <v>81.87</v>
      </c>
      <c r="BZ62" s="1696">
        <v>83.36</v>
      </c>
      <c r="CA62" s="1695">
        <v>84.85</v>
      </c>
      <c r="CB62" s="1695">
        <v>86.34</v>
      </c>
      <c r="CC62" s="1704">
        <v>87.84</v>
      </c>
      <c r="CD62" s="1697">
        <v>89.33</v>
      </c>
      <c r="CE62" s="1698">
        <v>90.82</v>
      </c>
      <c r="CF62" s="1699">
        <v>92.31</v>
      </c>
      <c r="CG62" s="1699">
        <v>93.8</v>
      </c>
      <c r="CH62" s="1699">
        <v>95.29</v>
      </c>
      <c r="CI62" s="1699">
        <v>96.78</v>
      </c>
      <c r="CJ62" s="1699">
        <v>98.27</v>
      </c>
      <c r="CK62" s="1700">
        <v>84.89</v>
      </c>
      <c r="CL62" s="1700">
        <v>86.38</v>
      </c>
      <c r="CM62" s="1700">
        <v>87.87</v>
      </c>
      <c r="CN62" s="1700">
        <v>89.36</v>
      </c>
      <c r="CO62" s="1705">
        <v>90.85</v>
      </c>
      <c r="CP62" s="1706">
        <v>92.34</v>
      </c>
      <c r="CQ62" s="1701">
        <v>93.83</v>
      </c>
      <c r="CR62" s="1701">
        <v>95.32</v>
      </c>
      <c r="CS62" s="1707">
        <v>96.81</v>
      </c>
      <c r="CT62" s="1700">
        <v>98.3</v>
      </c>
      <c r="CU62" s="1700">
        <v>99.79</v>
      </c>
      <c r="CV62" s="1700">
        <v>101.28</v>
      </c>
      <c r="CW62" s="1700">
        <v>102.78</v>
      </c>
      <c r="CX62" s="1700">
        <v>104.27</v>
      </c>
      <c r="CY62" s="1700">
        <v>105.76</v>
      </c>
      <c r="CZ62" s="1700">
        <v>107.25</v>
      </c>
      <c r="DA62" s="1700">
        <v>108.74</v>
      </c>
      <c r="DB62" s="1700">
        <v>110.23</v>
      </c>
      <c r="DC62" s="1700">
        <v>111.72</v>
      </c>
      <c r="DD62" s="1700">
        <v>113.21</v>
      </c>
      <c r="DE62" s="1700">
        <v>114.7</v>
      </c>
      <c r="DF62" s="1700">
        <v>116.19</v>
      </c>
      <c r="DG62" s="1700">
        <v>117.68</v>
      </c>
      <c r="DH62" s="1700">
        <v>119.17</v>
      </c>
      <c r="DI62" s="1700">
        <v>120.66</v>
      </c>
      <c r="DJ62" s="1700">
        <v>122.15</v>
      </c>
      <c r="DK62" s="1700">
        <v>123.64</v>
      </c>
      <c r="DL62" s="1700">
        <v>125.13</v>
      </c>
      <c r="DM62" s="1700">
        <v>126.62</v>
      </c>
      <c r="DN62" s="1700">
        <v>128.12</v>
      </c>
      <c r="DO62" s="1700">
        <v>129.61000000000001</v>
      </c>
      <c r="DP62" s="1700">
        <v>131.1</v>
      </c>
      <c r="DQ62" s="1700">
        <v>132.59</v>
      </c>
      <c r="DR62" s="1700">
        <v>134.08000000000001</v>
      </c>
      <c r="DS62" s="1700"/>
      <c r="DT62" s="1700"/>
      <c r="DU62" s="1700"/>
      <c r="DV62" s="1700"/>
      <c r="DW62" s="1700"/>
      <c r="DX62" s="1700"/>
    </row>
    <row r="63" spans="1:128">
      <c r="A63" s="1622"/>
      <c r="B63" s="1691">
        <f t="shared" si="4"/>
        <v>59</v>
      </c>
      <c r="C63" s="1668" t="str">
        <f t="shared" si="1"/>
        <v>159.14</v>
      </c>
      <c r="D63" s="1672">
        <f t="shared" si="2"/>
        <v>222.8</v>
      </c>
      <c r="E63" s="1670"/>
      <c r="F63" s="1671" t="str">
        <f t="shared" si="3"/>
        <v>99.96</v>
      </c>
      <c r="G63" s="1672">
        <f t="shared" si="0"/>
        <v>139.94</v>
      </c>
      <c r="H63" s="1670"/>
      <c r="I63" s="1670"/>
      <c r="J63" s="1708">
        <v>59</v>
      </c>
      <c r="K63" s="1693">
        <v>116.19</v>
      </c>
      <c r="L63" s="1693">
        <v>118.34</v>
      </c>
      <c r="M63" s="1693">
        <v>120.49</v>
      </c>
      <c r="N63" s="1693">
        <v>122.63</v>
      </c>
      <c r="O63" s="1693">
        <v>124.78</v>
      </c>
      <c r="P63" s="1694">
        <v>126.93</v>
      </c>
      <c r="Q63" s="1694">
        <v>129.08000000000001</v>
      </c>
      <c r="R63" s="1694">
        <v>131.22</v>
      </c>
      <c r="S63" s="1695">
        <v>133.37</v>
      </c>
      <c r="T63" s="1696">
        <v>135.52000000000001</v>
      </c>
      <c r="U63" s="1696">
        <v>137.66999999999999</v>
      </c>
      <c r="V63" s="1695">
        <v>139.82</v>
      </c>
      <c r="W63" s="1695">
        <v>141.96</v>
      </c>
      <c r="X63" s="1695">
        <v>144.11000000000001</v>
      </c>
      <c r="Y63" s="1697">
        <v>146.26</v>
      </c>
      <c r="Z63" s="1698">
        <v>148.41</v>
      </c>
      <c r="AA63" s="1699">
        <v>150.55000000000001</v>
      </c>
      <c r="AB63" s="1699">
        <v>152.69999999999999</v>
      </c>
      <c r="AC63" s="1699">
        <v>154.85</v>
      </c>
      <c r="AD63" s="1699">
        <v>157</v>
      </c>
      <c r="AE63" s="1699">
        <v>159.13999999999999</v>
      </c>
      <c r="AF63" s="1700">
        <v>131.07</v>
      </c>
      <c r="AG63" s="1700">
        <v>133.22</v>
      </c>
      <c r="AH63" s="1700">
        <v>135.37</v>
      </c>
      <c r="AI63" s="1700">
        <v>137.51</v>
      </c>
      <c r="AJ63" s="1701">
        <v>139.66</v>
      </c>
      <c r="AK63" s="1701">
        <v>141.81</v>
      </c>
      <c r="AL63" s="1701">
        <v>143.96</v>
      </c>
      <c r="AM63" s="1701">
        <v>146.1</v>
      </c>
      <c r="AN63" s="1701">
        <v>148.25</v>
      </c>
      <c r="AO63" s="1702">
        <v>150.4</v>
      </c>
      <c r="AP63" s="1700">
        <v>152.55000000000001</v>
      </c>
      <c r="AQ63" s="1700">
        <v>154.69999999999999</v>
      </c>
      <c r="AR63" s="1683">
        <v>156.84</v>
      </c>
      <c r="AS63" s="1700">
        <v>158.99</v>
      </c>
      <c r="AT63" s="1700">
        <v>161.13999999999999</v>
      </c>
      <c r="AU63" s="1700">
        <v>163.29</v>
      </c>
      <c r="AV63" s="1700">
        <v>165.43</v>
      </c>
      <c r="AW63" s="1700">
        <v>167.58</v>
      </c>
      <c r="AX63" s="1700">
        <v>169.73</v>
      </c>
      <c r="AY63" s="1700">
        <v>171.88</v>
      </c>
      <c r="AZ63" s="1700">
        <v>174.02</v>
      </c>
      <c r="BA63" s="1700">
        <v>176.17</v>
      </c>
      <c r="BB63" s="1700">
        <v>178.32</v>
      </c>
      <c r="BC63" s="1700">
        <v>180.47</v>
      </c>
      <c r="BD63" s="1700">
        <v>182.61</v>
      </c>
      <c r="BE63" s="1700">
        <v>184.76</v>
      </c>
      <c r="BF63" s="1700">
        <v>186.91</v>
      </c>
      <c r="BG63" s="1700">
        <v>189.06</v>
      </c>
      <c r="BH63" s="1700">
        <v>191.2</v>
      </c>
      <c r="BI63" s="1700">
        <v>193.35</v>
      </c>
      <c r="BJ63" s="1700">
        <v>195.5</v>
      </c>
      <c r="BK63" s="1700">
        <v>197.65</v>
      </c>
      <c r="BL63" s="1700">
        <v>199.79</v>
      </c>
      <c r="BM63" s="1700">
        <v>201.94</v>
      </c>
      <c r="BN63" s="1700"/>
      <c r="BO63" s="1703">
        <v>59</v>
      </c>
      <c r="BP63" s="1693">
        <v>69.63</v>
      </c>
      <c r="BQ63" s="1693">
        <v>71.150000000000006</v>
      </c>
      <c r="BR63" s="1693">
        <v>72.66</v>
      </c>
      <c r="BS63" s="1693">
        <v>94.18</v>
      </c>
      <c r="BT63" s="1693">
        <v>75.7</v>
      </c>
      <c r="BU63" s="1694">
        <v>77.209999999999994</v>
      </c>
      <c r="BV63" s="1694">
        <v>78.73</v>
      </c>
      <c r="BW63" s="1694">
        <v>80.25</v>
      </c>
      <c r="BX63" s="1695">
        <v>81.760000000000005</v>
      </c>
      <c r="BY63" s="1696">
        <v>83.28</v>
      </c>
      <c r="BZ63" s="1696">
        <v>84.79</v>
      </c>
      <c r="CA63" s="1695">
        <v>86.31</v>
      </c>
      <c r="CB63" s="1695">
        <v>87.83</v>
      </c>
      <c r="CC63" s="1704">
        <v>89.34</v>
      </c>
      <c r="CD63" s="1697">
        <v>90.86</v>
      </c>
      <c r="CE63" s="1698">
        <v>92.38</v>
      </c>
      <c r="CF63" s="1699">
        <v>93.89</v>
      </c>
      <c r="CG63" s="1699">
        <v>95.41</v>
      </c>
      <c r="CH63" s="1699">
        <v>96.93</v>
      </c>
      <c r="CI63" s="1699">
        <v>98.44</v>
      </c>
      <c r="CJ63" s="1699">
        <v>99.96</v>
      </c>
      <c r="CK63" s="1700">
        <v>86.35</v>
      </c>
      <c r="CL63" s="1700">
        <v>87.86</v>
      </c>
      <c r="CM63" s="1700">
        <v>89.38</v>
      </c>
      <c r="CN63" s="1700">
        <v>90.9</v>
      </c>
      <c r="CO63" s="1705">
        <v>92.41</v>
      </c>
      <c r="CP63" s="1706">
        <v>93.93</v>
      </c>
      <c r="CQ63" s="1701">
        <v>95.45</v>
      </c>
      <c r="CR63" s="1701">
        <v>96.96</v>
      </c>
      <c r="CS63" s="1707">
        <v>98.48</v>
      </c>
      <c r="CT63" s="1700">
        <v>99.99</v>
      </c>
      <c r="CU63" s="1700">
        <v>101.51</v>
      </c>
      <c r="CV63" s="1700">
        <v>103.03</v>
      </c>
      <c r="CW63" s="1700">
        <v>104.54</v>
      </c>
      <c r="CX63" s="1700">
        <v>106.06</v>
      </c>
      <c r="CY63" s="1700">
        <v>107.58</v>
      </c>
      <c r="CZ63" s="1700">
        <v>109.09</v>
      </c>
      <c r="DA63" s="1700">
        <v>110.61</v>
      </c>
      <c r="DB63" s="1700">
        <v>112.13</v>
      </c>
      <c r="DC63" s="1700">
        <v>113.64</v>
      </c>
      <c r="DD63" s="1700">
        <v>115.16</v>
      </c>
      <c r="DE63" s="1700">
        <v>116.67</v>
      </c>
      <c r="DF63" s="1700">
        <v>118.19</v>
      </c>
      <c r="DG63" s="1700">
        <v>119.71</v>
      </c>
      <c r="DH63" s="1700">
        <v>121.22</v>
      </c>
      <c r="DI63" s="1700">
        <v>122.74</v>
      </c>
      <c r="DJ63" s="1700">
        <v>124.26</v>
      </c>
      <c r="DK63" s="1700">
        <v>125.77</v>
      </c>
      <c r="DL63" s="1700">
        <v>127.29</v>
      </c>
      <c r="DM63" s="1700">
        <v>128.80000000000001</v>
      </c>
      <c r="DN63" s="1700">
        <v>130.32</v>
      </c>
      <c r="DO63" s="1700">
        <v>131.84</v>
      </c>
      <c r="DP63" s="1700">
        <v>133.35</v>
      </c>
      <c r="DQ63" s="1700">
        <v>134.87</v>
      </c>
      <c r="DR63" s="1700">
        <v>136.38999999999999</v>
      </c>
      <c r="DS63" s="1700"/>
      <c r="DT63" s="1700"/>
      <c r="DU63" s="1700"/>
      <c r="DV63" s="1700"/>
      <c r="DW63" s="1700"/>
      <c r="DX63" s="1700"/>
    </row>
    <row r="64" spans="1:128">
      <c r="A64" s="1622"/>
      <c r="B64" s="1691">
        <f t="shared" si="4"/>
        <v>60</v>
      </c>
      <c r="C64" s="1668" t="str">
        <f t="shared" si="1"/>
        <v>161.82</v>
      </c>
      <c r="D64" s="1672">
        <f t="shared" si="2"/>
        <v>226.55</v>
      </c>
      <c r="E64" s="1670"/>
      <c r="F64" s="1671" t="str">
        <f t="shared" si="3"/>
        <v>101.65</v>
      </c>
      <c r="G64" s="1672">
        <f t="shared" si="0"/>
        <v>142.31</v>
      </c>
      <c r="H64" s="1670"/>
      <c r="I64" s="1670"/>
      <c r="J64" s="1708">
        <v>60</v>
      </c>
      <c r="K64" s="1693">
        <v>118.14</v>
      </c>
      <c r="L64" s="1693">
        <v>120.32</v>
      </c>
      <c r="M64" s="1693">
        <v>122.5</v>
      </c>
      <c r="N64" s="1693">
        <v>124.69</v>
      </c>
      <c r="O64" s="1693">
        <v>126.87</v>
      </c>
      <c r="P64" s="1694">
        <v>129.06</v>
      </c>
      <c r="Q64" s="1694">
        <v>131.24</v>
      </c>
      <c r="R64" s="1694">
        <v>133.41999999999999</v>
      </c>
      <c r="S64" s="1695">
        <v>135.61000000000001</v>
      </c>
      <c r="T64" s="1696">
        <v>137.79</v>
      </c>
      <c r="U64" s="1696">
        <v>139.97999999999999</v>
      </c>
      <c r="V64" s="1695">
        <v>142.16</v>
      </c>
      <c r="W64" s="1695">
        <v>144.34</v>
      </c>
      <c r="X64" s="1695">
        <v>146.53</v>
      </c>
      <c r="Y64" s="1697">
        <v>148.71</v>
      </c>
      <c r="Z64" s="1698">
        <v>150.9</v>
      </c>
      <c r="AA64" s="1699">
        <v>153.08000000000001</v>
      </c>
      <c r="AB64" s="1699">
        <v>155.26</v>
      </c>
      <c r="AC64" s="1699">
        <v>157.44999999999999</v>
      </c>
      <c r="AD64" s="1699">
        <v>159.63</v>
      </c>
      <c r="AE64" s="1699">
        <v>161.82</v>
      </c>
      <c r="AF64" s="1700">
        <v>133.28</v>
      </c>
      <c r="AG64" s="1700">
        <v>135.46</v>
      </c>
      <c r="AH64" s="1700">
        <v>137.65</v>
      </c>
      <c r="AI64" s="1700">
        <v>139.83000000000001</v>
      </c>
      <c r="AJ64" s="1701">
        <v>142.01</v>
      </c>
      <c r="AK64" s="1701">
        <v>144.19999999999999</v>
      </c>
      <c r="AL64" s="1701">
        <v>146.38</v>
      </c>
      <c r="AM64" s="1701">
        <v>148.57</v>
      </c>
      <c r="AN64" s="1701">
        <v>150.75</v>
      </c>
      <c r="AO64" s="1702">
        <v>152.93</v>
      </c>
      <c r="AP64" s="1700">
        <v>155.12</v>
      </c>
      <c r="AQ64" s="1700">
        <v>157.30000000000001</v>
      </c>
      <c r="AR64" s="1700">
        <v>159.49</v>
      </c>
      <c r="AS64" s="1700">
        <v>161.66999999999999</v>
      </c>
      <c r="AT64" s="1700">
        <v>163.85</v>
      </c>
      <c r="AU64" s="1700">
        <v>166.04</v>
      </c>
      <c r="AV64" s="1700">
        <v>168.22</v>
      </c>
      <c r="AW64" s="1700">
        <v>170.41</v>
      </c>
      <c r="AX64" s="1700">
        <v>172.59</v>
      </c>
      <c r="AY64" s="1700">
        <v>174.77</v>
      </c>
      <c r="AZ64" s="1700">
        <v>176.96</v>
      </c>
      <c r="BA64" s="1700">
        <v>179.14</v>
      </c>
      <c r="BB64" s="1683">
        <v>181.33</v>
      </c>
      <c r="BC64" s="1700">
        <v>183.51</v>
      </c>
      <c r="BD64" s="1683">
        <v>185.69</v>
      </c>
      <c r="BE64" s="1700">
        <v>187.88</v>
      </c>
      <c r="BF64" s="1700">
        <v>190.06</v>
      </c>
      <c r="BG64" s="1700">
        <v>192.25</v>
      </c>
      <c r="BH64" s="1700">
        <v>194.43</v>
      </c>
      <c r="BI64" s="1700">
        <v>196.61</v>
      </c>
      <c r="BJ64" s="1700">
        <v>198.8</v>
      </c>
      <c r="BK64" s="1700">
        <v>200.98</v>
      </c>
      <c r="BL64" s="1700">
        <v>203.17</v>
      </c>
      <c r="BM64" s="1700">
        <v>205.35</v>
      </c>
      <c r="BN64" s="1700"/>
      <c r="BO64" s="1703">
        <v>60</v>
      </c>
      <c r="BP64" s="1693">
        <v>70.81</v>
      </c>
      <c r="BQ64" s="1693">
        <v>72.349999999999994</v>
      </c>
      <c r="BR64" s="1693">
        <v>73.89</v>
      </c>
      <c r="BS64" s="1693">
        <v>75.44</v>
      </c>
      <c r="BT64" s="1693">
        <v>76.98</v>
      </c>
      <c r="BU64" s="1694">
        <v>78.52</v>
      </c>
      <c r="BV64" s="1694">
        <v>80.06</v>
      </c>
      <c r="BW64" s="1694">
        <v>81.599999999999994</v>
      </c>
      <c r="BX64" s="1695">
        <v>83.15</v>
      </c>
      <c r="BY64" s="1696">
        <v>84.69</v>
      </c>
      <c r="BZ64" s="1696">
        <v>86.23</v>
      </c>
      <c r="CA64" s="1695">
        <v>87.77</v>
      </c>
      <c r="CB64" s="1695">
        <v>89.31</v>
      </c>
      <c r="CC64" s="1704">
        <v>90.86</v>
      </c>
      <c r="CD64" s="1697">
        <v>92.4</v>
      </c>
      <c r="CE64" s="1698">
        <v>93.94</v>
      </c>
      <c r="CF64" s="1699">
        <v>95.48</v>
      </c>
      <c r="CG64" s="1699">
        <v>97.02</v>
      </c>
      <c r="CH64" s="1699">
        <v>98.57</v>
      </c>
      <c r="CI64" s="1699">
        <v>100.11</v>
      </c>
      <c r="CJ64" s="1699">
        <v>101.65</v>
      </c>
      <c r="CK64" s="1700">
        <v>87.81</v>
      </c>
      <c r="CL64" s="1700">
        <v>89.35</v>
      </c>
      <c r="CM64" s="1700">
        <v>90.89</v>
      </c>
      <c r="CN64" s="1700">
        <v>92.44</v>
      </c>
      <c r="CO64" s="1705">
        <v>93.98</v>
      </c>
      <c r="CP64" s="1706">
        <v>95.52</v>
      </c>
      <c r="CQ64" s="1701">
        <v>97.06</v>
      </c>
      <c r="CR64" s="1701">
        <v>98.6</v>
      </c>
      <c r="CS64" s="1707">
        <v>100.15</v>
      </c>
      <c r="CT64" s="1700">
        <v>101.69</v>
      </c>
      <c r="CU64" s="1700">
        <v>103.23</v>
      </c>
      <c r="CV64" s="1700">
        <v>104.77</v>
      </c>
      <c r="CW64" s="1700">
        <v>106.31</v>
      </c>
      <c r="CX64" s="1700">
        <v>107.86</v>
      </c>
      <c r="CY64" s="1700">
        <v>109.4</v>
      </c>
      <c r="CZ64" s="1700">
        <v>110.94</v>
      </c>
      <c r="DA64" s="1700">
        <v>112.48</v>
      </c>
      <c r="DB64" s="1700">
        <v>114.02</v>
      </c>
      <c r="DC64" s="1700">
        <v>115.57</v>
      </c>
      <c r="DD64" s="1700">
        <v>117.11</v>
      </c>
      <c r="DE64" s="1700">
        <v>118.65</v>
      </c>
      <c r="DF64" s="1700">
        <v>120.19</v>
      </c>
      <c r="DG64" s="1700">
        <v>121.73</v>
      </c>
      <c r="DH64" s="1700">
        <v>123.28</v>
      </c>
      <c r="DI64" s="1700">
        <v>124.82</v>
      </c>
      <c r="DJ64" s="1700">
        <v>126.36</v>
      </c>
      <c r="DK64" s="1700">
        <v>127.9</v>
      </c>
      <c r="DL64" s="1700">
        <v>129.44</v>
      </c>
      <c r="DM64" s="1700">
        <v>130.99</v>
      </c>
      <c r="DN64" s="1700">
        <v>132.53</v>
      </c>
      <c r="DO64" s="1700">
        <v>134.07</v>
      </c>
      <c r="DP64" s="1700">
        <v>135.61000000000001</v>
      </c>
      <c r="DQ64" s="1700">
        <v>137.15</v>
      </c>
      <c r="DR64" s="1700">
        <v>138.69999999999999</v>
      </c>
      <c r="DS64" s="1700"/>
      <c r="DT64" s="1700"/>
      <c r="DU64" s="1700"/>
      <c r="DV64" s="1700"/>
      <c r="DW64" s="1700"/>
      <c r="DX64" s="1700"/>
    </row>
    <row r="65" spans="1:128">
      <c r="A65" s="1622"/>
      <c r="B65" s="1691">
        <f t="shared" si="4"/>
        <v>61</v>
      </c>
      <c r="C65" s="1668" t="str">
        <f t="shared" si="1"/>
        <v>164.5</v>
      </c>
      <c r="D65" s="1672">
        <f t="shared" si="2"/>
        <v>230.3</v>
      </c>
      <c r="E65" s="1670"/>
      <c r="F65" s="1671" t="str">
        <f t="shared" si="3"/>
        <v>103.33</v>
      </c>
      <c r="G65" s="1672">
        <f t="shared" si="0"/>
        <v>144.66</v>
      </c>
      <c r="H65" s="1670"/>
      <c r="I65" s="1670"/>
      <c r="J65" s="1708">
        <v>61</v>
      </c>
      <c r="K65" s="1693">
        <v>120.09</v>
      </c>
      <c r="L65" s="1693">
        <v>122.31</v>
      </c>
      <c r="M65" s="1693">
        <v>124.53</v>
      </c>
      <c r="N65" s="1693">
        <v>126.75</v>
      </c>
      <c r="O65" s="1693">
        <v>128.97999999999999</v>
      </c>
      <c r="P65" s="1694">
        <v>131.19999999999999</v>
      </c>
      <c r="Q65" s="1694">
        <v>133.41999999999999</v>
      </c>
      <c r="R65" s="1694">
        <v>135.63999999999999</v>
      </c>
      <c r="S65" s="1695">
        <v>137.86000000000001</v>
      </c>
      <c r="T65" s="1696">
        <v>140.08000000000001</v>
      </c>
      <c r="U65" s="1696">
        <v>142.30000000000001</v>
      </c>
      <c r="V65" s="1695">
        <v>144.52000000000001</v>
      </c>
      <c r="W65" s="1695">
        <v>146.74</v>
      </c>
      <c r="X65" s="1695">
        <v>148.96</v>
      </c>
      <c r="Y65" s="1697">
        <v>151.18</v>
      </c>
      <c r="Z65" s="1698">
        <v>153.4</v>
      </c>
      <c r="AA65" s="1699">
        <v>155.62</v>
      </c>
      <c r="AB65" s="1699">
        <v>157.84</v>
      </c>
      <c r="AC65" s="1699">
        <v>160.06</v>
      </c>
      <c r="AD65" s="1699">
        <v>162.28</v>
      </c>
      <c r="AE65" s="1699">
        <v>164.5</v>
      </c>
      <c r="AF65" s="1683">
        <v>135.49</v>
      </c>
      <c r="AG65" s="1683">
        <v>137.71</v>
      </c>
      <c r="AH65" s="1683">
        <v>139.93</v>
      </c>
      <c r="AI65" s="1683">
        <v>142.15</v>
      </c>
      <c r="AJ65" s="1701">
        <v>144.37</v>
      </c>
      <c r="AK65" s="1701">
        <v>146.6</v>
      </c>
      <c r="AL65" s="1701">
        <v>148.82</v>
      </c>
      <c r="AM65" s="1701">
        <v>151.04</v>
      </c>
      <c r="AN65" s="1701">
        <v>153.26</v>
      </c>
      <c r="AO65" s="1702">
        <v>155.47999999999999</v>
      </c>
      <c r="AP65" s="1700">
        <v>157.69999999999999</v>
      </c>
      <c r="AQ65" s="1700">
        <v>159.91999999999999</v>
      </c>
      <c r="AR65" s="1683">
        <v>162.13999999999999</v>
      </c>
      <c r="AS65" s="1700">
        <v>164.36</v>
      </c>
      <c r="AT65" s="1683">
        <v>166.58</v>
      </c>
      <c r="AU65" s="1700">
        <v>168.8</v>
      </c>
      <c r="AV65" s="1683">
        <v>171.02</v>
      </c>
      <c r="AW65" s="1683">
        <v>173.24</v>
      </c>
      <c r="AX65" s="1683">
        <v>175.46</v>
      </c>
      <c r="AY65" s="1683">
        <v>177.68</v>
      </c>
      <c r="AZ65" s="1683">
        <v>179.9</v>
      </c>
      <c r="BA65" s="1683">
        <v>182.12</v>
      </c>
      <c r="BB65" s="1700">
        <v>184.34</v>
      </c>
      <c r="BC65" s="1683">
        <v>186.56</v>
      </c>
      <c r="BD65" s="1700">
        <v>188.78</v>
      </c>
      <c r="BE65" s="1683">
        <v>191</v>
      </c>
      <c r="BF65" s="1683">
        <v>193.22</v>
      </c>
      <c r="BG65" s="1683">
        <v>195.44</v>
      </c>
      <c r="BH65" s="1683">
        <v>197.66</v>
      </c>
      <c r="BI65" s="1683">
        <v>199.88</v>
      </c>
      <c r="BJ65" s="1683">
        <v>202.11</v>
      </c>
      <c r="BK65" s="1683">
        <v>204.33</v>
      </c>
      <c r="BL65" s="1683">
        <v>206.55</v>
      </c>
      <c r="BM65" s="1683">
        <v>208.77</v>
      </c>
      <c r="BN65" s="1683"/>
      <c r="BO65" s="1703">
        <v>61</v>
      </c>
      <c r="BP65" s="1693">
        <v>71.97</v>
      </c>
      <c r="BQ65" s="1693">
        <v>73.540000000000006</v>
      </c>
      <c r="BR65" s="1693">
        <v>75.11</v>
      </c>
      <c r="BS65" s="1693">
        <v>76.680000000000007</v>
      </c>
      <c r="BT65" s="1693">
        <v>78.25</v>
      </c>
      <c r="BU65" s="1694">
        <v>79.81</v>
      </c>
      <c r="BV65" s="1694">
        <v>81.38</v>
      </c>
      <c r="BW65" s="1694">
        <v>82.95</v>
      </c>
      <c r="BX65" s="1695">
        <v>84.52</v>
      </c>
      <c r="BY65" s="1696">
        <v>86.08</v>
      </c>
      <c r="BZ65" s="1696">
        <v>87.65</v>
      </c>
      <c r="CA65" s="1695">
        <v>89.22</v>
      </c>
      <c r="CB65" s="1695">
        <v>90.79</v>
      </c>
      <c r="CC65" s="1704">
        <v>92.35</v>
      </c>
      <c r="CD65" s="1697">
        <v>93.92</v>
      </c>
      <c r="CE65" s="1698">
        <v>95.49</v>
      </c>
      <c r="CF65" s="1699">
        <v>97.06</v>
      </c>
      <c r="CG65" s="1699">
        <v>98.63</v>
      </c>
      <c r="CH65" s="1699">
        <v>100.19</v>
      </c>
      <c r="CI65" s="1699">
        <v>101.76</v>
      </c>
      <c r="CJ65" s="1699">
        <v>103.33</v>
      </c>
      <c r="CK65" s="1700">
        <v>89.26</v>
      </c>
      <c r="CL65" s="1700">
        <v>90.83</v>
      </c>
      <c r="CM65" s="1700">
        <v>92.4</v>
      </c>
      <c r="CN65" s="1700">
        <v>93.97</v>
      </c>
      <c r="CO65" s="1705">
        <v>95.53</v>
      </c>
      <c r="CP65" s="1706">
        <v>97.1</v>
      </c>
      <c r="CQ65" s="1701">
        <v>98.67</v>
      </c>
      <c r="CR65" s="1701">
        <v>100.24</v>
      </c>
      <c r="CS65" s="1707">
        <v>101.81</v>
      </c>
      <c r="CT65" s="1700">
        <v>103.37</v>
      </c>
      <c r="CU65" s="1700">
        <v>104.94</v>
      </c>
      <c r="CV65" s="1700">
        <v>106.51</v>
      </c>
      <c r="CW65" s="1700">
        <v>108.08</v>
      </c>
      <c r="CX65" s="1700">
        <v>109.64</v>
      </c>
      <c r="CY65" s="1700">
        <v>111.21</v>
      </c>
      <c r="CZ65" s="1700">
        <v>112.78</v>
      </c>
      <c r="DA65" s="1700">
        <v>114.35</v>
      </c>
      <c r="DB65" s="1700">
        <v>115.91</v>
      </c>
      <c r="DC65" s="1700">
        <v>117.48</v>
      </c>
      <c r="DD65" s="1700">
        <v>119.05</v>
      </c>
      <c r="DE65" s="1700">
        <v>120.62</v>
      </c>
      <c r="DF65" s="1700">
        <v>122.19</v>
      </c>
      <c r="DG65" s="1700">
        <v>123.75</v>
      </c>
      <c r="DH65" s="1700">
        <v>125.32</v>
      </c>
      <c r="DI65" s="1700">
        <v>129.88999999999999</v>
      </c>
      <c r="DJ65" s="1700">
        <v>128.46</v>
      </c>
      <c r="DK65" s="1700">
        <v>130.02000000000001</v>
      </c>
      <c r="DL65" s="1700">
        <v>131.59</v>
      </c>
      <c r="DM65" s="1700">
        <v>133.16</v>
      </c>
      <c r="DN65" s="1700">
        <v>134.72999999999999</v>
      </c>
      <c r="DO65" s="1700">
        <v>136.29</v>
      </c>
      <c r="DP65" s="1700">
        <v>137.86000000000001</v>
      </c>
      <c r="DQ65" s="1700">
        <v>139.43</v>
      </c>
      <c r="DR65" s="1700">
        <v>141</v>
      </c>
      <c r="DS65" s="1700"/>
      <c r="DT65" s="1700"/>
      <c r="DU65" s="1700"/>
      <c r="DV65" s="1700"/>
      <c r="DW65" s="1700"/>
      <c r="DX65" s="1700"/>
    </row>
    <row r="66" spans="1:128">
      <c r="A66" s="1622"/>
      <c r="B66" s="1691">
        <f t="shared" si="4"/>
        <v>62</v>
      </c>
      <c r="C66" s="1668" t="str">
        <f t="shared" si="1"/>
        <v>167.2</v>
      </c>
      <c r="D66" s="1672">
        <f t="shared" si="2"/>
        <v>234.08</v>
      </c>
      <c r="E66" s="1670"/>
      <c r="F66" s="1671" t="str">
        <f t="shared" si="3"/>
        <v>105.01</v>
      </c>
      <c r="G66" s="1672">
        <f t="shared" si="0"/>
        <v>147.01</v>
      </c>
      <c r="H66" s="1670"/>
      <c r="I66" s="1670"/>
      <c r="J66" s="1708">
        <v>62</v>
      </c>
      <c r="K66" s="1709">
        <v>122.07</v>
      </c>
      <c r="L66" s="1709">
        <v>124.32</v>
      </c>
      <c r="M66" s="1709">
        <v>126.58</v>
      </c>
      <c r="N66" s="1709">
        <v>128.84</v>
      </c>
      <c r="O66" s="1709">
        <v>131.09</v>
      </c>
      <c r="P66" s="1710">
        <v>133.35</v>
      </c>
      <c r="Q66" s="1694">
        <v>135.61000000000001</v>
      </c>
      <c r="R66" s="1694">
        <v>137.86000000000001</v>
      </c>
      <c r="S66" s="1695">
        <v>140.12</v>
      </c>
      <c r="T66" s="1696">
        <v>142.38</v>
      </c>
      <c r="U66" s="1696">
        <v>144.63</v>
      </c>
      <c r="V66" s="1695">
        <v>146.88999999999999</v>
      </c>
      <c r="W66" s="1695">
        <v>149.15</v>
      </c>
      <c r="X66" s="1695">
        <v>151.41</v>
      </c>
      <c r="Y66" s="1697">
        <v>153.66</v>
      </c>
      <c r="Z66" s="1698">
        <v>155.91999999999999</v>
      </c>
      <c r="AA66" s="1699">
        <v>158.18</v>
      </c>
      <c r="AB66" s="1699">
        <v>160.43</v>
      </c>
      <c r="AC66" s="1699">
        <v>162.69</v>
      </c>
      <c r="AD66" s="1699">
        <v>164.95</v>
      </c>
      <c r="AE66" s="1699">
        <v>167.2</v>
      </c>
      <c r="AF66" s="1700">
        <v>137.72</v>
      </c>
      <c r="AG66" s="1700">
        <v>139.97</v>
      </c>
      <c r="AH66" s="1700">
        <v>142.22999999999999</v>
      </c>
      <c r="AI66" s="1700">
        <v>144.49</v>
      </c>
      <c r="AJ66" s="1701">
        <v>146.74</v>
      </c>
      <c r="AK66" s="1701">
        <v>149</v>
      </c>
      <c r="AL66" s="1701">
        <v>151.26</v>
      </c>
      <c r="AM66" s="1701">
        <v>153.51</v>
      </c>
      <c r="AN66" s="1701">
        <v>155.77000000000001</v>
      </c>
      <c r="AO66" s="1702">
        <v>158.03</v>
      </c>
      <c r="AP66" s="1700">
        <v>160.29</v>
      </c>
      <c r="AQ66" s="1700">
        <v>162.54</v>
      </c>
      <c r="AR66" s="1700">
        <v>164.8</v>
      </c>
      <c r="AS66" s="1700">
        <v>167.06</v>
      </c>
      <c r="AT66" s="1700">
        <v>169.31</v>
      </c>
      <c r="AU66" s="1700">
        <v>171.57</v>
      </c>
      <c r="AV66" s="1700">
        <v>173.83</v>
      </c>
      <c r="AW66" s="1700">
        <v>176.08</v>
      </c>
      <c r="AX66" s="1700">
        <v>178.34</v>
      </c>
      <c r="AY66" s="1700">
        <v>180.6</v>
      </c>
      <c r="AZ66" s="1700">
        <v>182.85</v>
      </c>
      <c r="BA66" s="1700">
        <v>185.11</v>
      </c>
      <c r="BB66" s="1700">
        <v>187.37</v>
      </c>
      <c r="BC66" s="1700">
        <v>189.62</v>
      </c>
      <c r="BD66" s="1700">
        <v>191.88</v>
      </c>
      <c r="BE66" s="1700">
        <v>194.14</v>
      </c>
      <c r="BF66" s="1700">
        <v>196.39</v>
      </c>
      <c r="BG66" s="1700">
        <v>198.65</v>
      </c>
      <c r="BH66" s="1700">
        <v>200.91</v>
      </c>
      <c r="BI66" s="1700">
        <v>203.16</v>
      </c>
      <c r="BJ66" s="1700">
        <v>205.42</v>
      </c>
      <c r="BK66" s="1700">
        <v>207.68</v>
      </c>
      <c r="BL66" s="1700">
        <v>209.93</v>
      </c>
      <c r="BM66" s="1700">
        <v>212.19</v>
      </c>
      <c r="BN66" s="1700"/>
      <c r="BO66" s="1703">
        <v>62</v>
      </c>
      <c r="BP66" s="1693">
        <v>73.14</v>
      </c>
      <c r="BQ66" s="1693">
        <v>74.739999999999995</v>
      </c>
      <c r="BR66" s="1693">
        <v>76.33</v>
      </c>
      <c r="BS66" s="1693">
        <v>77.92</v>
      </c>
      <c r="BT66" s="1693">
        <v>79.52</v>
      </c>
      <c r="BU66" s="1694">
        <v>81.11</v>
      </c>
      <c r="BV66" s="1694">
        <v>82.7</v>
      </c>
      <c r="BW66" s="1694">
        <v>84.3</v>
      </c>
      <c r="BX66" s="1695">
        <v>85.89</v>
      </c>
      <c r="BY66" s="1696">
        <v>87.48</v>
      </c>
      <c r="BZ66" s="1696">
        <v>89.08</v>
      </c>
      <c r="CA66" s="1695">
        <v>90.67</v>
      </c>
      <c r="CB66" s="1695">
        <v>92.26</v>
      </c>
      <c r="CC66" s="1704">
        <v>93.86</v>
      </c>
      <c r="CD66" s="1697">
        <v>95.45</v>
      </c>
      <c r="CE66" s="1698">
        <v>97.04</v>
      </c>
      <c r="CF66" s="1699">
        <v>98.64</v>
      </c>
      <c r="CG66" s="1699">
        <v>100.23</v>
      </c>
      <c r="CH66" s="1699">
        <v>101.82</v>
      </c>
      <c r="CI66" s="1699">
        <v>103.42</v>
      </c>
      <c r="CJ66" s="1699">
        <v>105.01</v>
      </c>
      <c r="CK66" s="1700">
        <v>90.72</v>
      </c>
      <c r="CL66" s="1700">
        <v>92.31</v>
      </c>
      <c r="CM66" s="1700">
        <v>93.91</v>
      </c>
      <c r="CN66" s="1700">
        <v>95.5</v>
      </c>
      <c r="CO66" s="1705">
        <v>97.09</v>
      </c>
      <c r="CP66" s="1706">
        <v>98.69</v>
      </c>
      <c r="CQ66" s="1701">
        <v>100.28</v>
      </c>
      <c r="CR66" s="1701">
        <v>101.87</v>
      </c>
      <c r="CS66" s="1707">
        <v>103.47</v>
      </c>
      <c r="CT66" s="1700">
        <v>105.06</v>
      </c>
      <c r="CU66" s="1700">
        <v>106.65</v>
      </c>
      <c r="CV66" s="1700">
        <v>108.25</v>
      </c>
      <c r="CW66" s="1700">
        <v>109.84</v>
      </c>
      <c r="CX66" s="1700">
        <v>111.43</v>
      </c>
      <c r="CY66" s="1700">
        <v>113.03</v>
      </c>
      <c r="CZ66" s="1700">
        <v>114.62</v>
      </c>
      <c r="DA66" s="1700">
        <v>116.21</v>
      </c>
      <c r="DB66" s="1700">
        <v>117.81</v>
      </c>
      <c r="DC66" s="1700">
        <v>119.4</v>
      </c>
      <c r="DD66" s="1700">
        <v>120.99</v>
      </c>
      <c r="DE66" s="1700">
        <v>122.59</v>
      </c>
      <c r="DF66" s="1700">
        <v>124.18</v>
      </c>
      <c r="DG66" s="1700">
        <v>125.77</v>
      </c>
      <c r="DH66" s="1700">
        <v>127.37</v>
      </c>
      <c r="DI66" s="1700">
        <v>128.96</v>
      </c>
      <c r="DJ66" s="1700">
        <v>130.55000000000001</v>
      </c>
      <c r="DK66" s="1700">
        <v>132.15</v>
      </c>
      <c r="DL66" s="1700">
        <v>133.74</v>
      </c>
      <c r="DM66" s="1700">
        <v>135.33000000000001</v>
      </c>
      <c r="DN66" s="1700">
        <v>136.93</v>
      </c>
      <c r="DO66" s="1700">
        <v>138.52000000000001</v>
      </c>
      <c r="DP66" s="1700">
        <v>140.11000000000001</v>
      </c>
      <c r="DQ66" s="1700">
        <v>141.71</v>
      </c>
      <c r="DR66" s="1700">
        <v>143.30000000000001</v>
      </c>
      <c r="DS66" s="1700"/>
      <c r="DT66" s="1700"/>
      <c r="DU66" s="1700"/>
      <c r="DV66" s="1700"/>
      <c r="DW66" s="1700"/>
      <c r="DX66" s="1700"/>
    </row>
    <row r="67" spans="1:128">
      <c r="A67" s="1622"/>
      <c r="B67" s="1691">
        <f t="shared" si="4"/>
        <v>63</v>
      </c>
      <c r="C67" s="1668" t="str">
        <f t="shared" si="1"/>
        <v>169.85</v>
      </c>
      <c r="D67" s="1672">
        <f t="shared" si="2"/>
        <v>237.79</v>
      </c>
      <c r="E67" s="1670"/>
      <c r="F67" s="1671" t="str">
        <f t="shared" si="3"/>
        <v>106.69</v>
      </c>
      <c r="G67" s="1672">
        <f t="shared" si="0"/>
        <v>149.37</v>
      </c>
      <c r="H67" s="1670"/>
      <c r="I67" s="1670"/>
      <c r="J67" s="1708">
        <v>63</v>
      </c>
      <c r="K67" s="1693">
        <v>123.99</v>
      </c>
      <c r="L67" s="1693">
        <v>126.28</v>
      </c>
      <c r="M67" s="1693">
        <v>128.57</v>
      </c>
      <c r="N67" s="1693">
        <v>130.87</v>
      </c>
      <c r="O67" s="1693">
        <v>133.16</v>
      </c>
      <c r="P67" s="1694">
        <v>135.44999999999999</v>
      </c>
      <c r="Q67" s="1694">
        <v>137.75</v>
      </c>
      <c r="R67" s="1694">
        <v>140.04</v>
      </c>
      <c r="S67" s="1695">
        <v>142.33000000000001</v>
      </c>
      <c r="T67" s="1696">
        <v>144.62</v>
      </c>
      <c r="U67" s="1696">
        <v>146.91999999999999</v>
      </c>
      <c r="V67" s="1695">
        <v>149.21</v>
      </c>
      <c r="W67" s="1695">
        <v>151.5</v>
      </c>
      <c r="X67" s="1695">
        <v>153.80000000000001</v>
      </c>
      <c r="Y67" s="1697">
        <v>156.09</v>
      </c>
      <c r="Z67" s="1698">
        <v>158.38</v>
      </c>
      <c r="AA67" s="1699">
        <v>160.68</v>
      </c>
      <c r="AB67" s="1699">
        <v>162.97</v>
      </c>
      <c r="AC67" s="1699">
        <v>165.26</v>
      </c>
      <c r="AD67" s="1699">
        <v>167.56</v>
      </c>
      <c r="AE67" s="1699">
        <v>169.85</v>
      </c>
      <c r="AF67" s="1700">
        <v>139.91</v>
      </c>
      <c r="AG67" s="1700">
        <v>142.19999999999999</v>
      </c>
      <c r="AH67" s="1700">
        <v>144.5</v>
      </c>
      <c r="AI67" s="1700">
        <v>146.79</v>
      </c>
      <c r="AJ67" s="1701">
        <v>149.08000000000001</v>
      </c>
      <c r="AK67" s="1701">
        <v>151.38</v>
      </c>
      <c r="AL67" s="1701">
        <v>153.66999999999999</v>
      </c>
      <c r="AM67" s="1701">
        <v>155.96</v>
      </c>
      <c r="AN67" s="1701">
        <v>158.25</v>
      </c>
      <c r="AO67" s="1702">
        <v>160.55000000000001</v>
      </c>
      <c r="AP67" s="1700">
        <v>162.84</v>
      </c>
      <c r="AQ67" s="1700">
        <v>165.13</v>
      </c>
      <c r="AR67" s="1683">
        <v>167.43</v>
      </c>
      <c r="AS67" s="1700">
        <v>169.72</v>
      </c>
      <c r="AT67" s="1700">
        <v>172.01</v>
      </c>
      <c r="AU67" s="1700">
        <v>174.31</v>
      </c>
      <c r="AV67" s="1700">
        <v>176.6</v>
      </c>
      <c r="AW67" s="1700">
        <v>178.89</v>
      </c>
      <c r="AX67" s="1700">
        <v>181.19</v>
      </c>
      <c r="AY67" s="1700">
        <v>183.48</v>
      </c>
      <c r="AZ67" s="1700">
        <v>185.77</v>
      </c>
      <c r="BA67" s="1700">
        <v>188.07</v>
      </c>
      <c r="BB67" s="1683">
        <v>190.36</v>
      </c>
      <c r="BC67" s="1700">
        <v>192.65</v>
      </c>
      <c r="BD67" s="1683">
        <v>194.95</v>
      </c>
      <c r="BE67" s="1700">
        <v>197.24</v>
      </c>
      <c r="BF67" s="1700">
        <v>199.53</v>
      </c>
      <c r="BG67" s="1700">
        <v>201.83</v>
      </c>
      <c r="BH67" s="1700">
        <v>204.12</v>
      </c>
      <c r="BI67" s="1700">
        <v>206.41</v>
      </c>
      <c r="BJ67" s="1700">
        <v>208.71</v>
      </c>
      <c r="BK67" s="1700">
        <v>211</v>
      </c>
      <c r="BL67" s="1700">
        <v>231.29</v>
      </c>
      <c r="BM67" s="1700">
        <v>215.58</v>
      </c>
      <c r="BN67" s="1700"/>
      <c r="BO67" s="1703">
        <v>63</v>
      </c>
      <c r="BP67" s="1693">
        <v>74.31</v>
      </c>
      <c r="BQ67" s="1693">
        <v>75.930000000000007</v>
      </c>
      <c r="BR67" s="1693">
        <v>77.55</v>
      </c>
      <c r="BS67" s="1693">
        <v>79.17</v>
      </c>
      <c r="BT67" s="1693">
        <v>80.790000000000006</v>
      </c>
      <c r="BU67" s="1694">
        <v>82.41</v>
      </c>
      <c r="BV67" s="1694">
        <v>84.03</v>
      </c>
      <c r="BW67" s="1694">
        <v>85.65</v>
      </c>
      <c r="BX67" s="1695">
        <v>87.27</v>
      </c>
      <c r="BY67" s="1696">
        <v>88.88</v>
      </c>
      <c r="BZ67" s="1696">
        <v>90.5</v>
      </c>
      <c r="CA67" s="1695">
        <v>92.12</v>
      </c>
      <c r="CB67" s="1695">
        <v>93.74</v>
      </c>
      <c r="CC67" s="1704">
        <v>95.36</v>
      </c>
      <c r="CD67" s="1697">
        <v>96.98</v>
      </c>
      <c r="CE67" s="1698">
        <v>98.6</v>
      </c>
      <c r="CF67" s="1699">
        <v>100.22</v>
      </c>
      <c r="CG67" s="1699">
        <v>101.84</v>
      </c>
      <c r="CH67" s="1699">
        <v>103.46</v>
      </c>
      <c r="CI67" s="1699">
        <v>105.08</v>
      </c>
      <c r="CJ67" s="1699">
        <v>106.69</v>
      </c>
      <c r="CK67" s="1700">
        <v>92.18</v>
      </c>
      <c r="CL67" s="1700">
        <v>93.8</v>
      </c>
      <c r="CM67" s="1700">
        <v>95.42</v>
      </c>
      <c r="CN67" s="1700">
        <v>97.03</v>
      </c>
      <c r="CO67" s="1705">
        <v>98.65</v>
      </c>
      <c r="CP67" s="1706">
        <v>100.27</v>
      </c>
      <c r="CQ67" s="1701">
        <v>101.89</v>
      </c>
      <c r="CR67" s="1701">
        <v>103.51</v>
      </c>
      <c r="CS67" s="1707">
        <v>105.13</v>
      </c>
      <c r="CT67" s="1700">
        <v>106.75</v>
      </c>
      <c r="CU67" s="1700">
        <v>108.37</v>
      </c>
      <c r="CV67" s="1700">
        <v>109.99</v>
      </c>
      <c r="CW67" s="1700">
        <v>111.61</v>
      </c>
      <c r="CX67" s="1700">
        <v>113.23</v>
      </c>
      <c r="CY67" s="1700">
        <v>114.84</v>
      </c>
      <c r="CZ67" s="1700">
        <v>116.46</v>
      </c>
      <c r="DA67" s="1700">
        <v>118.08</v>
      </c>
      <c r="DB67" s="1700">
        <v>119.7</v>
      </c>
      <c r="DC67" s="1700">
        <v>121.32</v>
      </c>
      <c r="DD67" s="1700">
        <v>122.94</v>
      </c>
      <c r="DE67" s="1700">
        <v>124.56</v>
      </c>
      <c r="DF67" s="1700">
        <v>126.18</v>
      </c>
      <c r="DG67" s="1700">
        <v>127.8</v>
      </c>
      <c r="DH67" s="1700">
        <v>129.41999999999999</v>
      </c>
      <c r="DI67" s="1700">
        <v>131.04</v>
      </c>
      <c r="DJ67" s="1700">
        <v>132.65</v>
      </c>
      <c r="DK67" s="1700">
        <v>134.27000000000001</v>
      </c>
      <c r="DL67" s="1700">
        <v>135.88999999999999</v>
      </c>
      <c r="DM67" s="1700">
        <v>137.51</v>
      </c>
      <c r="DN67" s="1700">
        <v>139.13</v>
      </c>
      <c r="DO67" s="1700">
        <v>140.75</v>
      </c>
      <c r="DP67" s="1700">
        <v>142.37</v>
      </c>
      <c r="DQ67" s="1700">
        <v>143.99</v>
      </c>
      <c r="DR67" s="1700">
        <v>145.61000000000001</v>
      </c>
      <c r="DS67" s="1700"/>
      <c r="DT67" s="1700"/>
      <c r="DU67" s="1700"/>
      <c r="DV67" s="1700"/>
      <c r="DW67" s="1700"/>
      <c r="DX67" s="1700"/>
    </row>
    <row r="68" spans="1:128">
      <c r="A68" s="1622"/>
      <c r="B68" s="1691">
        <f t="shared" si="4"/>
        <v>64</v>
      </c>
      <c r="C68" s="1668" t="str">
        <f t="shared" si="1"/>
        <v>172.51</v>
      </c>
      <c r="D68" s="1672">
        <f t="shared" si="2"/>
        <v>241.51</v>
      </c>
      <c r="E68" s="1670"/>
      <c r="F68" s="1671" t="str">
        <f t="shared" si="3"/>
        <v>108.38</v>
      </c>
      <c r="G68" s="1672">
        <f t="shared" si="0"/>
        <v>151.72999999999999</v>
      </c>
      <c r="H68" s="1670"/>
      <c r="I68" s="1670"/>
      <c r="J68" s="1708">
        <v>64</v>
      </c>
      <c r="K68" s="1693">
        <v>125.92</v>
      </c>
      <c r="L68" s="1693">
        <v>128.25</v>
      </c>
      <c r="M68" s="1693">
        <v>130.58000000000001</v>
      </c>
      <c r="N68" s="1693">
        <v>132.91</v>
      </c>
      <c r="O68" s="1693">
        <v>135.24</v>
      </c>
      <c r="P68" s="1694">
        <v>137.56</v>
      </c>
      <c r="Q68" s="1694">
        <v>139.88999999999999</v>
      </c>
      <c r="R68" s="1694">
        <v>142.22</v>
      </c>
      <c r="S68" s="1695">
        <v>144.55000000000001</v>
      </c>
      <c r="T68" s="1696">
        <v>146.88</v>
      </c>
      <c r="U68" s="1696">
        <v>149.21</v>
      </c>
      <c r="V68" s="1695">
        <v>151.54</v>
      </c>
      <c r="W68" s="1695">
        <v>153.87</v>
      </c>
      <c r="X68" s="1695">
        <v>156.19999999999999</v>
      </c>
      <c r="Y68" s="1697">
        <v>158.53</v>
      </c>
      <c r="Z68" s="1698">
        <v>160.86000000000001</v>
      </c>
      <c r="AA68" s="1699">
        <v>163.19</v>
      </c>
      <c r="AB68" s="1699">
        <v>165.52</v>
      </c>
      <c r="AC68" s="1699">
        <v>167.85</v>
      </c>
      <c r="AD68" s="1699">
        <v>170.18</v>
      </c>
      <c r="AE68" s="1699">
        <v>172.51</v>
      </c>
      <c r="AF68" s="1683">
        <v>142.11000000000001</v>
      </c>
      <c r="AG68" s="1683">
        <v>144.44</v>
      </c>
      <c r="AH68" s="1683">
        <v>146.77000000000001</v>
      </c>
      <c r="AI68" s="1683">
        <v>149.1</v>
      </c>
      <c r="AJ68" s="1701">
        <v>151.43</v>
      </c>
      <c r="AK68" s="1701">
        <v>153.76</v>
      </c>
      <c r="AL68" s="1701">
        <v>156.09</v>
      </c>
      <c r="AM68" s="1701">
        <v>158.41999999999999</v>
      </c>
      <c r="AN68" s="1701">
        <v>160.75</v>
      </c>
      <c r="AO68" s="1702">
        <v>163.07</v>
      </c>
      <c r="AP68" s="1700">
        <v>165.4</v>
      </c>
      <c r="AQ68" s="1700">
        <v>167.73</v>
      </c>
      <c r="AR68" s="1700">
        <v>170.06</v>
      </c>
      <c r="AS68" s="1700">
        <v>172.39</v>
      </c>
      <c r="AT68" s="1683">
        <v>174.72</v>
      </c>
      <c r="AU68" s="1700">
        <v>177.05</v>
      </c>
      <c r="AV68" s="1683">
        <v>179.38</v>
      </c>
      <c r="AW68" s="1683">
        <v>11.71</v>
      </c>
      <c r="AX68" s="1683">
        <v>184.04</v>
      </c>
      <c r="AY68" s="1683">
        <v>186.37</v>
      </c>
      <c r="AZ68" s="1683">
        <v>188.7</v>
      </c>
      <c r="BA68" s="1683">
        <v>191.03</v>
      </c>
      <c r="BB68" s="1700">
        <v>193.36</v>
      </c>
      <c r="BC68" s="1683">
        <v>195.69</v>
      </c>
      <c r="BD68" s="1700">
        <v>198.02</v>
      </c>
      <c r="BE68" s="1683">
        <v>200.35</v>
      </c>
      <c r="BF68" s="1683">
        <v>202.68</v>
      </c>
      <c r="BG68" s="1683">
        <v>205.01</v>
      </c>
      <c r="BH68" s="1683">
        <v>207.34</v>
      </c>
      <c r="BI68" s="1683">
        <v>209.67</v>
      </c>
      <c r="BJ68" s="1683">
        <v>212</v>
      </c>
      <c r="BK68" s="1683">
        <v>214.33</v>
      </c>
      <c r="BL68" s="1683">
        <v>216.66</v>
      </c>
      <c r="BM68" s="1683">
        <v>218.99</v>
      </c>
      <c r="BN68" s="1683"/>
      <c r="BO68" s="1703">
        <v>64</v>
      </c>
      <c r="BP68" s="1693">
        <v>75.489999999999995</v>
      </c>
      <c r="BQ68" s="1693">
        <v>77.13</v>
      </c>
      <c r="BR68" s="1693">
        <v>78.78</v>
      </c>
      <c r="BS68" s="1693">
        <v>8.42</v>
      </c>
      <c r="BT68" s="1693">
        <v>82.07</v>
      </c>
      <c r="BU68" s="1694">
        <v>83.71</v>
      </c>
      <c r="BV68" s="1694">
        <v>85.36</v>
      </c>
      <c r="BW68" s="1694">
        <v>87</v>
      </c>
      <c r="BX68" s="1695">
        <v>88.65</v>
      </c>
      <c r="BY68" s="1696">
        <v>90.29</v>
      </c>
      <c r="BZ68" s="1696">
        <v>91.94</v>
      </c>
      <c r="CA68" s="1695">
        <v>93.58</v>
      </c>
      <c r="CB68" s="1695">
        <v>95.22</v>
      </c>
      <c r="CC68" s="1704">
        <v>96.87</v>
      </c>
      <c r="CD68" s="1697">
        <v>98.51</v>
      </c>
      <c r="CE68" s="1698">
        <v>100.16</v>
      </c>
      <c r="CF68" s="1699">
        <v>101.8</v>
      </c>
      <c r="CG68" s="1699">
        <v>103.45</v>
      </c>
      <c r="CH68" s="1699">
        <v>105.09</v>
      </c>
      <c r="CI68" s="1699">
        <v>106.74</v>
      </c>
      <c r="CJ68" s="1699">
        <v>108.38</v>
      </c>
      <c r="CK68" s="1700">
        <v>93.64</v>
      </c>
      <c r="CL68" s="1700">
        <v>95.28</v>
      </c>
      <c r="CM68" s="1700">
        <v>96.93</v>
      </c>
      <c r="CN68" s="1700">
        <v>98.57</v>
      </c>
      <c r="CO68" s="1705">
        <v>100.22</v>
      </c>
      <c r="CP68" s="1706">
        <v>101.86</v>
      </c>
      <c r="CQ68" s="1701">
        <v>103.51</v>
      </c>
      <c r="CR68" s="1701">
        <v>105.15</v>
      </c>
      <c r="CS68" s="1707">
        <v>106.8</v>
      </c>
      <c r="CT68" s="1700">
        <v>108.44</v>
      </c>
      <c r="CU68" s="1700">
        <v>110.09</v>
      </c>
      <c r="CV68" s="1700">
        <v>111.73</v>
      </c>
      <c r="CW68" s="1700">
        <v>113.37</v>
      </c>
      <c r="CX68" s="1700">
        <v>115.02</v>
      </c>
      <c r="CY68" s="1700">
        <v>116.66</v>
      </c>
      <c r="CZ68" s="1700">
        <v>118.31</v>
      </c>
      <c r="DA68" s="1700">
        <v>119.95</v>
      </c>
      <c r="DB68" s="1700">
        <v>121.6</v>
      </c>
      <c r="DC68" s="1700">
        <v>123.24</v>
      </c>
      <c r="DD68" s="1700">
        <v>124.89</v>
      </c>
      <c r="DE68" s="1700">
        <v>126.53</v>
      </c>
      <c r="DF68" s="1700">
        <v>128.18</v>
      </c>
      <c r="DG68" s="1700">
        <v>129.82</v>
      </c>
      <c r="DH68" s="1700">
        <v>131.47</v>
      </c>
      <c r="DI68" s="1700">
        <v>133.11000000000001</v>
      </c>
      <c r="DJ68" s="1700">
        <v>134.76</v>
      </c>
      <c r="DK68" s="1700">
        <v>136.4</v>
      </c>
      <c r="DL68" s="1700">
        <v>138.05000000000001</v>
      </c>
      <c r="DM68" s="1700">
        <v>139.69</v>
      </c>
      <c r="DN68" s="1700">
        <v>141.34</v>
      </c>
      <c r="DO68" s="1700">
        <v>142.97999999999999</v>
      </c>
      <c r="DP68" s="1700">
        <v>144.63</v>
      </c>
      <c r="DQ68" s="1700">
        <v>146.27000000000001</v>
      </c>
      <c r="DR68" s="1700">
        <v>147.91999999999999</v>
      </c>
      <c r="DS68" s="1700"/>
      <c r="DT68" s="1700"/>
      <c r="DU68" s="1700"/>
      <c r="DV68" s="1700"/>
      <c r="DW68" s="1700"/>
      <c r="DX68" s="1700"/>
    </row>
    <row r="69" spans="1:128">
      <c r="A69" s="1622"/>
      <c r="B69" s="1691">
        <f t="shared" si="4"/>
        <v>65</v>
      </c>
      <c r="C69" s="1668" t="str">
        <f t="shared" si="1"/>
        <v>175.18</v>
      </c>
      <c r="D69" s="1672">
        <f t="shared" si="2"/>
        <v>245.25</v>
      </c>
      <c r="E69" s="1670"/>
      <c r="F69" s="1671" t="str">
        <f t="shared" si="3"/>
        <v>110.05</v>
      </c>
      <c r="G69" s="1672">
        <f t="shared" ref="G69:G132" si="5">ROUND(F69*1.4,2)</f>
        <v>154.07</v>
      </c>
      <c r="H69" s="1670"/>
      <c r="I69" s="1670"/>
      <c r="J69" s="1708">
        <v>65</v>
      </c>
      <c r="K69" s="1693">
        <v>127.86</v>
      </c>
      <c r="L69" s="1693">
        <v>130.22999999999999</v>
      </c>
      <c r="M69" s="1693">
        <v>132.59</v>
      </c>
      <c r="N69" s="1693">
        <v>134.96</v>
      </c>
      <c r="O69" s="1693">
        <v>137.32</v>
      </c>
      <c r="P69" s="1694">
        <v>139.69</v>
      </c>
      <c r="Q69" s="1694">
        <v>142.06</v>
      </c>
      <c r="R69" s="1694">
        <v>144.41999999999999</v>
      </c>
      <c r="S69" s="1695">
        <v>146.79</v>
      </c>
      <c r="T69" s="1696">
        <v>149.15</v>
      </c>
      <c r="U69" s="1696">
        <v>151.52000000000001</v>
      </c>
      <c r="V69" s="1695">
        <v>153.88999999999999</v>
      </c>
      <c r="W69" s="1695">
        <v>156.25</v>
      </c>
      <c r="X69" s="1695">
        <v>158.62</v>
      </c>
      <c r="Y69" s="1697">
        <v>160.97999999999999</v>
      </c>
      <c r="Z69" s="1698">
        <v>163.35</v>
      </c>
      <c r="AA69" s="1699">
        <v>165.72</v>
      </c>
      <c r="AB69" s="1699">
        <v>168.08</v>
      </c>
      <c r="AC69" s="1699">
        <v>170.45</v>
      </c>
      <c r="AD69" s="1699">
        <v>172.81</v>
      </c>
      <c r="AE69" s="1699">
        <v>175.18</v>
      </c>
      <c r="AF69" s="1700">
        <v>144.31</v>
      </c>
      <c r="AG69" s="1700">
        <v>146.68</v>
      </c>
      <c r="AH69" s="1700">
        <v>149.05000000000001</v>
      </c>
      <c r="AI69" s="1700">
        <v>151.41</v>
      </c>
      <c r="AJ69" s="1701">
        <v>153.78</v>
      </c>
      <c r="AK69" s="1701">
        <v>156.13999999999999</v>
      </c>
      <c r="AL69" s="1701">
        <v>158.51</v>
      </c>
      <c r="AM69" s="1701">
        <v>160.88</v>
      </c>
      <c r="AN69" s="1701">
        <v>163.24</v>
      </c>
      <c r="AO69" s="1702">
        <v>165.61</v>
      </c>
      <c r="AP69" s="1700">
        <v>167.97</v>
      </c>
      <c r="AQ69" s="1700">
        <v>170.34</v>
      </c>
      <c r="AR69" s="1683">
        <v>172.71</v>
      </c>
      <c r="AS69" s="1700">
        <v>175.07</v>
      </c>
      <c r="AT69" s="1700">
        <v>177.44</v>
      </c>
      <c r="AU69" s="1700">
        <v>179.8</v>
      </c>
      <c r="AV69" s="1700">
        <v>182.17</v>
      </c>
      <c r="AW69" s="1700">
        <v>184.54</v>
      </c>
      <c r="AX69" s="1700">
        <v>186.9</v>
      </c>
      <c r="AY69" s="1700">
        <v>189.27</v>
      </c>
      <c r="AZ69" s="1700">
        <v>191.63</v>
      </c>
      <c r="BA69" s="1700">
        <v>194</v>
      </c>
      <c r="BB69" s="1700">
        <v>196.37</v>
      </c>
      <c r="BC69" s="1700">
        <v>198.73</v>
      </c>
      <c r="BD69" s="1700">
        <v>201.1</v>
      </c>
      <c r="BE69" s="1700">
        <v>203.46</v>
      </c>
      <c r="BF69" s="1700">
        <v>205.83</v>
      </c>
      <c r="BG69" s="1700">
        <v>208.2</v>
      </c>
      <c r="BH69" s="1700">
        <v>210.56</v>
      </c>
      <c r="BI69" s="1700">
        <v>212.93</v>
      </c>
      <c r="BJ69" s="1700">
        <v>215.29</v>
      </c>
      <c r="BK69" s="1700">
        <v>217.66</v>
      </c>
      <c r="BL69" s="1700">
        <v>220.03</v>
      </c>
      <c r="BM69" s="1700">
        <v>222.39</v>
      </c>
      <c r="BN69" s="1700"/>
      <c r="BO69" s="1703">
        <v>65</v>
      </c>
      <c r="BP69" s="1693">
        <v>76.64</v>
      </c>
      <c r="BQ69" s="1693">
        <v>78.31</v>
      </c>
      <c r="BR69" s="1693">
        <v>79.989999999999995</v>
      </c>
      <c r="BS69" s="1693">
        <v>81.66</v>
      </c>
      <c r="BT69" s="1693">
        <v>83.33</v>
      </c>
      <c r="BU69" s="1694">
        <v>85</v>
      </c>
      <c r="BV69" s="1694">
        <v>86.67</v>
      </c>
      <c r="BW69" s="1694">
        <v>88.34</v>
      </c>
      <c r="BX69" s="1695">
        <v>90.01</v>
      </c>
      <c r="BY69" s="1696">
        <v>91.68</v>
      </c>
      <c r="BZ69" s="1696">
        <v>93.35</v>
      </c>
      <c r="CA69" s="1695">
        <v>95.02</v>
      </c>
      <c r="CB69" s="1695">
        <v>96.69</v>
      </c>
      <c r="CC69" s="1704">
        <v>98.36</v>
      </c>
      <c r="CD69" s="1697">
        <v>100.03</v>
      </c>
      <c r="CE69" s="1698">
        <v>101.7</v>
      </c>
      <c r="CF69" s="1699">
        <v>103.37</v>
      </c>
      <c r="CG69" s="1699">
        <v>105.04</v>
      </c>
      <c r="CH69" s="1699">
        <v>106.71</v>
      </c>
      <c r="CI69" s="1699">
        <v>108.38</v>
      </c>
      <c r="CJ69" s="1699">
        <v>110.05</v>
      </c>
      <c r="CK69" s="1700">
        <v>95.09</v>
      </c>
      <c r="CL69" s="1700">
        <v>96.76</v>
      </c>
      <c r="CM69" s="1700">
        <v>98.43</v>
      </c>
      <c r="CN69" s="1700">
        <v>100.1</v>
      </c>
      <c r="CO69" s="1705">
        <v>101.77</v>
      </c>
      <c r="CP69" s="1706">
        <v>103.44</v>
      </c>
      <c r="CQ69" s="1701">
        <v>105.11</v>
      </c>
      <c r="CR69" s="1701">
        <v>106.78</v>
      </c>
      <c r="CS69" s="1707">
        <v>108.45</v>
      </c>
      <c r="CT69" s="1700">
        <v>110.12</v>
      </c>
      <c r="CU69" s="1700">
        <v>111.79</v>
      </c>
      <c r="CV69" s="1700">
        <v>113.46</v>
      </c>
      <c r="CW69" s="1700">
        <v>115.13</v>
      </c>
      <c r="CX69" s="1700">
        <v>116.8</v>
      </c>
      <c r="CY69" s="1700">
        <v>118.47</v>
      </c>
      <c r="CZ69" s="1700">
        <v>120.14</v>
      </c>
      <c r="DA69" s="1700">
        <v>121.81</v>
      </c>
      <c r="DB69" s="1700">
        <v>123.48</v>
      </c>
      <c r="DC69" s="1700">
        <v>125.16</v>
      </c>
      <c r="DD69" s="1700">
        <v>126.83</v>
      </c>
      <c r="DE69" s="1700">
        <v>128.5</v>
      </c>
      <c r="DF69" s="1700">
        <v>130.16999999999999</v>
      </c>
      <c r="DG69" s="1700">
        <v>131.84</v>
      </c>
      <c r="DH69" s="1700">
        <v>133.51</v>
      </c>
      <c r="DI69" s="1700">
        <v>135.18</v>
      </c>
      <c r="DJ69" s="1700">
        <v>136.85</v>
      </c>
      <c r="DK69" s="1700">
        <v>138.32</v>
      </c>
      <c r="DL69" s="1700">
        <v>140.19</v>
      </c>
      <c r="DM69" s="1700">
        <v>141.86000000000001</v>
      </c>
      <c r="DN69" s="1700">
        <v>143.53</v>
      </c>
      <c r="DO69" s="1700">
        <v>145.19999999999999</v>
      </c>
      <c r="DP69" s="1700">
        <v>146.87</v>
      </c>
      <c r="DQ69" s="1700">
        <v>148.54</v>
      </c>
      <c r="DR69" s="1700">
        <v>150.21</v>
      </c>
      <c r="DS69" s="1700"/>
      <c r="DT69" s="1700"/>
      <c r="DU69" s="1700"/>
      <c r="DV69" s="1700"/>
      <c r="DW69" s="1700"/>
      <c r="DX69" s="1700"/>
    </row>
    <row r="70" spans="1:128">
      <c r="A70" s="1622"/>
      <c r="B70" s="1691">
        <f t="shared" si="4"/>
        <v>66</v>
      </c>
      <c r="C70" s="1668" t="str">
        <f t="shared" ref="C70:C133" si="6">IF($C$1=40.5,AJ70,IF($C$1=41.5,AK70,IF($C$1=42.5,AL70,IF($C$1=43.5,AN70,IF($C$1=44.5,AN70,IF($C$1=45.5,AO70,IF($C$1=46.5,AP70,)))))))&amp;
IF($C$1=47.5,AQ70,IF($C$1=48.5,AR70,IF($C$1=49.5,AS70,IF($C$1=50.5,AT70,IF($C$1=51.5,AU70,IF($C$1=52.5,AV70,IF($C$1=53.5,AW70,)))))))&amp;
IF($C$1=54.5,AX70,IF($C$1=55.5,AY70,IF($C$1=56.5,AZ70,IF($C$1=57.5,BA70,IF($C$1=15.5,K70,IF($C$1=16.5,L70,IF($C$1=17.5,M70,)))))))&amp;
IF($C$1=18.5,N70,IF($C$1=19.5,O70,IF($C$1=20.5,P70,IF($C$1=21.5,Q70,IF($C$1=22.5,R70,IF($C$1=23.5,S70,IF($C$1=24.5,T70,)))))))&amp;IF($C$1=25.5,U70,IF($C$1=26.5,V70,IF($C$1=39.5,AI70,)))&amp;IF($C$1=31.5,AA70,IF($C$1=32.5,AB70,IF($C$1=33.5,AC70,IF($C$1=34.5,AD70,IF($C$1=35.5,AE70,)))))&amp;IF($C$1=36.5,AF70,IF($C$1=37.5,AG70,IF($C$1=38.5,AH70,)))&amp;IF($C$1=27.5,W70,IF($C$1=28.5,X70,IF($C$1=29.5,Y70,IF($C$1=30.5,Z70,))))</f>
        <v>177.87</v>
      </c>
      <c r="D70" s="1672">
        <f t="shared" ref="D70:D133" si="7">ROUND(C70*1.4,2)</f>
        <v>249.02</v>
      </c>
      <c r="E70" s="1670"/>
      <c r="F70" s="1671" t="str">
        <f t="shared" ref="F70:F133" si="8">IF($C$1=40.5,CO70,IF($C$1=41.5,CP70,IF($C$1=42.5,CQ70,IF($C$1=43.5,CS70,IF($C$1=44.5,CS70,IF($C$1=45.5,CT70,IF($C$1=46.5,CU70,)))))))&amp;
IF($C$1=47.5,CV70,IF($C$1=48.5,CW70,IF($C$1=49.5,CX70,IF($C$1=50.5,CY70,IF($C$1=51.5,CZ70,IF($C$1=52.5,DA70,IF($C$1=53.5,DB70,)))))))&amp;
IF($C$1=54.5,DC70,IF($C$1=55.5,DD70,IF($C$1=56.5,DE70,IF($C$1=57.5,DF70,IF($C$1=15.5,BP70,IF($C$1=16.5,BQ70,IF($C$1=17.5,BR70,)))))))&amp;
IF($C$1=18.5,BS70,IF($C$1=19.5,BT70,IF($C$1=20.5,BU70,IF($C$1=21.5,BV70,IF($C$1=22.5,BW70,IF($C$1=23.5,BX70,IF($C$1=24.5,BY70,)))))))&amp;IF($C$1=25.5,BZ70,IF($C$1=26.5,CA70,IF($C$1=39.5,CN70,)))&amp;IF($C$1=31.5,CF70,IF($C$1=32.5,CG70,IF($C$1=33.5,CH70,IF($C$1=34.5,CI70,IF($C$1=35.5,CJ70,)))))&amp;IF($C$1=36.5,CK70,IF($C$1=37.5,CL70,IF($C$1=38.5,CM70,)))&amp;IF($C$1=27.5,CB70,IF($C$1=28.5,CC70,IF($C$1=29.5,CD70,IF($C$1=30.5,CE70,))))</f>
        <v>111.75</v>
      </c>
      <c r="G70" s="1672">
        <f t="shared" si="5"/>
        <v>156.44999999999999</v>
      </c>
      <c r="H70" s="1670"/>
      <c r="I70" s="1670"/>
      <c r="J70" s="1708">
        <v>66</v>
      </c>
      <c r="K70" s="1693">
        <v>129.82</v>
      </c>
      <c r="L70" s="1693">
        <v>132.22</v>
      </c>
      <c r="M70" s="1693">
        <v>134.62</v>
      </c>
      <c r="N70" s="1693">
        <v>137.02000000000001</v>
      </c>
      <c r="O70" s="1693">
        <v>139.43</v>
      </c>
      <c r="P70" s="1694">
        <v>141.83000000000001</v>
      </c>
      <c r="Q70" s="1694">
        <v>144.22999999999999</v>
      </c>
      <c r="R70" s="1694">
        <v>146.63</v>
      </c>
      <c r="S70" s="1695">
        <v>149.04</v>
      </c>
      <c r="T70" s="1696">
        <v>151.44</v>
      </c>
      <c r="U70" s="1696">
        <v>153.84</v>
      </c>
      <c r="V70" s="1695">
        <v>156.24</v>
      </c>
      <c r="W70" s="1695">
        <v>158.65</v>
      </c>
      <c r="X70" s="1695">
        <v>161.05000000000001</v>
      </c>
      <c r="Y70" s="1697">
        <v>163.44999999999999</v>
      </c>
      <c r="Z70" s="1698">
        <v>165.85</v>
      </c>
      <c r="AA70" s="1699">
        <v>168.26</v>
      </c>
      <c r="AB70" s="1699">
        <v>170.66</v>
      </c>
      <c r="AC70" s="1699">
        <v>173.06</v>
      </c>
      <c r="AD70" s="1699">
        <v>175.46</v>
      </c>
      <c r="AE70" s="1699">
        <v>177.87</v>
      </c>
      <c r="AF70" s="1700">
        <v>146.53</v>
      </c>
      <c r="AG70" s="1700">
        <v>148.93</v>
      </c>
      <c r="AH70" s="1700">
        <v>151.33000000000001</v>
      </c>
      <c r="AI70" s="1700">
        <v>153.74</v>
      </c>
      <c r="AJ70" s="1701">
        <v>156.13999999999999</v>
      </c>
      <c r="AK70" s="1701">
        <v>158.54</v>
      </c>
      <c r="AL70" s="1701">
        <v>160.94</v>
      </c>
      <c r="AM70" s="1701">
        <v>163.35</v>
      </c>
      <c r="AN70" s="1701">
        <v>165.75</v>
      </c>
      <c r="AO70" s="1702">
        <v>168.15</v>
      </c>
      <c r="AP70" s="1700">
        <v>170.55</v>
      </c>
      <c r="AQ70" s="1700">
        <v>172.96</v>
      </c>
      <c r="AR70" s="1700">
        <v>175.36</v>
      </c>
      <c r="AS70" s="1700">
        <v>177.76</v>
      </c>
      <c r="AT70" s="1700">
        <v>180.16</v>
      </c>
      <c r="AU70" s="1700">
        <v>182.57</v>
      </c>
      <c r="AV70" s="1700">
        <v>184.97</v>
      </c>
      <c r="AW70" s="1700">
        <v>187.37</v>
      </c>
      <c r="AX70" s="1700">
        <v>189.77</v>
      </c>
      <c r="AY70" s="1700">
        <v>192.17</v>
      </c>
      <c r="AZ70" s="1700">
        <v>194.58</v>
      </c>
      <c r="BA70" s="1700">
        <v>196.98</v>
      </c>
      <c r="BB70" s="1683">
        <v>199.38</v>
      </c>
      <c r="BC70" s="1700">
        <v>201.78</v>
      </c>
      <c r="BD70" s="1683">
        <v>204.19</v>
      </c>
      <c r="BE70" s="1700">
        <v>406.59</v>
      </c>
      <c r="BF70" s="1700">
        <v>208.99</v>
      </c>
      <c r="BG70" s="1700">
        <v>211.39</v>
      </c>
      <c r="BH70" s="1700">
        <v>213.8</v>
      </c>
      <c r="BI70" s="1700">
        <v>216.2</v>
      </c>
      <c r="BJ70" s="1700">
        <v>218.6</v>
      </c>
      <c r="BK70" s="1700">
        <v>221</v>
      </c>
      <c r="BL70" s="1700">
        <v>223.41</v>
      </c>
      <c r="BM70" s="1700">
        <v>225.81</v>
      </c>
      <c r="BN70" s="1700"/>
      <c r="BO70" s="1703">
        <v>66</v>
      </c>
      <c r="BP70" s="1693">
        <v>77.83</v>
      </c>
      <c r="BQ70" s="1693">
        <v>79.52</v>
      </c>
      <c r="BR70" s="1693">
        <v>81.22</v>
      </c>
      <c r="BS70" s="1693">
        <v>82.91</v>
      </c>
      <c r="BT70" s="1693">
        <v>84.61</v>
      </c>
      <c r="BU70" s="1694">
        <v>86.31</v>
      </c>
      <c r="BV70" s="1694">
        <v>88</v>
      </c>
      <c r="BW70" s="1694">
        <v>89.7</v>
      </c>
      <c r="BX70" s="1695">
        <v>91.4</v>
      </c>
      <c r="BY70" s="1696">
        <v>93.09</v>
      </c>
      <c r="BZ70" s="1696">
        <v>94.79</v>
      </c>
      <c r="CA70" s="1695">
        <v>96.48</v>
      </c>
      <c r="CB70" s="1695">
        <v>98.18</v>
      </c>
      <c r="CC70" s="1704">
        <v>99.88</v>
      </c>
      <c r="CD70" s="1697">
        <v>101.57</v>
      </c>
      <c r="CE70" s="1698">
        <v>103.27</v>
      </c>
      <c r="CF70" s="1699">
        <v>104.96</v>
      </c>
      <c r="CG70" s="1699">
        <v>106.66</v>
      </c>
      <c r="CH70" s="1699">
        <v>108.36</v>
      </c>
      <c r="CI70" s="1699">
        <v>110.05</v>
      </c>
      <c r="CJ70" s="1699">
        <v>111.75</v>
      </c>
      <c r="CK70" s="1700">
        <v>96.55</v>
      </c>
      <c r="CL70" s="1700">
        <v>98.25</v>
      </c>
      <c r="CM70" s="1700">
        <v>99.94</v>
      </c>
      <c r="CN70" s="1700">
        <v>101.64</v>
      </c>
      <c r="CO70" s="1705">
        <v>103.34</v>
      </c>
      <c r="CP70" s="1706">
        <v>105.03</v>
      </c>
      <c r="CQ70" s="1701">
        <v>106.73</v>
      </c>
      <c r="CR70" s="1701">
        <v>108.42</v>
      </c>
      <c r="CS70" s="1707">
        <v>110.12</v>
      </c>
      <c r="CT70" s="1700">
        <v>111.82</v>
      </c>
      <c r="CU70" s="1700">
        <v>113.51</v>
      </c>
      <c r="CV70" s="1700">
        <v>115.21</v>
      </c>
      <c r="CW70" s="1700">
        <v>116.9</v>
      </c>
      <c r="CX70" s="1700">
        <v>118.6</v>
      </c>
      <c r="CY70" s="1700">
        <v>120.3</v>
      </c>
      <c r="CZ70" s="1700">
        <v>121.99</v>
      </c>
      <c r="DA70" s="1700">
        <v>123.69</v>
      </c>
      <c r="DB70" s="1700">
        <v>125.39</v>
      </c>
      <c r="DC70" s="1700">
        <v>127.08</v>
      </c>
      <c r="DD70" s="1700">
        <v>128.78</v>
      </c>
      <c r="DE70" s="1700">
        <v>130.47</v>
      </c>
      <c r="DF70" s="1700">
        <v>132.16999999999999</v>
      </c>
      <c r="DG70" s="1700">
        <v>133.87</v>
      </c>
      <c r="DH70" s="1700">
        <v>135.56</v>
      </c>
      <c r="DI70" s="1700">
        <v>137.26</v>
      </c>
      <c r="DJ70" s="1700">
        <v>138.96</v>
      </c>
      <c r="DK70" s="1700">
        <v>140.65</v>
      </c>
      <c r="DL70" s="1700">
        <v>142.35</v>
      </c>
      <c r="DM70" s="1700">
        <v>144.04</v>
      </c>
      <c r="DN70" s="1700">
        <v>145.74</v>
      </c>
      <c r="DO70" s="1700">
        <v>147.44</v>
      </c>
      <c r="DP70" s="1700">
        <v>149.13</v>
      </c>
      <c r="DQ70" s="1700">
        <v>150.83000000000001</v>
      </c>
      <c r="DR70" s="1700">
        <v>152.52000000000001</v>
      </c>
      <c r="DS70" s="1700"/>
      <c r="DT70" s="1700"/>
      <c r="DU70" s="1700"/>
      <c r="DV70" s="1700"/>
      <c r="DW70" s="1700"/>
      <c r="DX70" s="1700"/>
    </row>
    <row r="71" spans="1:128">
      <c r="A71" s="1622"/>
      <c r="B71" s="1691">
        <f t="shared" ref="B71:B134" si="9">B70+1</f>
        <v>67</v>
      </c>
      <c r="C71" s="1668" t="str">
        <f t="shared" si="6"/>
        <v>180.56</v>
      </c>
      <c r="D71" s="1672">
        <f t="shared" si="7"/>
        <v>252.78</v>
      </c>
      <c r="E71" s="1670"/>
      <c r="F71" s="1671" t="str">
        <f t="shared" si="8"/>
        <v>113.43</v>
      </c>
      <c r="G71" s="1672">
        <f t="shared" si="5"/>
        <v>158.80000000000001</v>
      </c>
      <c r="H71" s="1670"/>
      <c r="I71" s="1670"/>
      <c r="J71" s="1708">
        <v>67</v>
      </c>
      <c r="K71" s="1693">
        <v>131.79</v>
      </c>
      <c r="L71" s="1693">
        <v>134.22999999999999</v>
      </c>
      <c r="M71" s="1693">
        <v>136.66999999999999</v>
      </c>
      <c r="N71" s="1693">
        <v>139.1</v>
      </c>
      <c r="O71" s="1693">
        <v>141.54</v>
      </c>
      <c r="P71" s="1694">
        <v>143.97999999999999</v>
      </c>
      <c r="Q71" s="1694">
        <v>146.41999999999999</v>
      </c>
      <c r="R71" s="1694">
        <v>148.86000000000001</v>
      </c>
      <c r="S71" s="1695">
        <v>151.30000000000001</v>
      </c>
      <c r="T71" s="1696">
        <v>153.74</v>
      </c>
      <c r="U71" s="1696">
        <v>156.18</v>
      </c>
      <c r="V71" s="1695">
        <v>158.61000000000001</v>
      </c>
      <c r="W71" s="1695">
        <v>161.05000000000001</v>
      </c>
      <c r="X71" s="1695">
        <v>163.49</v>
      </c>
      <c r="Y71" s="1697">
        <v>165.93</v>
      </c>
      <c r="Z71" s="1698">
        <v>168.37</v>
      </c>
      <c r="AA71" s="1699">
        <v>170.81</v>
      </c>
      <c r="AB71" s="1699">
        <v>173.25</v>
      </c>
      <c r="AC71" s="1699">
        <v>175.69</v>
      </c>
      <c r="AD71" s="1699">
        <v>178.12</v>
      </c>
      <c r="AE71" s="1699">
        <v>180.56</v>
      </c>
      <c r="AF71" s="1683">
        <v>148.75</v>
      </c>
      <c r="AG71" s="1683">
        <v>151.19</v>
      </c>
      <c r="AH71" s="1683">
        <v>153.63</v>
      </c>
      <c r="AI71" s="1683">
        <v>156.07</v>
      </c>
      <c r="AJ71" s="1701">
        <v>158.51</v>
      </c>
      <c r="AK71" s="1701">
        <v>160.94999999999999</v>
      </c>
      <c r="AL71" s="1701">
        <v>163.38</v>
      </c>
      <c r="AM71" s="1701">
        <v>165.82</v>
      </c>
      <c r="AN71" s="1701">
        <v>168.26</v>
      </c>
      <c r="AO71" s="1702">
        <v>170.7</v>
      </c>
      <c r="AP71" s="1700">
        <v>173.14</v>
      </c>
      <c r="AQ71" s="1700">
        <v>175.58</v>
      </c>
      <c r="AR71" s="1683">
        <v>178.02</v>
      </c>
      <c r="AS71" s="1700">
        <v>180.46</v>
      </c>
      <c r="AT71" s="1683">
        <v>182.89</v>
      </c>
      <c r="AU71" s="1700">
        <v>185.33</v>
      </c>
      <c r="AV71" s="1683">
        <v>187.77</v>
      </c>
      <c r="AW71" s="1683">
        <v>190.21</v>
      </c>
      <c r="AX71" s="1683">
        <v>192.65</v>
      </c>
      <c r="AY71" s="1683">
        <v>195.09</v>
      </c>
      <c r="AZ71" s="1683">
        <v>197.53</v>
      </c>
      <c r="BA71" s="1683">
        <v>199.97</v>
      </c>
      <c r="BB71" s="1700">
        <v>202.4</v>
      </c>
      <c r="BC71" s="1683">
        <v>204.84</v>
      </c>
      <c r="BD71" s="1700">
        <v>207.28</v>
      </c>
      <c r="BE71" s="1683">
        <v>209.72</v>
      </c>
      <c r="BF71" s="1683">
        <v>212.16</v>
      </c>
      <c r="BG71" s="1683">
        <v>214.6</v>
      </c>
      <c r="BH71" s="1683">
        <v>217.04</v>
      </c>
      <c r="BI71" s="1683">
        <v>219.48</v>
      </c>
      <c r="BJ71" s="1683">
        <v>221.92</v>
      </c>
      <c r="BK71" s="1683">
        <v>224.35</v>
      </c>
      <c r="BL71" s="1683">
        <v>226.79</v>
      </c>
      <c r="BM71" s="1683">
        <v>229.23</v>
      </c>
      <c r="BN71" s="1683"/>
      <c r="BO71" s="1703">
        <v>67</v>
      </c>
      <c r="BP71" s="1693">
        <v>78.989999999999995</v>
      </c>
      <c r="BQ71" s="1693">
        <v>80.709999999999994</v>
      </c>
      <c r="BR71" s="1693">
        <v>82.43</v>
      </c>
      <c r="BS71" s="1693">
        <v>84.15</v>
      </c>
      <c r="BT71" s="1693">
        <v>85.88</v>
      </c>
      <c r="BU71" s="1694">
        <v>87.6</v>
      </c>
      <c r="BV71" s="1694">
        <v>89.32</v>
      </c>
      <c r="BW71" s="1694">
        <v>91.04</v>
      </c>
      <c r="BX71" s="1695">
        <v>92.76</v>
      </c>
      <c r="BY71" s="1696">
        <v>94.49</v>
      </c>
      <c r="BZ71" s="1696">
        <v>96.21</v>
      </c>
      <c r="CA71" s="1695">
        <v>97.93</v>
      </c>
      <c r="CB71" s="1695">
        <v>99.65</v>
      </c>
      <c r="CC71" s="1704">
        <v>101.37</v>
      </c>
      <c r="CD71" s="1697">
        <v>103.01</v>
      </c>
      <c r="CE71" s="1698">
        <v>104.82</v>
      </c>
      <c r="CF71" s="1699">
        <v>106.54</v>
      </c>
      <c r="CG71" s="1699">
        <v>108.26</v>
      </c>
      <c r="CH71" s="1699">
        <v>109.98</v>
      </c>
      <c r="CI71" s="1699">
        <v>111.7</v>
      </c>
      <c r="CJ71" s="1699">
        <v>113.43</v>
      </c>
      <c r="CK71" s="1700">
        <v>98</v>
      </c>
      <c r="CL71" s="1700">
        <v>99.73</v>
      </c>
      <c r="CM71" s="1700">
        <v>101.45</v>
      </c>
      <c r="CN71" s="1700">
        <v>103.17</v>
      </c>
      <c r="CO71" s="1705">
        <v>104.89</v>
      </c>
      <c r="CP71" s="1706">
        <v>106.61</v>
      </c>
      <c r="CQ71" s="1701">
        <v>108.33</v>
      </c>
      <c r="CR71" s="1701">
        <v>110.06</v>
      </c>
      <c r="CS71" s="1707">
        <v>111.78</v>
      </c>
      <c r="CT71" s="1700">
        <v>113.5</v>
      </c>
      <c r="CU71" s="1700">
        <v>115.22</v>
      </c>
      <c r="CV71" s="1700">
        <v>116.94</v>
      </c>
      <c r="CW71" s="1700">
        <v>118.67</v>
      </c>
      <c r="CX71" s="1700">
        <v>120.39</v>
      </c>
      <c r="CY71" s="1700">
        <v>122.11</v>
      </c>
      <c r="CZ71" s="1700">
        <v>123.83</v>
      </c>
      <c r="DA71" s="1700">
        <v>125.55</v>
      </c>
      <c r="DB71" s="1700">
        <v>127.28</v>
      </c>
      <c r="DC71" s="1700">
        <v>129</v>
      </c>
      <c r="DD71" s="1700">
        <v>130.72</v>
      </c>
      <c r="DE71" s="1700">
        <v>132.44</v>
      </c>
      <c r="DF71" s="1700">
        <v>134.16</v>
      </c>
      <c r="DG71" s="1700">
        <v>135.88999999999999</v>
      </c>
      <c r="DH71" s="1700">
        <v>137.61000000000001</v>
      </c>
      <c r="DI71" s="1700">
        <v>139.33000000000001</v>
      </c>
      <c r="DJ71" s="1700">
        <v>141.05000000000001</v>
      </c>
      <c r="DK71" s="1700">
        <v>142.77000000000001</v>
      </c>
      <c r="DL71" s="1700">
        <v>144.49</v>
      </c>
      <c r="DM71" s="1700">
        <v>146.22</v>
      </c>
      <c r="DN71" s="1700">
        <v>147.97</v>
      </c>
      <c r="DO71" s="1700">
        <v>149.66</v>
      </c>
      <c r="DP71" s="1700">
        <v>151.38</v>
      </c>
      <c r="DQ71" s="1700">
        <v>153.1</v>
      </c>
      <c r="DR71" s="1700">
        <v>154.83000000000001</v>
      </c>
      <c r="DS71" s="1700"/>
      <c r="DT71" s="1700"/>
      <c r="DU71" s="1700"/>
      <c r="DV71" s="1700"/>
      <c r="DW71" s="1700"/>
      <c r="DX71" s="1700"/>
    </row>
    <row r="72" spans="1:128">
      <c r="A72" s="1622"/>
      <c r="B72" s="1691">
        <f t="shared" si="9"/>
        <v>68</v>
      </c>
      <c r="C72" s="1668" t="str">
        <f t="shared" si="6"/>
        <v>183.2</v>
      </c>
      <c r="D72" s="1672">
        <f t="shared" si="7"/>
        <v>256.48</v>
      </c>
      <c r="E72" s="1670"/>
      <c r="F72" s="1671" t="str">
        <f t="shared" si="8"/>
        <v>115.11</v>
      </c>
      <c r="G72" s="1672">
        <f t="shared" si="5"/>
        <v>161.15</v>
      </c>
      <c r="H72" s="1670"/>
      <c r="I72" s="1670"/>
      <c r="J72" s="1708">
        <v>68</v>
      </c>
      <c r="K72" s="1693">
        <v>133.69</v>
      </c>
      <c r="L72" s="1693">
        <v>136.16999999999999</v>
      </c>
      <c r="M72" s="1693">
        <v>138.63999999999999</v>
      </c>
      <c r="N72" s="1693">
        <v>141.12</v>
      </c>
      <c r="O72" s="1693">
        <v>143.59</v>
      </c>
      <c r="P72" s="1694">
        <v>146.07</v>
      </c>
      <c r="Q72" s="1694">
        <v>148.54</v>
      </c>
      <c r="R72" s="1694">
        <v>151.02000000000001</v>
      </c>
      <c r="S72" s="1695">
        <v>153.49</v>
      </c>
      <c r="T72" s="1696">
        <v>155.97</v>
      </c>
      <c r="U72" s="1696">
        <v>158.44</v>
      </c>
      <c r="V72" s="1695">
        <v>160.91999999999999</v>
      </c>
      <c r="W72" s="1695">
        <v>163.38999999999999</v>
      </c>
      <c r="X72" s="1695">
        <v>165.87</v>
      </c>
      <c r="Y72" s="1697">
        <v>168.34</v>
      </c>
      <c r="Z72" s="1698">
        <v>170.82</v>
      </c>
      <c r="AA72" s="1699">
        <v>173.29</v>
      </c>
      <c r="AB72" s="1699">
        <v>175.77</v>
      </c>
      <c r="AC72" s="1699">
        <v>178.25</v>
      </c>
      <c r="AD72" s="1699">
        <v>180.72</v>
      </c>
      <c r="AE72" s="1699">
        <v>183.2</v>
      </c>
      <c r="AF72" s="1700">
        <v>150.93</v>
      </c>
      <c r="AG72" s="1700">
        <v>153.41</v>
      </c>
      <c r="AH72" s="1700">
        <v>155.88999999999999</v>
      </c>
      <c r="AI72" s="1700">
        <v>158.36000000000001</v>
      </c>
      <c r="AJ72" s="1701">
        <v>160.84</v>
      </c>
      <c r="AK72" s="1701">
        <v>163.31</v>
      </c>
      <c r="AL72" s="1701">
        <v>165.79</v>
      </c>
      <c r="AM72" s="1701">
        <v>168.26</v>
      </c>
      <c r="AN72" s="1701">
        <v>170.74</v>
      </c>
      <c r="AO72" s="1702">
        <v>173.21</v>
      </c>
      <c r="AP72" s="1700">
        <v>175.69</v>
      </c>
      <c r="AQ72" s="1700">
        <v>178.16</v>
      </c>
      <c r="AR72" s="1700">
        <v>180.64</v>
      </c>
      <c r="AS72" s="1700">
        <v>183.11</v>
      </c>
      <c r="AT72" s="1700">
        <v>185.59</v>
      </c>
      <c r="AU72" s="1700">
        <v>188.06</v>
      </c>
      <c r="AV72" s="1700">
        <v>190.54</v>
      </c>
      <c r="AW72" s="1700">
        <v>193.01</v>
      </c>
      <c r="AX72" s="1700">
        <v>195.49</v>
      </c>
      <c r="AY72" s="1700">
        <v>197.96</v>
      </c>
      <c r="AZ72" s="1700">
        <v>200.44</v>
      </c>
      <c r="BA72" s="1700">
        <v>202.91</v>
      </c>
      <c r="BB72" s="1700">
        <v>205.39</v>
      </c>
      <c r="BC72" s="1700">
        <v>207.86</v>
      </c>
      <c r="BD72" s="1700">
        <v>210.34</v>
      </c>
      <c r="BE72" s="1700">
        <v>212.81</v>
      </c>
      <c r="BF72" s="1700">
        <v>215.29</v>
      </c>
      <c r="BG72" s="1700">
        <v>217.77</v>
      </c>
      <c r="BH72" s="1700">
        <v>220.24</v>
      </c>
      <c r="BI72" s="1700">
        <v>222.72</v>
      </c>
      <c r="BJ72" s="1700">
        <v>225.19</v>
      </c>
      <c r="BK72" s="1700">
        <v>227.67</v>
      </c>
      <c r="BL72" s="1700">
        <v>230.14</v>
      </c>
      <c r="BM72" s="1700">
        <v>232.62</v>
      </c>
      <c r="BN72" s="1700"/>
      <c r="BO72" s="1703">
        <v>68</v>
      </c>
      <c r="BP72" s="1693">
        <v>80.16</v>
      </c>
      <c r="BQ72" s="1693">
        <v>81.900000000000006</v>
      </c>
      <c r="BR72" s="1693">
        <v>83.65</v>
      </c>
      <c r="BS72" s="1693">
        <v>85.4</v>
      </c>
      <c r="BT72" s="1693">
        <v>87.15</v>
      </c>
      <c r="BU72" s="1694">
        <v>88.89</v>
      </c>
      <c r="BV72" s="1694">
        <v>90.64</v>
      </c>
      <c r="BW72" s="1694">
        <v>92.39</v>
      </c>
      <c r="BX72" s="1695">
        <v>94.14</v>
      </c>
      <c r="BY72" s="1696">
        <v>95.88</v>
      </c>
      <c r="BZ72" s="1696">
        <v>97.63</v>
      </c>
      <c r="CA72" s="1695">
        <v>99.38</v>
      </c>
      <c r="CB72" s="1695">
        <v>101.13</v>
      </c>
      <c r="CC72" s="1704">
        <v>102.87</v>
      </c>
      <c r="CD72" s="1697">
        <v>104.62</v>
      </c>
      <c r="CE72" s="1698">
        <v>106.37</v>
      </c>
      <c r="CF72" s="1699">
        <v>108.12</v>
      </c>
      <c r="CG72" s="1699">
        <v>109.86</v>
      </c>
      <c r="CH72" s="1699">
        <v>111.61</v>
      </c>
      <c r="CI72" s="1699">
        <v>113.36</v>
      </c>
      <c r="CJ72" s="1699">
        <v>115.11</v>
      </c>
      <c r="CK72" s="1700">
        <v>99.46</v>
      </c>
      <c r="CL72" s="1700">
        <v>101.21</v>
      </c>
      <c r="CM72" s="1700">
        <v>102.95</v>
      </c>
      <c r="CN72" s="1700">
        <v>104.7</v>
      </c>
      <c r="CO72" s="1705">
        <v>106.45</v>
      </c>
      <c r="CP72" s="1706">
        <v>108.2</v>
      </c>
      <c r="CQ72" s="1701">
        <v>109.94</v>
      </c>
      <c r="CR72" s="1701">
        <v>111.69</v>
      </c>
      <c r="CS72" s="1707">
        <v>113.44</v>
      </c>
      <c r="CT72" s="1700">
        <v>115.19</v>
      </c>
      <c r="CU72" s="1700">
        <v>116.93</v>
      </c>
      <c r="CV72" s="1700">
        <v>118.68</v>
      </c>
      <c r="CW72" s="1700">
        <v>120.43</v>
      </c>
      <c r="CX72" s="1700">
        <v>122.18</v>
      </c>
      <c r="CY72" s="1700">
        <v>123.92</v>
      </c>
      <c r="CZ72" s="1700">
        <v>125.67</v>
      </c>
      <c r="DA72" s="1700">
        <v>127.42</v>
      </c>
      <c r="DB72" s="1700">
        <v>129.16999999999999</v>
      </c>
      <c r="DC72" s="1700">
        <v>130.91</v>
      </c>
      <c r="DD72" s="1700">
        <v>132.66</v>
      </c>
      <c r="DE72" s="1700">
        <v>134.41</v>
      </c>
      <c r="DF72" s="1700">
        <v>136.16</v>
      </c>
      <c r="DG72" s="1700">
        <v>137.91</v>
      </c>
      <c r="DH72" s="1700">
        <v>139.65</v>
      </c>
      <c r="DI72" s="1700">
        <v>141.4</v>
      </c>
      <c r="DJ72" s="1700">
        <v>143.15</v>
      </c>
      <c r="DK72" s="1700">
        <v>144.9</v>
      </c>
      <c r="DL72" s="1700">
        <v>146.63999999999999</v>
      </c>
      <c r="DM72" s="1700">
        <v>148.38999999999999</v>
      </c>
      <c r="DN72" s="1700">
        <v>150.13999999999999</v>
      </c>
      <c r="DO72" s="1700">
        <v>151.88999999999999</v>
      </c>
      <c r="DP72" s="1700">
        <v>153.63</v>
      </c>
      <c r="DQ72" s="1700">
        <v>155.38</v>
      </c>
      <c r="DR72" s="1700">
        <v>157.13</v>
      </c>
      <c r="DS72" s="1700"/>
      <c r="DT72" s="1700"/>
      <c r="DU72" s="1700"/>
      <c r="DV72" s="1700"/>
      <c r="DW72" s="1700"/>
      <c r="DX72" s="1700"/>
    </row>
    <row r="73" spans="1:128">
      <c r="A73" s="1622"/>
      <c r="B73" s="1691">
        <f t="shared" si="9"/>
        <v>69</v>
      </c>
      <c r="C73" s="1668" t="str">
        <f t="shared" si="6"/>
        <v>185.92</v>
      </c>
      <c r="D73" s="1672">
        <f t="shared" si="7"/>
        <v>260.29000000000002</v>
      </c>
      <c r="E73" s="1670"/>
      <c r="F73" s="1671" t="str">
        <f t="shared" si="8"/>
        <v>116.79</v>
      </c>
      <c r="G73" s="1672">
        <f t="shared" si="5"/>
        <v>163.51</v>
      </c>
      <c r="H73" s="1670"/>
      <c r="I73" s="1670"/>
      <c r="J73" s="1708">
        <v>69</v>
      </c>
      <c r="K73" s="1693">
        <v>135.69</v>
      </c>
      <c r="L73" s="1693">
        <v>138.19999999999999</v>
      </c>
      <c r="M73" s="1693">
        <v>140.71</v>
      </c>
      <c r="N73" s="1693">
        <v>143.22</v>
      </c>
      <c r="O73" s="1693">
        <v>145.74</v>
      </c>
      <c r="P73" s="1694">
        <v>148.25</v>
      </c>
      <c r="Q73" s="1694">
        <v>150.76</v>
      </c>
      <c r="R73" s="1694">
        <v>153.27000000000001</v>
      </c>
      <c r="S73" s="1695">
        <v>155.78</v>
      </c>
      <c r="T73" s="1696">
        <v>158.29</v>
      </c>
      <c r="U73" s="1696">
        <v>160.81</v>
      </c>
      <c r="V73" s="1695">
        <v>163.32</v>
      </c>
      <c r="W73" s="1695">
        <v>165.83</v>
      </c>
      <c r="X73" s="1695">
        <v>168.34</v>
      </c>
      <c r="Y73" s="1697">
        <v>170.85</v>
      </c>
      <c r="Z73" s="1698">
        <v>173.36</v>
      </c>
      <c r="AA73" s="1699">
        <v>175.87</v>
      </c>
      <c r="AB73" s="1699">
        <v>178.39</v>
      </c>
      <c r="AC73" s="1699">
        <v>180.9</v>
      </c>
      <c r="AD73" s="1699">
        <v>183.41</v>
      </c>
      <c r="AE73" s="1699">
        <v>185.92</v>
      </c>
      <c r="AF73" s="1700">
        <v>153.16999999999999</v>
      </c>
      <c r="AG73" s="1700">
        <v>155.68</v>
      </c>
      <c r="AH73" s="1700">
        <v>158.19999999999999</v>
      </c>
      <c r="AI73" s="1700">
        <v>160.71</v>
      </c>
      <c r="AJ73" s="1701">
        <v>163.22</v>
      </c>
      <c r="AK73" s="1701">
        <v>165.73</v>
      </c>
      <c r="AL73" s="1701">
        <v>168.24</v>
      </c>
      <c r="AM73" s="1701">
        <v>170.75</v>
      </c>
      <c r="AN73" s="1701">
        <v>173.27</v>
      </c>
      <c r="AO73" s="1702">
        <v>175.78</v>
      </c>
      <c r="AP73" s="1700">
        <v>178.29</v>
      </c>
      <c r="AQ73" s="1700">
        <v>180.8</v>
      </c>
      <c r="AR73" s="1683">
        <v>183.31</v>
      </c>
      <c r="AS73" s="1700">
        <v>185.82</v>
      </c>
      <c r="AT73" s="1700">
        <v>188.33</v>
      </c>
      <c r="AU73" s="1700">
        <v>190.85</v>
      </c>
      <c r="AV73" s="1700">
        <v>193.36</v>
      </c>
      <c r="AW73" s="1700">
        <v>195.87</v>
      </c>
      <c r="AX73" s="1700">
        <v>198.38</v>
      </c>
      <c r="AY73" s="1700">
        <v>200.89</v>
      </c>
      <c r="AZ73" s="1700">
        <v>203.4</v>
      </c>
      <c r="BA73" s="1700">
        <v>205.92</v>
      </c>
      <c r="BB73" s="1683">
        <v>208.43</v>
      </c>
      <c r="BC73" s="1700">
        <v>210.94</v>
      </c>
      <c r="BD73" s="1683">
        <v>213.45</v>
      </c>
      <c r="BE73" s="1700">
        <v>215.96</v>
      </c>
      <c r="BF73" s="1700">
        <v>218.47</v>
      </c>
      <c r="BG73" s="1700">
        <v>220.99</v>
      </c>
      <c r="BH73" s="1700">
        <v>223.5</v>
      </c>
      <c r="BI73" s="1700">
        <v>226.01</v>
      </c>
      <c r="BJ73" s="1700">
        <v>228.52</v>
      </c>
      <c r="BK73" s="1700">
        <v>231.03</v>
      </c>
      <c r="BL73" s="1700">
        <v>233.54</v>
      </c>
      <c r="BM73" s="1700">
        <v>236.06</v>
      </c>
      <c r="BN73" s="1700"/>
      <c r="BO73" s="1703">
        <v>69</v>
      </c>
      <c r="BP73" s="1693">
        <v>81.319999999999993</v>
      </c>
      <c r="BQ73" s="1693">
        <v>83.1</v>
      </c>
      <c r="BR73" s="1693">
        <v>84.87</v>
      </c>
      <c r="BS73" s="1693">
        <v>86.64</v>
      </c>
      <c r="BT73" s="1693">
        <v>88.42</v>
      </c>
      <c r="BU73" s="1694">
        <v>90.19</v>
      </c>
      <c r="BV73" s="1694">
        <v>91.96</v>
      </c>
      <c r="BW73" s="1694">
        <v>93.74</v>
      </c>
      <c r="BX73" s="1695">
        <v>95.51</v>
      </c>
      <c r="BY73" s="1696">
        <v>97.28</v>
      </c>
      <c r="BZ73" s="1696">
        <v>99.06</v>
      </c>
      <c r="CA73" s="1695">
        <v>100.83</v>
      </c>
      <c r="CB73" s="1695">
        <v>102.6</v>
      </c>
      <c r="CC73" s="1704">
        <v>104.38</v>
      </c>
      <c r="CD73" s="1697">
        <v>106.15</v>
      </c>
      <c r="CE73" s="1698">
        <v>107.92</v>
      </c>
      <c r="CF73" s="1699">
        <v>109.7</v>
      </c>
      <c r="CG73" s="1699">
        <v>111.47</v>
      </c>
      <c r="CH73" s="1699">
        <v>113.24</v>
      </c>
      <c r="CI73" s="1699">
        <v>115.02</v>
      </c>
      <c r="CJ73" s="1699">
        <v>116.79</v>
      </c>
      <c r="CK73" s="1700">
        <v>100.91</v>
      </c>
      <c r="CL73" s="1700">
        <v>102.69</v>
      </c>
      <c r="CM73" s="1700">
        <v>104.46</v>
      </c>
      <c r="CN73" s="1700">
        <v>106.23</v>
      </c>
      <c r="CO73" s="1705">
        <v>108.01</v>
      </c>
      <c r="CP73" s="1706">
        <v>109.78</v>
      </c>
      <c r="CQ73" s="1701">
        <v>111.55</v>
      </c>
      <c r="CR73" s="1701">
        <v>113.33</v>
      </c>
      <c r="CS73" s="1707">
        <v>115.1</v>
      </c>
      <c r="CT73" s="1700">
        <v>116.87</v>
      </c>
      <c r="CU73" s="1700">
        <v>118.65</v>
      </c>
      <c r="CV73" s="1700">
        <v>120.42</v>
      </c>
      <c r="CW73" s="1700">
        <v>122.19</v>
      </c>
      <c r="CX73" s="1700">
        <v>123.97</v>
      </c>
      <c r="CY73" s="1700">
        <v>125.74</v>
      </c>
      <c r="CZ73" s="1700">
        <v>127.51</v>
      </c>
      <c r="DA73" s="1700">
        <v>129.29</v>
      </c>
      <c r="DB73" s="1700">
        <v>131.06</v>
      </c>
      <c r="DC73" s="1700">
        <v>132.83000000000001</v>
      </c>
      <c r="DD73" s="1700">
        <v>134.61000000000001</v>
      </c>
      <c r="DE73" s="1700">
        <v>136.38</v>
      </c>
      <c r="DF73" s="1700">
        <v>138.15</v>
      </c>
      <c r="DG73" s="1700">
        <v>139.93</v>
      </c>
      <c r="DH73" s="1700">
        <v>141.69999999999999</v>
      </c>
      <c r="DI73" s="1700">
        <v>143.47</v>
      </c>
      <c r="DJ73" s="1700">
        <v>145.25</v>
      </c>
      <c r="DK73" s="1700">
        <v>147.02000000000001</v>
      </c>
      <c r="DL73" s="1700">
        <v>148.79</v>
      </c>
      <c r="DM73" s="1700">
        <v>150.57</v>
      </c>
      <c r="DN73" s="1700">
        <v>152.34</v>
      </c>
      <c r="DO73" s="1700">
        <v>154.11000000000001</v>
      </c>
      <c r="DP73" s="1700">
        <v>155.88999999999999</v>
      </c>
      <c r="DQ73" s="1700">
        <v>157.66</v>
      </c>
      <c r="DR73" s="1700">
        <v>159.43</v>
      </c>
      <c r="DS73" s="1700"/>
      <c r="DT73" s="1700"/>
      <c r="DU73" s="1700"/>
      <c r="DV73" s="1700"/>
      <c r="DW73" s="1700"/>
      <c r="DX73" s="1700"/>
    </row>
    <row r="74" spans="1:128">
      <c r="A74" s="1622"/>
      <c r="B74" s="1691">
        <f t="shared" si="9"/>
        <v>70</v>
      </c>
      <c r="C74" s="1668" t="str">
        <f t="shared" si="6"/>
        <v>188.58</v>
      </c>
      <c r="D74" s="1672">
        <f t="shared" si="7"/>
        <v>264.01</v>
      </c>
      <c r="E74" s="1670"/>
      <c r="F74" s="1671" t="str">
        <f t="shared" si="8"/>
        <v>118.48</v>
      </c>
      <c r="G74" s="1672">
        <f t="shared" si="5"/>
        <v>165.87</v>
      </c>
      <c r="H74" s="1670"/>
      <c r="I74" s="1670"/>
      <c r="J74" s="1708">
        <v>70</v>
      </c>
      <c r="K74" s="1693">
        <v>137.62</v>
      </c>
      <c r="L74" s="1693">
        <v>140.16</v>
      </c>
      <c r="M74" s="1693">
        <v>142.71</v>
      </c>
      <c r="N74" s="1693">
        <v>145.26</v>
      </c>
      <c r="O74" s="1693">
        <v>147.81</v>
      </c>
      <c r="P74" s="1694">
        <v>150.36000000000001</v>
      </c>
      <c r="Q74" s="1694">
        <v>152.9</v>
      </c>
      <c r="R74" s="1694">
        <v>155.44999999999999</v>
      </c>
      <c r="S74" s="1695">
        <v>158</v>
      </c>
      <c r="T74" s="1696">
        <v>160.55000000000001</v>
      </c>
      <c r="U74" s="1696">
        <v>163.1</v>
      </c>
      <c r="V74" s="1695">
        <v>165.64</v>
      </c>
      <c r="W74" s="1695">
        <v>168.19</v>
      </c>
      <c r="X74" s="1695">
        <v>170.74</v>
      </c>
      <c r="Y74" s="1697">
        <v>173.29</v>
      </c>
      <c r="Z74" s="1698">
        <v>175.84</v>
      </c>
      <c r="AA74" s="1699">
        <v>178.38</v>
      </c>
      <c r="AB74" s="1699">
        <v>180.93</v>
      </c>
      <c r="AC74" s="1699">
        <v>183.48</v>
      </c>
      <c r="AD74" s="1699">
        <v>186.03</v>
      </c>
      <c r="AE74" s="1699">
        <v>188.58</v>
      </c>
      <c r="AF74" s="1683">
        <v>155.37</v>
      </c>
      <c r="AG74" s="1683">
        <v>157.91999999999999</v>
      </c>
      <c r="AH74" s="1683">
        <v>160.47</v>
      </c>
      <c r="AI74" s="1683">
        <v>163.01</v>
      </c>
      <c r="AJ74" s="1701">
        <v>165.56</v>
      </c>
      <c r="AK74" s="1701">
        <v>168.11</v>
      </c>
      <c r="AL74" s="1701">
        <v>170.66</v>
      </c>
      <c r="AM74" s="1701">
        <v>173.21</v>
      </c>
      <c r="AN74" s="1701">
        <v>175.75</v>
      </c>
      <c r="AO74" s="1702">
        <v>178.3</v>
      </c>
      <c r="AP74" s="1700">
        <v>180.85</v>
      </c>
      <c r="AQ74" s="1700">
        <v>183.4</v>
      </c>
      <c r="AR74" s="1700">
        <v>185.95</v>
      </c>
      <c r="AS74" s="1700">
        <v>188.49</v>
      </c>
      <c r="AT74" s="1683">
        <v>191.04</v>
      </c>
      <c r="AU74" s="1700">
        <v>193.59</v>
      </c>
      <c r="AV74" s="1683">
        <v>196.14</v>
      </c>
      <c r="AW74" s="1683">
        <v>198.69</v>
      </c>
      <c r="AX74" s="1683">
        <v>201.23</v>
      </c>
      <c r="AY74" s="1683">
        <v>203.78</v>
      </c>
      <c r="AZ74" s="1683">
        <v>206.33</v>
      </c>
      <c r="BA74" s="1683">
        <v>208.88</v>
      </c>
      <c r="BB74" s="1700">
        <v>211.43</v>
      </c>
      <c r="BC74" s="1683">
        <v>213.97</v>
      </c>
      <c r="BD74" s="1700">
        <v>216.52</v>
      </c>
      <c r="BE74" s="1683">
        <v>219.07</v>
      </c>
      <c r="BF74" s="1683">
        <v>221.62</v>
      </c>
      <c r="BG74" s="1683">
        <v>224.17</v>
      </c>
      <c r="BH74" s="1683">
        <v>226.71</v>
      </c>
      <c r="BI74" s="1683">
        <v>229.26</v>
      </c>
      <c r="BJ74" s="1683">
        <v>231.81</v>
      </c>
      <c r="BK74" s="1683">
        <v>234.36</v>
      </c>
      <c r="BL74" s="1683">
        <v>236.91</v>
      </c>
      <c r="BM74" s="1683">
        <v>239.45</v>
      </c>
      <c r="BN74" s="1683"/>
      <c r="BO74" s="1703">
        <v>70</v>
      </c>
      <c r="BP74" s="1693">
        <v>82.5</v>
      </c>
      <c r="BQ74" s="1693">
        <v>84.3</v>
      </c>
      <c r="BR74" s="1693">
        <v>86.09</v>
      </c>
      <c r="BS74" s="1693">
        <v>87.89</v>
      </c>
      <c r="BT74" s="1693">
        <v>89.69</v>
      </c>
      <c r="BU74" s="1694">
        <v>91.49</v>
      </c>
      <c r="BV74" s="1694">
        <v>93.29</v>
      </c>
      <c r="BW74" s="1694">
        <v>95.09</v>
      </c>
      <c r="BX74" s="1695">
        <v>96.89</v>
      </c>
      <c r="BY74" s="1696">
        <v>98.69</v>
      </c>
      <c r="BZ74" s="1696">
        <v>100.49</v>
      </c>
      <c r="CA74" s="1695">
        <v>102.29</v>
      </c>
      <c r="CB74" s="1695">
        <v>104.08</v>
      </c>
      <c r="CC74" s="1704">
        <v>105.88</v>
      </c>
      <c r="CD74" s="1697">
        <v>107.68</v>
      </c>
      <c r="CE74" s="1698">
        <v>109.48</v>
      </c>
      <c r="CF74" s="1699">
        <v>111.28</v>
      </c>
      <c r="CG74" s="1699">
        <v>113.08</v>
      </c>
      <c r="CH74" s="1699">
        <v>114.88</v>
      </c>
      <c r="CI74" s="1699">
        <v>116.68</v>
      </c>
      <c r="CJ74" s="1699">
        <v>118.48</v>
      </c>
      <c r="CK74" s="1700">
        <v>102.37</v>
      </c>
      <c r="CL74" s="1700">
        <v>104.17</v>
      </c>
      <c r="CM74" s="1700">
        <v>105.97</v>
      </c>
      <c r="CN74" s="1700">
        <v>107.77</v>
      </c>
      <c r="CO74" s="1705">
        <v>109.57</v>
      </c>
      <c r="CP74" s="1706">
        <v>111.37</v>
      </c>
      <c r="CQ74" s="1701">
        <v>113.17</v>
      </c>
      <c r="CR74" s="1701">
        <v>114.97</v>
      </c>
      <c r="CS74" s="1707">
        <v>116.77</v>
      </c>
      <c r="CT74" s="1700">
        <v>118.56</v>
      </c>
      <c r="CU74" s="1700">
        <v>120.36</v>
      </c>
      <c r="CV74" s="1700">
        <v>122.16</v>
      </c>
      <c r="CW74" s="1700">
        <v>123.96</v>
      </c>
      <c r="CX74" s="1700">
        <v>125.76</v>
      </c>
      <c r="CY74" s="1700">
        <v>127.56</v>
      </c>
      <c r="CZ74" s="1700">
        <v>129.36000000000001</v>
      </c>
      <c r="DA74" s="1700">
        <v>131.16</v>
      </c>
      <c r="DB74" s="1700">
        <v>132.96</v>
      </c>
      <c r="DC74" s="1700">
        <v>134.76</v>
      </c>
      <c r="DD74" s="1700">
        <v>136.55000000000001</v>
      </c>
      <c r="DE74" s="1700">
        <v>138.35</v>
      </c>
      <c r="DF74" s="1700">
        <v>140.15</v>
      </c>
      <c r="DG74" s="1700">
        <v>141.94999999999999</v>
      </c>
      <c r="DH74" s="1700">
        <v>143.75</v>
      </c>
      <c r="DI74" s="1700">
        <v>145.55000000000001</v>
      </c>
      <c r="DJ74" s="1700">
        <v>147.35</v>
      </c>
      <c r="DK74" s="1700">
        <v>149.15</v>
      </c>
      <c r="DL74" s="1700">
        <v>150.94999999999999</v>
      </c>
      <c r="DM74" s="1700">
        <v>152.75</v>
      </c>
      <c r="DN74" s="1700">
        <v>154.54</v>
      </c>
      <c r="DO74" s="1700">
        <v>156.34</v>
      </c>
      <c r="DP74" s="1700">
        <v>158.13999999999999</v>
      </c>
      <c r="DQ74" s="1700">
        <v>159.94</v>
      </c>
      <c r="DR74" s="1700">
        <v>161.74</v>
      </c>
      <c r="DS74" s="1700"/>
      <c r="DT74" s="1700"/>
      <c r="DU74" s="1700"/>
      <c r="DV74" s="1700"/>
      <c r="DW74" s="1700"/>
      <c r="DX74" s="1700"/>
    </row>
    <row r="75" spans="1:128">
      <c r="A75" s="1622"/>
      <c r="B75" s="1691">
        <f t="shared" si="9"/>
        <v>71</v>
      </c>
      <c r="C75" s="1668" t="str">
        <f t="shared" si="6"/>
        <v>191.24</v>
      </c>
      <c r="D75" s="1672">
        <f t="shared" si="7"/>
        <v>267.74</v>
      </c>
      <c r="E75" s="1670"/>
      <c r="F75" s="1671" t="str">
        <f t="shared" si="8"/>
        <v>120.17</v>
      </c>
      <c r="G75" s="1672">
        <f t="shared" si="5"/>
        <v>168.24</v>
      </c>
      <c r="H75" s="1670"/>
      <c r="I75" s="1670"/>
      <c r="J75" s="1708">
        <v>71</v>
      </c>
      <c r="K75" s="1693">
        <v>139.56</v>
      </c>
      <c r="L75" s="1693">
        <v>142.13999999999999</v>
      </c>
      <c r="M75" s="1693">
        <v>144.72</v>
      </c>
      <c r="N75" s="1693">
        <v>147.31</v>
      </c>
      <c r="O75" s="1693">
        <v>149.88999999999999</v>
      </c>
      <c r="P75" s="1694">
        <v>152.47999999999999</v>
      </c>
      <c r="Q75" s="1694">
        <v>155.06</v>
      </c>
      <c r="R75" s="1694">
        <v>157.65</v>
      </c>
      <c r="S75" s="1695">
        <v>160.22999999999999</v>
      </c>
      <c r="T75" s="1696">
        <v>162.82</v>
      </c>
      <c r="U75" s="1696">
        <v>165.4</v>
      </c>
      <c r="V75" s="1695">
        <v>167.98</v>
      </c>
      <c r="W75" s="1695">
        <v>170.57</v>
      </c>
      <c r="X75" s="1695">
        <v>173.15</v>
      </c>
      <c r="Y75" s="1697">
        <v>175.74</v>
      </c>
      <c r="Z75" s="1698">
        <v>178.32</v>
      </c>
      <c r="AA75" s="1699">
        <v>180.91</v>
      </c>
      <c r="AB75" s="1699">
        <v>183.49</v>
      </c>
      <c r="AC75" s="1699">
        <v>186.07</v>
      </c>
      <c r="AD75" s="1699">
        <v>188.66</v>
      </c>
      <c r="AE75" s="1699">
        <v>191.24</v>
      </c>
      <c r="AF75" s="1700">
        <v>157.57</v>
      </c>
      <c r="AG75" s="1700">
        <v>160.16</v>
      </c>
      <c r="AH75" s="1700">
        <v>162.74</v>
      </c>
      <c r="AI75" s="1700">
        <v>165.33</v>
      </c>
      <c r="AJ75" s="1701">
        <v>167.91</v>
      </c>
      <c r="AK75" s="1701">
        <v>170.5</v>
      </c>
      <c r="AL75" s="1701">
        <v>173.08</v>
      </c>
      <c r="AM75" s="1701">
        <v>175.66</v>
      </c>
      <c r="AN75" s="1701">
        <v>178.25</v>
      </c>
      <c r="AO75" s="1702">
        <v>180.83</v>
      </c>
      <c r="AP75" s="1700">
        <v>183.42</v>
      </c>
      <c r="AQ75" s="1700">
        <v>186</v>
      </c>
      <c r="AR75" s="1683">
        <v>188.59</v>
      </c>
      <c r="AS75" s="1700">
        <v>191.17</v>
      </c>
      <c r="AT75" s="1700">
        <v>193.76</v>
      </c>
      <c r="AU75" s="1700">
        <v>196.34</v>
      </c>
      <c r="AV75" s="1700">
        <v>198.92</v>
      </c>
      <c r="AW75" s="1700">
        <v>201.51</v>
      </c>
      <c r="AX75" s="1700">
        <v>204.09</v>
      </c>
      <c r="AY75" s="1700">
        <v>206.68</v>
      </c>
      <c r="AZ75" s="1700">
        <v>209.26</v>
      </c>
      <c r="BA75" s="1700">
        <v>211.85</v>
      </c>
      <c r="BB75" s="1700">
        <v>214.43</v>
      </c>
      <c r="BC75" s="1700">
        <v>217.01</v>
      </c>
      <c r="BD75" s="1700">
        <v>219.6</v>
      </c>
      <c r="BE75" s="1700">
        <v>222.18</v>
      </c>
      <c r="BF75" s="1700">
        <v>224.77</v>
      </c>
      <c r="BG75" s="1700">
        <v>227.35</v>
      </c>
      <c r="BH75" s="1700">
        <v>229.94</v>
      </c>
      <c r="BI75" s="1700">
        <v>232.52</v>
      </c>
      <c r="BJ75" s="1700">
        <v>235.11</v>
      </c>
      <c r="BK75" s="1700">
        <v>237.69</v>
      </c>
      <c r="BL75" s="1700">
        <v>240.27</v>
      </c>
      <c r="BM75" s="1700">
        <v>242.86</v>
      </c>
      <c r="BN75" s="1700"/>
      <c r="BO75" s="1703">
        <v>71</v>
      </c>
      <c r="BP75" s="1693">
        <v>83.67</v>
      </c>
      <c r="BQ75" s="1693">
        <v>85.5</v>
      </c>
      <c r="BR75" s="1693">
        <v>87.32</v>
      </c>
      <c r="BS75" s="1693">
        <v>89.15</v>
      </c>
      <c r="BT75" s="1693">
        <v>90.97</v>
      </c>
      <c r="BU75" s="1694">
        <v>92.8</v>
      </c>
      <c r="BV75" s="1694">
        <v>94.62</v>
      </c>
      <c r="BW75" s="1694">
        <v>96.44</v>
      </c>
      <c r="BX75" s="1695">
        <v>98.27</v>
      </c>
      <c r="BY75" s="1696">
        <v>100.09</v>
      </c>
      <c r="BZ75" s="1696">
        <v>101.92</v>
      </c>
      <c r="CA75" s="1695">
        <v>103.74</v>
      </c>
      <c r="CB75" s="1695">
        <v>105.57</v>
      </c>
      <c r="CC75" s="1704">
        <v>107.39</v>
      </c>
      <c r="CD75" s="1697">
        <v>109.22</v>
      </c>
      <c r="CE75" s="1698">
        <v>111.04</v>
      </c>
      <c r="CF75" s="1699">
        <v>112.87</v>
      </c>
      <c r="CG75" s="1699">
        <v>114.69</v>
      </c>
      <c r="CH75" s="1699">
        <v>116.52</v>
      </c>
      <c r="CI75" s="1699">
        <v>118.34</v>
      </c>
      <c r="CJ75" s="1699">
        <v>120.17</v>
      </c>
      <c r="CK75" s="1700">
        <v>103.83</v>
      </c>
      <c r="CL75" s="1700">
        <v>105.66</v>
      </c>
      <c r="CM75" s="1700">
        <v>107.48</v>
      </c>
      <c r="CN75" s="1700">
        <v>109.31</v>
      </c>
      <c r="CO75" s="1705">
        <v>111.13</v>
      </c>
      <c r="CP75" s="1706">
        <v>112.96</v>
      </c>
      <c r="CQ75" s="1701">
        <v>114.78</v>
      </c>
      <c r="CR75" s="1701">
        <v>116.61</v>
      </c>
      <c r="CS75" s="1707">
        <v>118.43</v>
      </c>
      <c r="CT75" s="1700">
        <v>120.26</v>
      </c>
      <c r="CU75" s="1700">
        <v>122.08</v>
      </c>
      <c r="CV75" s="1700">
        <v>123.91</v>
      </c>
      <c r="CW75" s="1700">
        <v>125.73</v>
      </c>
      <c r="CX75" s="1700">
        <v>127.55</v>
      </c>
      <c r="CY75" s="1700">
        <v>129.38</v>
      </c>
      <c r="CZ75" s="1700">
        <v>131.19999999999999</v>
      </c>
      <c r="DA75" s="1700">
        <v>133.03</v>
      </c>
      <c r="DB75" s="1700">
        <v>134.85</v>
      </c>
      <c r="DC75" s="1700">
        <v>136.68</v>
      </c>
      <c r="DD75" s="1700">
        <v>138.5</v>
      </c>
      <c r="DE75" s="1700">
        <v>140.33000000000001</v>
      </c>
      <c r="DF75" s="1700">
        <v>142.15</v>
      </c>
      <c r="DG75" s="1700">
        <v>143.97999999999999</v>
      </c>
      <c r="DH75" s="1700">
        <v>145.80000000000001</v>
      </c>
      <c r="DI75" s="1700">
        <v>147.63</v>
      </c>
      <c r="DJ75" s="1700">
        <v>149.44999999999999</v>
      </c>
      <c r="DK75" s="1700">
        <v>151.28</v>
      </c>
      <c r="DL75" s="1700">
        <v>153.1</v>
      </c>
      <c r="DM75" s="1700">
        <v>154.93</v>
      </c>
      <c r="DN75" s="1700">
        <v>156.75</v>
      </c>
      <c r="DO75" s="1700">
        <v>158.57</v>
      </c>
      <c r="DP75" s="1700">
        <v>160.4</v>
      </c>
      <c r="DQ75" s="1700">
        <v>162.22</v>
      </c>
      <c r="DR75" s="1700">
        <v>164.05</v>
      </c>
      <c r="DS75" s="1700"/>
      <c r="DT75" s="1700"/>
      <c r="DU75" s="1700"/>
      <c r="DV75" s="1700"/>
      <c r="DW75" s="1700"/>
      <c r="DX75" s="1700"/>
    </row>
    <row r="76" spans="1:128">
      <c r="A76" s="1622"/>
      <c r="B76" s="1691">
        <f t="shared" si="9"/>
        <v>72</v>
      </c>
      <c r="C76" s="1668" t="str">
        <f t="shared" si="6"/>
        <v>193.92</v>
      </c>
      <c r="D76" s="1672">
        <f t="shared" si="7"/>
        <v>271.49</v>
      </c>
      <c r="E76" s="1670"/>
      <c r="F76" s="1671" t="str">
        <f t="shared" si="8"/>
        <v>121.86</v>
      </c>
      <c r="G76" s="1672">
        <f t="shared" si="5"/>
        <v>170.6</v>
      </c>
      <c r="H76" s="1670"/>
      <c r="I76" s="1670"/>
      <c r="J76" s="1708">
        <v>72</v>
      </c>
      <c r="K76" s="1693">
        <v>141.51</v>
      </c>
      <c r="L76" s="1693">
        <v>144.13</v>
      </c>
      <c r="M76" s="1693">
        <v>146.75</v>
      </c>
      <c r="N76" s="1693">
        <v>149.37</v>
      </c>
      <c r="O76" s="1693">
        <v>151.99</v>
      </c>
      <c r="P76" s="1694">
        <v>154.61000000000001</v>
      </c>
      <c r="Q76" s="1694">
        <v>157.22999999999999</v>
      </c>
      <c r="R76" s="1694">
        <v>159.85</v>
      </c>
      <c r="S76" s="1695">
        <v>162.47</v>
      </c>
      <c r="T76" s="1696">
        <v>165.09</v>
      </c>
      <c r="U76" s="1696">
        <v>167.71</v>
      </c>
      <c r="V76" s="1695">
        <v>170.33</v>
      </c>
      <c r="W76" s="1695">
        <v>172.96</v>
      </c>
      <c r="X76" s="1695">
        <v>175.58</v>
      </c>
      <c r="Y76" s="1697">
        <v>178.2</v>
      </c>
      <c r="Z76" s="1698">
        <v>180.82</v>
      </c>
      <c r="AA76" s="1699">
        <v>183.44</v>
      </c>
      <c r="AB76" s="1699">
        <v>186.06</v>
      </c>
      <c r="AC76" s="1699">
        <v>188.68</v>
      </c>
      <c r="AD76" s="1699">
        <v>191.3</v>
      </c>
      <c r="AE76" s="1699">
        <v>193.92</v>
      </c>
      <c r="AF76" s="1700">
        <v>159.78</v>
      </c>
      <c r="AG76" s="1700">
        <v>162.4</v>
      </c>
      <c r="AH76" s="1700">
        <v>165.03</v>
      </c>
      <c r="AI76" s="1700">
        <v>167.65</v>
      </c>
      <c r="AJ76" s="1701">
        <v>170.27</v>
      </c>
      <c r="AK76" s="1701">
        <v>172.89</v>
      </c>
      <c r="AL76" s="1701">
        <v>175.51</v>
      </c>
      <c r="AM76" s="1701">
        <v>178.13</v>
      </c>
      <c r="AN76" s="1701">
        <v>180.75</v>
      </c>
      <c r="AO76" s="1702">
        <v>183.37</v>
      </c>
      <c r="AP76" s="1700">
        <v>185.99</v>
      </c>
      <c r="AQ76" s="1700">
        <v>188.61</v>
      </c>
      <c r="AR76" s="1700">
        <v>191.23</v>
      </c>
      <c r="AS76" s="1700">
        <v>193.85</v>
      </c>
      <c r="AT76" s="1700">
        <v>196.48</v>
      </c>
      <c r="AU76" s="1700">
        <v>199.1</v>
      </c>
      <c r="AV76" s="1700">
        <v>201.72</v>
      </c>
      <c r="AW76" s="1700">
        <v>204.34</v>
      </c>
      <c r="AX76" s="1700">
        <v>206.96</v>
      </c>
      <c r="AY76" s="1700">
        <v>209.58</v>
      </c>
      <c r="AZ76" s="1700">
        <v>212.2</v>
      </c>
      <c r="BA76" s="1700">
        <v>214.82</v>
      </c>
      <c r="BB76" s="1683">
        <v>217.44</v>
      </c>
      <c r="BC76" s="1700">
        <v>220.06</v>
      </c>
      <c r="BD76" s="1683">
        <v>222.68</v>
      </c>
      <c r="BE76" s="1700">
        <v>225.3</v>
      </c>
      <c r="BF76" s="1700">
        <v>227.92</v>
      </c>
      <c r="BG76" s="1700">
        <v>230.55</v>
      </c>
      <c r="BH76" s="1700">
        <v>233.17</v>
      </c>
      <c r="BI76" s="1700">
        <v>235.79</v>
      </c>
      <c r="BJ76" s="1700">
        <v>238.41</v>
      </c>
      <c r="BK76" s="1700">
        <v>241.03</v>
      </c>
      <c r="BL76" s="1700">
        <v>243.65</v>
      </c>
      <c r="BM76" s="1700">
        <v>246.27</v>
      </c>
      <c r="BN76" s="1700"/>
      <c r="BO76" s="1703">
        <v>72</v>
      </c>
      <c r="BP76" s="1693">
        <v>84.85</v>
      </c>
      <c r="BQ76" s="1693">
        <v>86.7</v>
      </c>
      <c r="BR76" s="1693">
        <v>88.55</v>
      </c>
      <c r="BS76" s="1693">
        <v>90.4</v>
      </c>
      <c r="BT76" s="1693">
        <v>92.25</v>
      </c>
      <c r="BU76" s="1694">
        <v>94.1</v>
      </c>
      <c r="BV76" s="1694">
        <v>95.95</v>
      </c>
      <c r="BW76" s="1694">
        <v>97.8</v>
      </c>
      <c r="BX76" s="1695">
        <v>99.65</v>
      </c>
      <c r="BY76" s="1696">
        <v>101.5</v>
      </c>
      <c r="BZ76" s="1696">
        <v>103.35</v>
      </c>
      <c r="CA76" s="1695">
        <v>105.21</v>
      </c>
      <c r="CB76" s="1695">
        <v>107.06</v>
      </c>
      <c r="CC76" s="1704">
        <v>108.91</v>
      </c>
      <c r="CD76" s="1697">
        <v>110.76</v>
      </c>
      <c r="CE76" s="1698">
        <v>112.61</v>
      </c>
      <c r="CF76" s="1699">
        <v>114.46</v>
      </c>
      <c r="CG76" s="1699">
        <v>116.31</v>
      </c>
      <c r="CH76" s="1699">
        <v>118.16</v>
      </c>
      <c r="CI76" s="1699">
        <v>120.01</v>
      </c>
      <c r="CJ76" s="1699">
        <v>121.86</v>
      </c>
      <c r="CK76" s="1700">
        <v>105.3</v>
      </c>
      <c r="CL76" s="1700">
        <v>107.15</v>
      </c>
      <c r="CM76" s="1700">
        <v>109</v>
      </c>
      <c r="CN76" s="1700">
        <v>110.85</v>
      </c>
      <c r="CO76" s="1705">
        <v>112.7</v>
      </c>
      <c r="CP76" s="1706">
        <v>114.55</v>
      </c>
      <c r="CQ76" s="1701">
        <v>116.4</v>
      </c>
      <c r="CR76" s="1701">
        <v>118.25</v>
      </c>
      <c r="CS76" s="1707">
        <v>120.1</v>
      </c>
      <c r="CT76" s="1700">
        <v>121.95</v>
      </c>
      <c r="CU76" s="1700">
        <v>123.8</v>
      </c>
      <c r="CV76" s="1700">
        <v>125.65</v>
      </c>
      <c r="CW76" s="1700">
        <v>127.5</v>
      </c>
      <c r="CX76" s="1700">
        <v>129.35</v>
      </c>
      <c r="CY76" s="1700">
        <v>131.19999999999999</v>
      </c>
      <c r="CZ76" s="1700">
        <v>133.05000000000001</v>
      </c>
      <c r="DA76" s="1700">
        <v>134.9</v>
      </c>
      <c r="DB76" s="1700">
        <v>136.75</v>
      </c>
      <c r="DC76" s="1700">
        <v>138.6</v>
      </c>
      <c r="DD76" s="1700">
        <v>140.44999999999999</v>
      </c>
      <c r="DE76" s="1700">
        <v>142.30000000000001</v>
      </c>
      <c r="DF76" s="1700">
        <v>144.15</v>
      </c>
      <c r="DG76" s="1700">
        <v>146.01</v>
      </c>
      <c r="DH76" s="1700">
        <v>147.86000000000001</v>
      </c>
      <c r="DI76" s="1700">
        <v>149.71</v>
      </c>
      <c r="DJ76" s="1700">
        <v>151.56</v>
      </c>
      <c r="DK76" s="1700">
        <v>153.41</v>
      </c>
      <c r="DL76" s="1700">
        <v>155.26</v>
      </c>
      <c r="DM76" s="1700">
        <v>157.11000000000001</v>
      </c>
      <c r="DN76" s="1700">
        <v>158.96</v>
      </c>
      <c r="DO76" s="1700">
        <v>160.81</v>
      </c>
      <c r="DP76" s="1700">
        <v>162.66</v>
      </c>
      <c r="DQ76" s="1700">
        <v>164.51</v>
      </c>
      <c r="DR76" s="1700">
        <v>166.36</v>
      </c>
      <c r="DS76" s="1700"/>
      <c r="DT76" s="1700"/>
      <c r="DU76" s="1700"/>
      <c r="DV76" s="1700"/>
      <c r="DW76" s="1700"/>
      <c r="DX76" s="1700"/>
    </row>
    <row r="77" spans="1:128">
      <c r="A77" s="1622"/>
      <c r="B77" s="1691">
        <f t="shared" si="9"/>
        <v>73</v>
      </c>
      <c r="C77" s="1668" t="str">
        <f t="shared" si="6"/>
        <v>196.61</v>
      </c>
      <c r="D77" s="1672">
        <f t="shared" si="7"/>
        <v>275.25</v>
      </c>
      <c r="E77" s="1670"/>
      <c r="F77" s="1671" t="str">
        <f t="shared" si="8"/>
        <v>123.53</v>
      </c>
      <c r="G77" s="1672">
        <f t="shared" si="5"/>
        <v>172.94</v>
      </c>
      <c r="H77" s="1670"/>
      <c r="I77" s="1670"/>
      <c r="J77" s="1708">
        <v>73</v>
      </c>
      <c r="K77" s="1693">
        <v>143.47</v>
      </c>
      <c r="L77" s="1693">
        <v>146.13</v>
      </c>
      <c r="M77" s="1693">
        <v>148.78</v>
      </c>
      <c r="N77" s="1693">
        <v>151.44</v>
      </c>
      <c r="O77" s="1693">
        <v>154.1</v>
      </c>
      <c r="P77" s="1694">
        <v>156.75</v>
      </c>
      <c r="Q77" s="1694">
        <v>159.41</v>
      </c>
      <c r="R77" s="1694">
        <v>162.07</v>
      </c>
      <c r="S77" s="1695">
        <v>164.73</v>
      </c>
      <c r="T77" s="1696">
        <v>167.38</v>
      </c>
      <c r="U77" s="1696">
        <v>170.04</v>
      </c>
      <c r="V77" s="1695">
        <v>172.7</v>
      </c>
      <c r="W77" s="1695">
        <v>175.36</v>
      </c>
      <c r="X77" s="1695">
        <v>178.01</v>
      </c>
      <c r="Y77" s="1697">
        <v>180.67</v>
      </c>
      <c r="Z77" s="1698">
        <v>183.33</v>
      </c>
      <c r="AA77" s="1699">
        <v>185.98</v>
      </c>
      <c r="AB77" s="1699">
        <v>188.64</v>
      </c>
      <c r="AC77" s="1699">
        <v>191.3</v>
      </c>
      <c r="AD77" s="1699">
        <v>193.96</v>
      </c>
      <c r="AE77" s="1699">
        <v>196.61</v>
      </c>
      <c r="AF77" s="1683">
        <v>162</v>
      </c>
      <c r="AG77" s="1683">
        <v>164.66</v>
      </c>
      <c r="AH77" s="1683">
        <v>167.32</v>
      </c>
      <c r="AI77" s="1683">
        <v>169.97</v>
      </c>
      <c r="AJ77" s="1701">
        <v>172.63</v>
      </c>
      <c r="AK77" s="1701">
        <v>175.29</v>
      </c>
      <c r="AL77" s="1701">
        <v>177.95</v>
      </c>
      <c r="AM77" s="1701">
        <v>180.6</v>
      </c>
      <c r="AN77" s="1701">
        <v>183.26</v>
      </c>
      <c r="AO77" s="1702">
        <v>185.92</v>
      </c>
      <c r="AP77" s="1700">
        <v>188.57</v>
      </c>
      <c r="AQ77" s="1700">
        <v>191.23</v>
      </c>
      <c r="AR77" s="1683">
        <v>193.89</v>
      </c>
      <c r="AS77" s="1700">
        <v>196.55</v>
      </c>
      <c r="AT77" s="1683">
        <v>199.2</v>
      </c>
      <c r="AU77" s="1700">
        <v>201.86</v>
      </c>
      <c r="AV77" s="1683">
        <v>204.52</v>
      </c>
      <c r="AW77" s="1683">
        <v>207.17</v>
      </c>
      <c r="AX77" s="1683">
        <v>209.83</v>
      </c>
      <c r="AY77" s="1683">
        <v>212.49</v>
      </c>
      <c r="AZ77" s="1683">
        <v>215.15</v>
      </c>
      <c r="BA77" s="1683">
        <v>217.8</v>
      </c>
      <c r="BB77" s="1700">
        <v>220.46</v>
      </c>
      <c r="BC77" s="1683">
        <v>223.12</v>
      </c>
      <c r="BD77" s="1683">
        <v>225.77</v>
      </c>
      <c r="BE77" s="1683">
        <v>228.43</v>
      </c>
      <c r="BF77" s="1683">
        <v>231.09</v>
      </c>
      <c r="BG77" s="1683">
        <v>233.75</v>
      </c>
      <c r="BH77" s="1683">
        <v>236.4</v>
      </c>
      <c r="BI77" s="1683">
        <v>239.06</v>
      </c>
      <c r="BJ77" s="1683">
        <v>241.72</v>
      </c>
      <c r="BK77" s="1683">
        <v>244.38</v>
      </c>
      <c r="BL77" s="1683">
        <v>247.03</v>
      </c>
      <c r="BM77" s="1683">
        <v>249.69</v>
      </c>
      <c r="BN77" s="1683"/>
      <c r="BO77" s="1703">
        <v>73</v>
      </c>
      <c r="BP77" s="1693">
        <v>86.01</v>
      </c>
      <c r="BQ77" s="1693">
        <v>87.88</v>
      </c>
      <c r="BR77" s="1693">
        <v>89.76</v>
      </c>
      <c r="BS77" s="1693">
        <v>91.64</v>
      </c>
      <c r="BT77" s="1693">
        <v>93.51</v>
      </c>
      <c r="BU77" s="1694">
        <v>95.39</v>
      </c>
      <c r="BV77" s="1694">
        <v>97.26</v>
      </c>
      <c r="BW77" s="1694">
        <v>99.14</v>
      </c>
      <c r="BX77" s="1695">
        <v>101.02</v>
      </c>
      <c r="BY77" s="1696">
        <v>102.89</v>
      </c>
      <c r="BZ77" s="1696">
        <v>104.77</v>
      </c>
      <c r="CA77" s="1695">
        <v>106.64</v>
      </c>
      <c r="CB77" s="1695">
        <v>108.52</v>
      </c>
      <c r="CC77" s="1704">
        <v>110.4</v>
      </c>
      <c r="CD77" s="1697">
        <v>112.27</v>
      </c>
      <c r="CE77" s="1698">
        <v>114.15</v>
      </c>
      <c r="CF77" s="1699">
        <v>116.03</v>
      </c>
      <c r="CG77" s="1699">
        <v>117.9</v>
      </c>
      <c r="CH77" s="1699">
        <v>119.78</v>
      </c>
      <c r="CI77" s="1699">
        <v>121.65</v>
      </c>
      <c r="CJ77" s="1699">
        <v>123.53</v>
      </c>
      <c r="CK77" s="1700">
        <v>106.75</v>
      </c>
      <c r="CL77" s="1700">
        <v>108.62</v>
      </c>
      <c r="CM77" s="1700">
        <v>110.5</v>
      </c>
      <c r="CN77" s="1700">
        <v>112.37</v>
      </c>
      <c r="CO77" s="1705">
        <v>114.25</v>
      </c>
      <c r="CP77" s="1706">
        <v>116.13</v>
      </c>
      <c r="CQ77" s="1701">
        <v>118</v>
      </c>
      <c r="CR77" s="1701">
        <v>119.88</v>
      </c>
      <c r="CS77" s="1707">
        <v>121.75</v>
      </c>
      <c r="CT77" s="1700">
        <v>123.63</v>
      </c>
      <c r="CU77" s="1700">
        <v>125.51</v>
      </c>
      <c r="CV77" s="1700">
        <v>127.38</v>
      </c>
      <c r="CW77" s="1700">
        <v>129.26</v>
      </c>
      <c r="CX77" s="1700">
        <v>131.13</v>
      </c>
      <c r="CY77" s="1700">
        <v>133.01</v>
      </c>
      <c r="CZ77" s="1700">
        <v>134.88999999999999</v>
      </c>
      <c r="DA77" s="1700">
        <v>136.76</v>
      </c>
      <c r="DB77" s="1700">
        <v>138.63999999999999</v>
      </c>
      <c r="DC77" s="1700">
        <v>140.52000000000001</v>
      </c>
      <c r="DD77" s="1700">
        <v>142.38999999999999</v>
      </c>
      <c r="DE77" s="1700">
        <v>144.27000000000001</v>
      </c>
      <c r="DF77" s="1700">
        <v>146.13999999999999</v>
      </c>
      <c r="DG77" s="1700">
        <v>148.02000000000001</v>
      </c>
      <c r="DH77" s="1700">
        <v>149.9</v>
      </c>
      <c r="DI77" s="1700">
        <v>151.77000000000001</v>
      </c>
      <c r="DJ77" s="1700">
        <v>153.65</v>
      </c>
      <c r="DK77" s="1700">
        <v>155.52000000000001</v>
      </c>
      <c r="DL77" s="1700">
        <v>157.4</v>
      </c>
      <c r="DM77" s="1700">
        <v>159.28</v>
      </c>
      <c r="DN77" s="1700">
        <v>161.15</v>
      </c>
      <c r="DO77" s="1700">
        <v>163.03</v>
      </c>
      <c r="DP77" s="1700">
        <v>164.9</v>
      </c>
      <c r="DQ77" s="1700">
        <v>166.78</v>
      </c>
      <c r="DR77" s="1700">
        <v>168.66</v>
      </c>
      <c r="DS77" s="1700"/>
      <c r="DT77" s="1700"/>
      <c r="DU77" s="1700"/>
      <c r="DV77" s="1700"/>
      <c r="DW77" s="1700"/>
      <c r="DX77" s="1700"/>
    </row>
    <row r="78" spans="1:128">
      <c r="A78" s="1622"/>
      <c r="B78" s="1691">
        <f t="shared" si="9"/>
        <v>74</v>
      </c>
      <c r="C78" s="1668" t="str">
        <f t="shared" si="6"/>
        <v>199.32</v>
      </c>
      <c r="D78" s="1672">
        <f t="shared" si="7"/>
        <v>279.05</v>
      </c>
      <c r="E78" s="1670"/>
      <c r="F78" s="1671" t="str">
        <f t="shared" si="8"/>
        <v>125.23</v>
      </c>
      <c r="G78" s="1672">
        <f t="shared" si="5"/>
        <v>175.32</v>
      </c>
      <c r="H78" s="1670"/>
      <c r="I78" s="1670"/>
      <c r="J78" s="1708">
        <v>74</v>
      </c>
      <c r="K78" s="1693">
        <v>145.44</v>
      </c>
      <c r="L78" s="1693">
        <v>148.13999999999999</v>
      </c>
      <c r="M78" s="1693">
        <v>150.83000000000001</v>
      </c>
      <c r="N78" s="1693">
        <v>153.53</v>
      </c>
      <c r="O78" s="1693">
        <v>156.22</v>
      </c>
      <c r="P78" s="1694">
        <v>158.91</v>
      </c>
      <c r="Q78" s="1694">
        <v>161.61000000000001</v>
      </c>
      <c r="R78" s="1694">
        <v>164.3</v>
      </c>
      <c r="S78" s="1695">
        <v>166.99</v>
      </c>
      <c r="T78" s="1696">
        <v>169.69</v>
      </c>
      <c r="U78" s="1696">
        <v>172.38</v>
      </c>
      <c r="V78" s="1695">
        <v>175.07</v>
      </c>
      <c r="W78" s="1695">
        <v>177.77</v>
      </c>
      <c r="X78" s="1695">
        <v>180.46</v>
      </c>
      <c r="Y78" s="1697">
        <v>183.15</v>
      </c>
      <c r="Z78" s="1698">
        <v>185.85</v>
      </c>
      <c r="AA78" s="1699">
        <v>188.54</v>
      </c>
      <c r="AB78" s="1699">
        <v>191.24</v>
      </c>
      <c r="AC78" s="1699">
        <v>193.93</v>
      </c>
      <c r="AD78" s="1699">
        <v>196.62</v>
      </c>
      <c r="AE78" s="1699">
        <v>199.32</v>
      </c>
      <c r="AF78" s="1700">
        <v>164.23</v>
      </c>
      <c r="AG78" s="1700">
        <v>166.92</v>
      </c>
      <c r="AH78" s="1700">
        <v>169.61</v>
      </c>
      <c r="AI78" s="1700">
        <v>172.31</v>
      </c>
      <c r="AJ78" s="1701">
        <v>175</v>
      </c>
      <c r="AK78" s="1701">
        <v>177.7</v>
      </c>
      <c r="AL78" s="1701">
        <v>180.39</v>
      </c>
      <c r="AM78" s="1701">
        <v>183.08</v>
      </c>
      <c r="AN78" s="1701">
        <v>185.78</v>
      </c>
      <c r="AO78" s="1702">
        <v>188.47</v>
      </c>
      <c r="AP78" s="1700">
        <v>191.16</v>
      </c>
      <c r="AQ78" s="1700">
        <v>193.86</v>
      </c>
      <c r="AR78" s="1700">
        <v>196.55</v>
      </c>
      <c r="AS78" s="1700">
        <v>199.24</v>
      </c>
      <c r="AT78" s="1700">
        <v>201.94</v>
      </c>
      <c r="AU78" s="1700">
        <v>204.63</v>
      </c>
      <c r="AV78" s="1700">
        <v>207.32</v>
      </c>
      <c r="AW78" s="1700">
        <v>210.02</v>
      </c>
      <c r="AX78" s="1700">
        <v>212.71</v>
      </c>
      <c r="AY78" s="1700">
        <v>215.41</v>
      </c>
      <c r="AZ78" s="1700">
        <v>218.1</v>
      </c>
      <c r="BA78" s="1700">
        <v>220.79</v>
      </c>
      <c r="BB78" s="1700">
        <v>223.49</v>
      </c>
      <c r="BC78" s="1700">
        <v>226.18</v>
      </c>
      <c r="BD78" s="1700">
        <v>228.87</v>
      </c>
      <c r="BE78" s="1700">
        <v>231.57</v>
      </c>
      <c r="BF78" s="1700">
        <v>234.26</v>
      </c>
      <c r="BG78" s="1700">
        <v>236.95</v>
      </c>
      <c r="BH78" s="1700">
        <v>239.65</v>
      </c>
      <c r="BI78" s="1700">
        <v>242.34</v>
      </c>
      <c r="BJ78" s="1700">
        <v>245.04</v>
      </c>
      <c r="BK78" s="1700">
        <v>247.73</v>
      </c>
      <c r="BL78" s="1700">
        <v>250.42</v>
      </c>
      <c r="BM78" s="1700">
        <v>253.12</v>
      </c>
      <c r="BN78" s="1700"/>
      <c r="BO78" s="1703">
        <v>74</v>
      </c>
      <c r="BP78" s="1693">
        <v>87.19</v>
      </c>
      <c r="BQ78" s="1693">
        <v>89.09</v>
      </c>
      <c r="BR78" s="1693">
        <v>91</v>
      </c>
      <c r="BS78" s="1693">
        <v>92.9</v>
      </c>
      <c r="BT78" s="1693">
        <v>94.8</v>
      </c>
      <c r="BU78" s="1694">
        <v>96.7</v>
      </c>
      <c r="BV78" s="1694">
        <v>98.6</v>
      </c>
      <c r="BW78" s="1694">
        <v>100.51</v>
      </c>
      <c r="BX78" s="1695">
        <v>102.41</v>
      </c>
      <c r="BY78" s="1696">
        <v>104.31</v>
      </c>
      <c r="BZ78" s="1696">
        <v>106.21</v>
      </c>
      <c r="CA78" s="1695">
        <v>108.11</v>
      </c>
      <c r="CB78" s="1695">
        <v>110.01</v>
      </c>
      <c r="CC78" s="1704">
        <v>111.92</v>
      </c>
      <c r="CD78" s="1697">
        <v>113.82</v>
      </c>
      <c r="CE78" s="1698">
        <v>115.72</v>
      </c>
      <c r="CF78" s="1699">
        <v>117.62</v>
      </c>
      <c r="CG78" s="1699">
        <v>119.52</v>
      </c>
      <c r="CH78" s="1699">
        <v>121.43</v>
      </c>
      <c r="CI78" s="1699">
        <v>123.33</v>
      </c>
      <c r="CJ78" s="1699">
        <v>125.23</v>
      </c>
      <c r="CK78" s="1700">
        <v>108.21</v>
      </c>
      <c r="CL78" s="1700">
        <v>110.11</v>
      </c>
      <c r="CM78" s="1700">
        <v>112.02</v>
      </c>
      <c r="CN78" s="1700">
        <v>113.92</v>
      </c>
      <c r="CO78" s="1705">
        <v>115.82</v>
      </c>
      <c r="CP78" s="1706">
        <v>117.72</v>
      </c>
      <c r="CQ78" s="1701">
        <v>119.62</v>
      </c>
      <c r="CR78" s="1701">
        <v>121.52</v>
      </c>
      <c r="CS78" s="1707">
        <v>123.43</v>
      </c>
      <c r="CT78" s="1700">
        <v>125.33</v>
      </c>
      <c r="CU78" s="1700">
        <v>127.23</v>
      </c>
      <c r="CV78" s="1700">
        <v>129.13</v>
      </c>
      <c r="CW78" s="1700">
        <v>131.03</v>
      </c>
      <c r="CX78" s="1700">
        <v>132.94</v>
      </c>
      <c r="CY78" s="1700">
        <v>134.84</v>
      </c>
      <c r="CZ78" s="1700">
        <v>136.74</v>
      </c>
      <c r="DA78" s="1700">
        <v>138.63999999999999</v>
      </c>
      <c r="DB78" s="1700">
        <v>140.54</v>
      </c>
      <c r="DC78" s="1700">
        <v>142.44</v>
      </c>
      <c r="DD78" s="1700">
        <v>144.35</v>
      </c>
      <c r="DE78" s="1700">
        <v>146.25</v>
      </c>
      <c r="DF78" s="1700">
        <v>148.15</v>
      </c>
      <c r="DG78" s="1700">
        <v>150.05000000000001</v>
      </c>
      <c r="DH78" s="1700">
        <v>151.94999999999999</v>
      </c>
      <c r="DI78" s="1700">
        <v>153.86000000000001</v>
      </c>
      <c r="DJ78" s="1700">
        <v>155.76</v>
      </c>
      <c r="DK78" s="1700">
        <v>157.66</v>
      </c>
      <c r="DL78" s="1700">
        <v>159.56</v>
      </c>
      <c r="DM78" s="1700">
        <v>161.46</v>
      </c>
      <c r="DN78" s="1700">
        <v>163.36000000000001</v>
      </c>
      <c r="DO78" s="1700">
        <v>165.27</v>
      </c>
      <c r="DP78" s="1700">
        <v>167.17</v>
      </c>
      <c r="DQ78" s="1700">
        <v>169.07</v>
      </c>
      <c r="DR78" s="1700">
        <v>170.97</v>
      </c>
      <c r="DS78" s="1700"/>
      <c r="DT78" s="1700"/>
      <c r="DU78" s="1700"/>
      <c r="DV78" s="1700"/>
      <c r="DW78" s="1700"/>
      <c r="DX78" s="1700"/>
    </row>
    <row r="79" spans="1:128">
      <c r="A79" s="1622"/>
      <c r="B79" s="1691">
        <f t="shared" si="9"/>
        <v>75</v>
      </c>
      <c r="C79" s="1668" t="str">
        <f t="shared" si="6"/>
        <v>201.94</v>
      </c>
      <c r="D79" s="1672">
        <f t="shared" si="7"/>
        <v>282.72000000000003</v>
      </c>
      <c r="E79" s="1670"/>
      <c r="F79" s="1671" t="str">
        <f t="shared" si="8"/>
        <v>126.9</v>
      </c>
      <c r="G79" s="1672">
        <f t="shared" si="5"/>
        <v>177.66</v>
      </c>
      <c r="H79" s="1670"/>
      <c r="I79" s="1670"/>
      <c r="J79" s="1708">
        <v>75</v>
      </c>
      <c r="K79" s="1693">
        <v>147.34</v>
      </c>
      <c r="L79" s="1693">
        <v>150.07</v>
      </c>
      <c r="M79" s="1693">
        <v>152.80000000000001</v>
      </c>
      <c r="N79" s="1693">
        <v>155.53</v>
      </c>
      <c r="O79" s="1693">
        <v>158.26</v>
      </c>
      <c r="P79" s="1694">
        <v>160.99</v>
      </c>
      <c r="Q79" s="1694">
        <v>163.72</v>
      </c>
      <c r="R79" s="1694">
        <v>166.45</v>
      </c>
      <c r="S79" s="1695">
        <v>169.18</v>
      </c>
      <c r="T79" s="1696">
        <v>171.91</v>
      </c>
      <c r="U79" s="1696">
        <v>174.64</v>
      </c>
      <c r="V79" s="1695">
        <v>177.37</v>
      </c>
      <c r="W79" s="1695">
        <v>180.1</v>
      </c>
      <c r="X79" s="1695">
        <v>182.83</v>
      </c>
      <c r="Y79" s="1697">
        <v>185.56</v>
      </c>
      <c r="Z79" s="1698">
        <v>188.29</v>
      </c>
      <c r="AA79" s="1699">
        <v>191.02</v>
      </c>
      <c r="AB79" s="1699">
        <v>193.75</v>
      </c>
      <c r="AC79" s="1699">
        <v>196.48</v>
      </c>
      <c r="AD79" s="1699">
        <v>199.21</v>
      </c>
      <c r="AE79" s="1699">
        <v>201.94</v>
      </c>
      <c r="AF79" s="1700">
        <v>166.4</v>
      </c>
      <c r="AG79" s="1700">
        <v>169.13</v>
      </c>
      <c r="AH79" s="1700">
        <v>171.86</v>
      </c>
      <c r="AI79" s="1700">
        <v>174.59</v>
      </c>
      <c r="AJ79" s="1701">
        <v>177.32</v>
      </c>
      <c r="AK79" s="1701">
        <v>180.05</v>
      </c>
      <c r="AL79" s="1701">
        <v>182.78</v>
      </c>
      <c r="AM79" s="1701">
        <v>185.51</v>
      </c>
      <c r="AN79" s="1701">
        <v>188.24</v>
      </c>
      <c r="AO79" s="1702">
        <v>190.97</v>
      </c>
      <c r="AP79" s="1700">
        <v>193.7</v>
      </c>
      <c r="AQ79" s="1700">
        <v>196.43</v>
      </c>
      <c r="AR79" s="1683">
        <v>199.16</v>
      </c>
      <c r="AS79" s="1700">
        <v>201.89</v>
      </c>
      <c r="AT79" s="1700">
        <v>204.62</v>
      </c>
      <c r="AU79" s="1700">
        <v>207.35</v>
      </c>
      <c r="AV79" s="1700">
        <v>210.08</v>
      </c>
      <c r="AW79" s="1700">
        <v>212.81</v>
      </c>
      <c r="AX79" s="1700">
        <v>215.54</v>
      </c>
      <c r="AY79" s="1700">
        <v>218.27</v>
      </c>
      <c r="AZ79" s="1700">
        <v>221</v>
      </c>
      <c r="BA79" s="1700">
        <v>223.73</v>
      </c>
      <c r="BB79" s="1683">
        <v>226.46</v>
      </c>
      <c r="BC79" s="1700">
        <v>229.19</v>
      </c>
      <c r="BD79" s="1700">
        <v>231.92</v>
      </c>
      <c r="BE79" s="1700">
        <v>234.65</v>
      </c>
      <c r="BF79" s="1700">
        <v>237.38</v>
      </c>
      <c r="BG79" s="1700">
        <v>240.11</v>
      </c>
      <c r="BH79" s="1700">
        <v>242.84</v>
      </c>
      <c r="BI79" s="1700">
        <v>245.57</v>
      </c>
      <c r="BJ79" s="1700">
        <v>248.3</v>
      </c>
      <c r="BK79" s="1700">
        <v>251.03</v>
      </c>
      <c r="BL79" s="1700">
        <v>253.76</v>
      </c>
      <c r="BM79" s="1700">
        <v>256.49</v>
      </c>
      <c r="BN79" s="1700"/>
      <c r="BO79" s="1703">
        <v>75</v>
      </c>
      <c r="BP79" s="1693">
        <v>88.35</v>
      </c>
      <c r="BQ79" s="1693">
        <v>90.8</v>
      </c>
      <c r="BR79" s="1693">
        <v>92.21</v>
      </c>
      <c r="BS79" s="1693">
        <v>94.14</v>
      </c>
      <c r="BT79" s="1693">
        <v>96.06</v>
      </c>
      <c r="BU79" s="1694">
        <v>97.99</v>
      </c>
      <c r="BV79" s="1694">
        <v>99.92</v>
      </c>
      <c r="BW79" s="1694">
        <v>101.85</v>
      </c>
      <c r="BX79" s="1695">
        <v>103.77</v>
      </c>
      <c r="BY79" s="1696">
        <v>105.7</v>
      </c>
      <c r="BZ79" s="1696">
        <v>107.63</v>
      </c>
      <c r="CA79" s="1695">
        <v>109.56</v>
      </c>
      <c r="CB79" s="1695">
        <v>111.48</v>
      </c>
      <c r="CC79" s="1704">
        <v>113.41</v>
      </c>
      <c r="CD79" s="1697">
        <v>115.34</v>
      </c>
      <c r="CE79" s="1698">
        <v>117.27</v>
      </c>
      <c r="CF79" s="1699">
        <v>119.19</v>
      </c>
      <c r="CG79" s="1699">
        <v>121.12</v>
      </c>
      <c r="CH79" s="1699">
        <v>123.05</v>
      </c>
      <c r="CI79" s="1699">
        <v>124.98</v>
      </c>
      <c r="CJ79" s="1699">
        <v>126.9</v>
      </c>
      <c r="CK79" s="1700">
        <v>109.66</v>
      </c>
      <c r="CL79" s="1700">
        <v>111.59</v>
      </c>
      <c r="CM79" s="1700">
        <v>113.52</v>
      </c>
      <c r="CN79" s="1700">
        <v>115.45</v>
      </c>
      <c r="CO79" s="1705">
        <v>117.37</v>
      </c>
      <c r="CP79" s="1706">
        <v>119.3</v>
      </c>
      <c r="CQ79" s="1701">
        <v>121.23</v>
      </c>
      <c r="CR79" s="1701">
        <v>123.16</v>
      </c>
      <c r="CS79" s="1707">
        <v>125.08</v>
      </c>
      <c r="CT79" s="1700">
        <v>127.01</v>
      </c>
      <c r="CU79" s="1700">
        <v>128.94</v>
      </c>
      <c r="CV79" s="1700">
        <v>130.87</v>
      </c>
      <c r="CW79" s="1700">
        <v>132.79</v>
      </c>
      <c r="CX79" s="1700">
        <v>134.72</v>
      </c>
      <c r="CY79" s="1700">
        <v>136.65</v>
      </c>
      <c r="CZ79" s="1700">
        <v>138.58000000000001</v>
      </c>
      <c r="DA79" s="1700">
        <v>140.5</v>
      </c>
      <c r="DB79" s="1700">
        <v>142.43</v>
      </c>
      <c r="DC79" s="1700">
        <v>144.36000000000001</v>
      </c>
      <c r="DD79" s="1700">
        <v>146.29</v>
      </c>
      <c r="DE79" s="1700">
        <v>148.21</v>
      </c>
      <c r="DF79" s="1700">
        <v>150.13999999999999</v>
      </c>
      <c r="DG79" s="1700">
        <v>152.07</v>
      </c>
      <c r="DH79" s="1700">
        <v>154</v>
      </c>
      <c r="DI79" s="1700">
        <v>155.91999999999999</v>
      </c>
      <c r="DJ79" s="1700">
        <v>157.85</v>
      </c>
      <c r="DK79" s="1700">
        <v>159.78</v>
      </c>
      <c r="DL79" s="1700">
        <v>161.71</v>
      </c>
      <c r="DM79" s="1700">
        <v>163.63</v>
      </c>
      <c r="DN79" s="1700">
        <v>165.56</v>
      </c>
      <c r="DO79" s="1700">
        <v>167.49</v>
      </c>
      <c r="DP79" s="1700">
        <v>169.42</v>
      </c>
      <c r="DQ79" s="1700">
        <v>171.34</v>
      </c>
      <c r="DR79" s="1700">
        <v>173.27</v>
      </c>
      <c r="DS79" s="1700"/>
      <c r="DT79" s="1700"/>
      <c r="DU79" s="1700"/>
      <c r="DV79" s="1700"/>
      <c r="DW79" s="1700"/>
      <c r="DX79" s="1700"/>
    </row>
    <row r="80" spans="1:128">
      <c r="A80" s="1622"/>
      <c r="B80" s="1691">
        <f t="shared" si="9"/>
        <v>76</v>
      </c>
      <c r="C80" s="1668" t="str">
        <f t="shared" si="6"/>
        <v>204.66</v>
      </c>
      <c r="D80" s="1672">
        <f t="shared" si="7"/>
        <v>286.52</v>
      </c>
      <c r="E80" s="1670"/>
      <c r="F80" s="1671" t="str">
        <f t="shared" si="8"/>
        <v>128.58</v>
      </c>
      <c r="G80" s="1672">
        <f t="shared" si="5"/>
        <v>180.01</v>
      </c>
      <c r="H80" s="1670"/>
      <c r="I80" s="1670"/>
      <c r="J80" s="1708">
        <v>76</v>
      </c>
      <c r="K80" s="1693">
        <v>149.34</v>
      </c>
      <c r="L80" s="1693">
        <v>152.1</v>
      </c>
      <c r="M80" s="1693">
        <v>154.87</v>
      </c>
      <c r="N80" s="1693">
        <v>157.63999999999999</v>
      </c>
      <c r="O80" s="1693">
        <v>160.4</v>
      </c>
      <c r="P80" s="1694">
        <v>163.16999999999999</v>
      </c>
      <c r="Q80" s="1694">
        <v>165.93</v>
      </c>
      <c r="R80" s="1694">
        <v>168.7</v>
      </c>
      <c r="S80" s="1695">
        <v>171.47</v>
      </c>
      <c r="T80" s="1696">
        <v>174.23</v>
      </c>
      <c r="U80" s="1696">
        <v>177</v>
      </c>
      <c r="V80" s="1695">
        <v>179.77</v>
      </c>
      <c r="W80" s="1695">
        <v>182.53</v>
      </c>
      <c r="X80" s="1695">
        <v>185.3</v>
      </c>
      <c r="Y80" s="1697">
        <v>188.07</v>
      </c>
      <c r="Z80" s="1698">
        <v>190.83</v>
      </c>
      <c r="AA80" s="1699">
        <v>193.6</v>
      </c>
      <c r="AB80" s="1699">
        <v>196.36</v>
      </c>
      <c r="AC80" s="1699">
        <v>199.13</v>
      </c>
      <c r="AD80" s="1699">
        <v>201.9</v>
      </c>
      <c r="AE80" s="1699">
        <v>204.66</v>
      </c>
      <c r="AF80" s="1683">
        <v>168.64</v>
      </c>
      <c r="AG80" s="1683">
        <v>171.41</v>
      </c>
      <c r="AH80" s="1683">
        <v>174.18</v>
      </c>
      <c r="AI80" s="1683">
        <v>176.94</v>
      </c>
      <c r="AJ80" s="1701">
        <v>179.71</v>
      </c>
      <c r="AK80" s="1701">
        <v>182.47</v>
      </c>
      <c r="AL80" s="1701">
        <v>185.24</v>
      </c>
      <c r="AM80" s="1701">
        <v>188.01</v>
      </c>
      <c r="AN80" s="1701">
        <v>190.77</v>
      </c>
      <c r="AO80" s="1702">
        <v>193.54</v>
      </c>
      <c r="AP80" s="1700">
        <v>196.31</v>
      </c>
      <c r="AQ80" s="1700">
        <v>199.07</v>
      </c>
      <c r="AR80" s="1700">
        <v>201.84</v>
      </c>
      <c r="AS80" s="1700">
        <v>204.61</v>
      </c>
      <c r="AT80" s="1683">
        <v>207.37</v>
      </c>
      <c r="AU80" s="1700">
        <v>210.14</v>
      </c>
      <c r="AV80" s="1683">
        <v>212.9</v>
      </c>
      <c r="AW80" s="1683">
        <v>215.67</v>
      </c>
      <c r="AX80" s="1683">
        <v>218.44</v>
      </c>
      <c r="AY80" s="1683">
        <v>221.2</v>
      </c>
      <c r="AZ80" s="1683">
        <v>223.97</v>
      </c>
      <c r="BA80" s="1683">
        <v>226.74</v>
      </c>
      <c r="BB80" s="1700">
        <v>229.5</v>
      </c>
      <c r="BC80" s="1683">
        <v>232.27</v>
      </c>
      <c r="BD80" s="1683">
        <v>235.04</v>
      </c>
      <c r="BE80" s="1683">
        <v>237.8</v>
      </c>
      <c r="BF80" s="1683">
        <v>240.57</v>
      </c>
      <c r="BG80" s="1683">
        <v>243.34</v>
      </c>
      <c r="BH80" s="1683">
        <v>246.1</v>
      </c>
      <c r="BI80" s="1683">
        <v>248.87</v>
      </c>
      <c r="BJ80" s="1683">
        <v>251.63</v>
      </c>
      <c r="BK80" s="1683">
        <v>254.4</v>
      </c>
      <c r="BL80" s="1683">
        <v>257.17</v>
      </c>
      <c r="BM80" s="1683">
        <v>259.93</v>
      </c>
      <c r="BN80" s="1683"/>
      <c r="BO80" s="1703">
        <v>76</v>
      </c>
      <c r="BP80" s="1693">
        <v>89.52</v>
      </c>
      <c r="BQ80" s="1693">
        <v>91.47</v>
      </c>
      <c r="BR80" s="1693">
        <v>93.43</v>
      </c>
      <c r="BS80" s="1693">
        <v>95.38</v>
      </c>
      <c r="BT80" s="1693">
        <v>97.33</v>
      </c>
      <c r="BU80" s="1694">
        <v>99.29</v>
      </c>
      <c r="BV80" s="1694">
        <v>101.24</v>
      </c>
      <c r="BW80" s="1694">
        <v>103.19</v>
      </c>
      <c r="BX80" s="1695">
        <v>105.15</v>
      </c>
      <c r="BY80" s="1696">
        <v>107.1</v>
      </c>
      <c r="BZ80" s="1696">
        <v>109.05</v>
      </c>
      <c r="CA80" s="1695">
        <v>111</v>
      </c>
      <c r="CB80" s="1695">
        <v>112.96</v>
      </c>
      <c r="CC80" s="1704">
        <v>114.91</v>
      </c>
      <c r="CD80" s="1697">
        <v>116.86</v>
      </c>
      <c r="CE80" s="1698">
        <v>118.82</v>
      </c>
      <c r="CF80" s="1699">
        <v>120.77</v>
      </c>
      <c r="CG80" s="1699">
        <v>122.72</v>
      </c>
      <c r="CH80" s="1699">
        <v>124.68</v>
      </c>
      <c r="CI80" s="1699">
        <v>126.63</v>
      </c>
      <c r="CJ80" s="1699">
        <v>128.58000000000001</v>
      </c>
      <c r="CK80" s="1700">
        <v>111.12</v>
      </c>
      <c r="CL80" s="1700">
        <v>113.07</v>
      </c>
      <c r="CM80" s="1700">
        <v>115.02</v>
      </c>
      <c r="CN80" s="1700">
        <v>116.98</v>
      </c>
      <c r="CO80" s="1705">
        <v>118.93</v>
      </c>
      <c r="CP80" s="1706">
        <v>120.88</v>
      </c>
      <c r="CQ80" s="1701">
        <v>122.84</v>
      </c>
      <c r="CR80" s="1701">
        <v>124.79</v>
      </c>
      <c r="CS80" s="1707">
        <v>126.74</v>
      </c>
      <c r="CT80" s="1700">
        <v>128.69999999999999</v>
      </c>
      <c r="CU80" s="1700">
        <v>130.65</v>
      </c>
      <c r="CV80" s="1700">
        <v>132.6</v>
      </c>
      <c r="CW80" s="1700">
        <v>134.56</v>
      </c>
      <c r="CX80" s="1700">
        <v>136.51</v>
      </c>
      <c r="CY80" s="1700">
        <v>138.46</v>
      </c>
      <c r="CZ80" s="1700">
        <v>140.41999999999999</v>
      </c>
      <c r="DA80" s="1700">
        <v>142.37</v>
      </c>
      <c r="DB80" s="1700">
        <v>144.32</v>
      </c>
      <c r="DC80" s="1700">
        <v>146.28</v>
      </c>
      <c r="DD80" s="1700">
        <v>148.22999999999999</v>
      </c>
      <c r="DE80" s="1700">
        <v>150.18</v>
      </c>
      <c r="DF80" s="1700">
        <v>152.13999999999999</v>
      </c>
      <c r="DG80" s="1700">
        <v>154.09</v>
      </c>
      <c r="DH80" s="1700">
        <v>156.04</v>
      </c>
      <c r="DI80" s="1700">
        <v>158</v>
      </c>
      <c r="DJ80" s="1700">
        <v>159.94999999999999</v>
      </c>
      <c r="DK80" s="1700">
        <v>161.9</v>
      </c>
      <c r="DL80" s="1700">
        <v>163.85</v>
      </c>
      <c r="DM80" s="1700">
        <v>165.81</v>
      </c>
      <c r="DN80" s="1700">
        <v>167.76</v>
      </c>
      <c r="DO80" s="1700">
        <v>169.71</v>
      </c>
      <c r="DP80" s="1700">
        <v>171.67</v>
      </c>
      <c r="DQ80" s="1700">
        <v>173.62</v>
      </c>
      <c r="DR80" s="1700">
        <v>175.57</v>
      </c>
      <c r="DS80" s="1700"/>
      <c r="DT80" s="1700"/>
      <c r="DU80" s="1700"/>
      <c r="DV80" s="1700"/>
      <c r="DW80" s="1700"/>
      <c r="DX80" s="1700"/>
    </row>
    <row r="81" spans="1:128">
      <c r="A81" s="1622"/>
      <c r="B81" s="1691">
        <f t="shared" si="9"/>
        <v>77</v>
      </c>
      <c r="C81" s="1668" t="str">
        <f t="shared" si="6"/>
        <v>207.3</v>
      </c>
      <c r="D81" s="1672">
        <f t="shared" si="7"/>
        <v>290.22000000000003</v>
      </c>
      <c r="E81" s="1670"/>
      <c r="F81" s="1671" t="str">
        <f t="shared" si="8"/>
        <v>130.26</v>
      </c>
      <c r="G81" s="1672">
        <f t="shared" si="5"/>
        <v>182.36</v>
      </c>
      <c r="H81" s="1670"/>
      <c r="I81" s="1670"/>
      <c r="J81" s="1708">
        <v>77</v>
      </c>
      <c r="K81" s="1693">
        <v>151.25</v>
      </c>
      <c r="L81" s="1693">
        <v>154.05000000000001</v>
      </c>
      <c r="M81" s="1693">
        <v>156.85</v>
      </c>
      <c r="N81" s="1693">
        <v>159.66</v>
      </c>
      <c r="O81" s="1693">
        <v>162.46</v>
      </c>
      <c r="P81" s="1694">
        <v>165.26</v>
      </c>
      <c r="Q81" s="1694">
        <v>168.06</v>
      </c>
      <c r="R81" s="1694">
        <v>170.87</v>
      </c>
      <c r="S81" s="1695">
        <v>173.67</v>
      </c>
      <c r="T81" s="1696">
        <v>176.47</v>
      </c>
      <c r="U81" s="1696">
        <v>179.28</v>
      </c>
      <c r="V81" s="1695">
        <v>182.08</v>
      </c>
      <c r="W81" s="1695">
        <v>184.88</v>
      </c>
      <c r="X81" s="1695">
        <v>187.68</v>
      </c>
      <c r="Y81" s="1697">
        <v>190.49</v>
      </c>
      <c r="Z81" s="1698">
        <v>193.29</v>
      </c>
      <c r="AA81" s="1699">
        <v>196.09</v>
      </c>
      <c r="AB81" s="1699">
        <v>198.9</v>
      </c>
      <c r="AC81" s="1699">
        <v>201.7</v>
      </c>
      <c r="AD81" s="1699">
        <v>204.5</v>
      </c>
      <c r="AE81" s="1699">
        <v>207.3</v>
      </c>
      <c r="AF81" s="1700">
        <v>170.83</v>
      </c>
      <c r="AG81" s="1700">
        <v>173.63</v>
      </c>
      <c r="AH81" s="1700">
        <v>176.44</v>
      </c>
      <c r="AI81" s="1700">
        <v>179.24</v>
      </c>
      <c r="AJ81" s="1701">
        <v>182.04</v>
      </c>
      <c r="AK81" s="1701">
        <v>184.84</v>
      </c>
      <c r="AL81" s="1701">
        <v>187.65</v>
      </c>
      <c r="AM81" s="1701">
        <v>190.45</v>
      </c>
      <c r="AN81" s="1701">
        <v>193.25</v>
      </c>
      <c r="AO81" s="1702">
        <v>196.06</v>
      </c>
      <c r="AP81" s="1700">
        <v>198.86</v>
      </c>
      <c r="AQ81" s="1700">
        <v>201.66</v>
      </c>
      <c r="AR81" s="1683">
        <v>204.46</v>
      </c>
      <c r="AS81" s="1700">
        <v>207.27</v>
      </c>
      <c r="AT81" s="1700">
        <v>210.07</v>
      </c>
      <c r="AU81" s="1700">
        <v>212.87</v>
      </c>
      <c r="AV81" s="1700">
        <v>215.68</v>
      </c>
      <c r="AW81" s="1700">
        <v>218.48</v>
      </c>
      <c r="AX81" s="1700">
        <v>221.28</v>
      </c>
      <c r="AY81" s="1700">
        <v>224.08</v>
      </c>
      <c r="AZ81" s="1700">
        <v>226.89</v>
      </c>
      <c r="BA81" s="1700">
        <v>229.69</v>
      </c>
      <c r="BB81" s="1700">
        <v>232.49</v>
      </c>
      <c r="BC81" s="1700">
        <v>235.29</v>
      </c>
      <c r="BD81" s="1700">
        <v>238.1</v>
      </c>
      <c r="BE81" s="1700">
        <v>240.9</v>
      </c>
      <c r="BF81" s="1700">
        <v>243.7</v>
      </c>
      <c r="BG81" s="1700">
        <v>246.51</v>
      </c>
      <c r="BH81" s="1700">
        <v>249.31</v>
      </c>
      <c r="BI81" s="1700">
        <v>252.11</v>
      </c>
      <c r="BJ81" s="1700">
        <v>254.91</v>
      </c>
      <c r="BK81" s="1700">
        <v>257.72000000000003</v>
      </c>
      <c r="BL81" s="1700">
        <v>260.52</v>
      </c>
      <c r="BM81" s="1700">
        <v>263.32</v>
      </c>
      <c r="BN81" s="1700"/>
      <c r="BO81" s="1703">
        <v>77</v>
      </c>
      <c r="BP81" s="1693">
        <v>90.69</v>
      </c>
      <c r="BQ81" s="1693">
        <v>92.67</v>
      </c>
      <c r="BR81" s="1693">
        <v>94.64</v>
      </c>
      <c r="BS81" s="1693">
        <v>96.62</v>
      </c>
      <c r="BT81" s="1693">
        <v>98.6</v>
      </c>
      <c r="BU81" s="1694">
        <v>100.58</v>
      </c>
      <c r="BV81" s="1694">
        <v>102.56</v>
      </c>
      <c r="BW81" s="1694">
        <v>104.54</v>
      </c>
      <c r="BX81" s="1695">
        <v>106.52</v>
      </c>
      <c r="BY81" s="1696">
        <v>108.5</v>
      </c>
      <c r="BZ81" s="1696">
        <v>110.48</v>
      </c>
      <c r="CA81" s="1695">
        <v>112.45</v>
      </c>
      <c r="CB81" s="1695">
        <v>114.43</v>
      </c>
      <c r="CC81" s="1704">
        <v>116.41</v>
      </c>
      <c r="CD81" s="1697">
        <v>118.39</v>
      </c>
      <c r="CE81" s="1698">
        <v>120.37</v>
      </c>
      <c r="CF81" s="1699">
        <v>122.35</v>
      </c>
      <c r="CG81" s="1699">
        <v>124.33</v>
      </c>
      <c r="CH81" s="1699">
        <v>126.31</v>
      </c>
      <c r="CI81" s="1699">
        <v>128.29</v>
      </c>
      <c r="CJ81" s="1699">
        <v>130.26</v>
      </c>
      <c r="CK81" s="1700">
        <v>112.57</v>
      </c>
      <c r="CL81" s="1700">
        <v>114.55</v>
      </c>
      <c r="CM81" s="1700">
        <v>116.53</v>
      </c>
      <c r="CN81" s="1700">
        <v>118.51</v>
      </c>
      <c r="CO81" s="1705">
        <v>120.49</v>
      </c>
      <c r="CP81" s="1706">
        <v>122.47</v>
      </c>
      <c r="CQ81" s="1701">
        <v>124.45</v>
      </c>
      <c r="CR81" s="1701">
        <v>126.43</v>
      </c>
      <c r="CS81" s="1707">
        <v>128.4</v>
      </c>
      <c r="CT81" s="1700">
        <v>130.38</v>
      </c>
      <c r="CU81" s="1700">
        <v>132.36000000000001</v>
      </c>
      <c r="CV81" s="1700">
        <v>134.34</v>
      </c>
      <c r="CW81" s="1700">
        <v>136.32</v>
      </c>
      <c r="CX81" s="1700">
        <v>138.30000000000001</v>
      </c>
      <c r="CY81" s="1700">
        <v>140.28</v>
      </c>
      <c r="CZ81" s="1700">
        <v>142.26</v>
      </c>
      <c r="DA81" s="1700">
        <v>144.24</v>
      </c>
      <c r="DB81" s="1700">
        <v>146.22</v>
      </c>
      <c r="DC81" s="1700">
        <v>148.19</v>
      </c>
      <c r="DD81" s="1700">
        <v>150.16999999999999</v>
      </c>
      <c r="DE81" s="1700">
        <v>152.15</v>
      </c>
      <c r="DF81" s="1700">
        <v>154.13</v>
      </c>
      <c r="DG81" s="1700">
        <v>156.11000000000001</v>
      </c>
      <c r="DH81" s="1700">
        <v>158.09</v>
      </c>
      <c r="DI81" s="1700">
        <v>160.07</v>
      </c>
      <c r="DJ81" s="1700">
        <v>160.05000000000001</v>
      </c>
      <c r="DK81" s="1700">
        <v>164.03</v>
      </c>
      <c r="DL81" s="1700">
        <v>166</v>
      </c>
      <c r="DM81" s="1700">
        <v>167.98</v>
      </c>
      <c r="DN81" s="1700">
        <v>169.96</v>
      </c>
      <c r="DO81" s="1700">
        <v>171.94</v>
      </c>
      <c r="DP81" s="1700">
        <v>173.92</v>
      </c>
      <c r="DQ81" s="1700">
        <v>175.9</v>
      </c>
      <c r="DR81" s="1700">
        <v>177.88</v>
      </c>
      <c r="DS81" s="1700"/>
      <c r="DT81" s="1700"/>
      <c r="DU81" s="1700"/>
      <c r="DV81" s="1700"/>
      <c r="DW81" s="1700"/>
      <c r="DX81" s="1700"/>
    </row>
    <row r="82" spans="1:128">
      <c r="A82" s="1622"/>
      <c r="B82" s="1691">
        <f t="shared" si="9"/>
        <v>78</v>
      </c>
      <c r="C82" s="1668" t="str">
        <f t="shared" si="6"/>
        <v>209.95</v>
      </c>
      <c r="D82" s="1672">
        <f t="shared" si="7"/>
        <v>293.93</v>
      </c>
      <c r="E82" s="1670"/>
      <c r="F82" s="1671" t="str">
        <f t="shared" si="8"/>
        <v>131.95</v>
      </c>
      <c r="G82" s="1672">
        <f t="shared" si="5"/>
        <v>184.73</v>
      </c>
      <c r="H82" s="1670"/>
      <c r="I82" s="1670"/>
      <c r="J82" s="1708">
        <v>78</v>
      </c>
      <c r="K82" s="1693">
        <v>153.16999999999999</v>
      </c>
      <c r="L82" s="1693">
        <v>156.01</v>
      </c>
      <c r="M82" s="1693">
        <v>158.85</v>
      </c>
      <c r="N82" s="1693">
        <v>161.69</v>
      </c>
      <c r="O82" s="1693">
        <v>164.53</v>
      </c>
      <c r="P82" s="1694">
        <v>167.36</v>
      </c>
      <c r="Q82" s="1694">
        <v>170.2</v>
      </c>
      <c r="R82" s="1694">
        <v>173.04</v>
      </c>
      <c r="S82" s="1695">
        <v>175.88</v>
      </c>
      <c r="T82" s="1696">
        <v>178.72</v>
      </c>
      <c r="U82" s="1696">
        <v>181.56</v>
      </c>
      <c r="V82" s="1695">
        <v>184.4</v>
      </c>
      <c r="W82" s="1695">
        <v>187.24</v>
      </c>
      <c r="X82" s="1695">
        <v>190.08</v>
      </c>
      <c r="Y82" s="1697">
        <v>192.92</v>
      </c>
      <c r="Z82" s="1698">
        <v>195.76</v>
      </c>
      <c r="AA82" s="1699">
        <v>198.6</v>
      </c>
      <c r="AB82" s="1699">
        <v>201.44</v>
      </c>
      <c r="AC82" s="1699">
        <v>204.27</v>
      </c>
      <c r="AD82" s="1699">
        <v>207.11</v>
      </c>
      <c r="AE82" s="1699">
        <v>209.95</v>
      </c>
      <c r="AF82" s="1700">
        <v>173.02</v>
      </c>
      <c r="AG82" s="1700">
        <v>175.86</v>
      </c>
      <c r="AH82" s="1700">
        <v>178.7</v>
      </c>
      <c r="AI82" s="1700">
        <v>181.54</v>
      </c>
      <c r="AJ82" s="1701">
        <v>184.38</v>
      </c>
      <c r="AK82" s="1701">
        <v>187.22</v>
      </c>
      <c r="AL82" s="1701">
        <v>190.06</v>
      </c>
      <c r="AM82" s="1701">
        <v>192.9</v>
      </c>
      <c r="AN82" s="1701">
        <v>195.74</v>
      </c>
      <c r="AO82" s="1702">
        <v>198.58</v>
      </c>
      <c r="AP82" s="1700">
        <v>201.42</v>
      </c>
      <c r="AQ82" s="1700">
        <v>204.26</v>
      </c>
      <c r="AR82" s="1700">
        <v>207.09</v>
      </c>
      <c r="AS82" s="1700">
        <v>209.93</v>
      </c>
      <c r="AT82" s="1700">
        <v>212.77</v>
      </c>
      <c r="AU82" s="1700">
        <v>215.61</v>
      </c>
      <c r="AV82" s="1700">
        <v>218.45</v>
      </c>
      <c r="AW82" s="1700">
        <v>221.29</v>
      </c>
      <c r="AX82" s="1700">
        <v>224.13</v>
      </c>
      <c r="AY82" s="1700">
        <v>226.97</v>
      </c>
      <c r="AZ82" s="1700">
        <v>229.81</v>
      </c>
      <c r="BA82" s="1700">
        <v>232.65</v>
      </c>
      <c r="BB82" s="1683">
        <v>235.49</v>
      </c>
      <c r="BC82" s="1700">
        <v>238.33</v>
      </c>
      <c r="BD82" s="1700">
        <v>241.16</v>
      </c>
      <c r="BE82" s="1700">
        <v>244</v>
      </c>
      <c r="BF82" s="1700">
        <v>246.84</v>
      </c>
      <c r="BG82" s="1700">
        <v>249.68</v>
      </c>
      <c r="BH82" s="1700">
        <v>252.52</v>
      </c>
      <c r="BI82" s="1700">
        <v>255.36</v>
      </c>
      <c r="BJ82" s="1700">
        <v>258.2</v>
      </c>
      <c r="BK82" s="1700">
        <v>261.04000000000002</v>
      </c>
      <c r="BL82" s="1700">
        <v>263.88</v>
      </c>
      <c r="BM82" s="1700">
        <v>266.72000000000003</v>
      </c>
      <c r="BN82" s="1700"/>
      <c r="BO82" s="1703">
        <v>78</v>
      </c>
      <c r="BP82" s="1693">
        <v>91.69</v>
      </c>
      <c r="BQ82" s="1693">
        <v>93.86</v>
      </c>
      <c r="BR82" s="1693">
        <v>95.87</v>
      </c>
      <c r="BS82" s="1693">
        <v>97.87</v>
      </c>
      <c r="BT82" s="1693">
        <v>99.88</v>
      </c>
      <c r="BU82" s="1694">
        <v>101.88</v>
      </c>
      <c r="BV82" s="1694">
        <v>103.88</v>
      </c>
      <c r="BW82" s="1694">
        <v>105.89</v>
      </c>
      <c r="BX82" s="1695">
        <v>107.89</v>
      </c>
      <c r="BY82" s="1696">
        <v>109.9</v>
      </c>
      <c r="BZ82" s="1696">
        <v>111.9</v>
      </c>
      <c r="CA82" s="1695">
        <v>113.91</v>
      </c>
      <c r="CB82" s="1695">
        <v>115.91</v>
      </c>
      <c r="CC82" s="1704">
        <v>117.92</v>
      </c>
      <c r="CD82" s="1697">
        <v>119.92</v>
      </c>
      <c r="CE82" s="1698">
        <v>121.93</v>
      </c>
      <c r="CF82" s="1699">
        <v>123.93</v>
      </c>
      <c r="CG82" s="1699">
        <v>125.94</v>
      </c>
      <c r="CH82" s="1699">
        <v>127.94</v>
      </c>
      <c r="CI82" s="1699">
        <v>129.94</v>
      </c>
      <c r="CJ82" s="1699">
        <v>131.94999999999999</v>
      </c>
      <c r="CK82" s="1700">
        <v>114.03</v>
      </c>
      <c r="CL82" s="1700">
        <v>116.04</v>
      </c>
      <c r="CM82" s="1700">
        <v>118.04</v>
      </c>
      <c r="CN82" s="1700">
        <v>120.04</v>
      </c>
      <c r="CO82" s="1705">
        <v>122.05</v>
      </c>
      <c r="CP82" s="1706">
        <v>124.05</v>
      </c>
      <c r="CQ82" s="1701">
        <v>126.06</v>
      </c>
      <c r="CR82" s="1701">
        <v>128.06</v>
      </c>
      <c r="CS82" s="1707">
        <v>130.07</v>
      </c>
      <c r="CT82" s="1700">
        <v>132.07</v>
      </c>
      <c r="CU82" s="1700">
        <v>134.08000000000001</v>
      </c>
      <c r="CV82" s="1700">
        <v>136.08000000000001</v>
      </c>
      <c r="CW82" s="1700">
        <v>138.09</v>
      </c>
      <c r="CX82" s="1700">
        <v>140.09</v>
      </c>
      <c r="CY82" s="1700">
        <v>142.1</v>
      </c>
      <c r="CZ82" s="1700">
        <v>144.1</v>
      </c>
      <c r="DA82" s="1700">
        <v>146.1</v>
      </c>
      <c r="DB82" s="1700">
        <v>148.11000000000001</v>
      </c>
      <c r="DC82" s="1700">
        <v>150.11000000000001</v>
      </c>
      <c r="DD82" s="1700">
        <v>152.12</v>
      </c>
      <c r="DE82" s="1700">
        <v>154.12</v>
      </c>
      <c r="DF82" s="1700">
        <v>156.13</v>
      </c>
      <c r="DG82" s="1700">
        <v>158.13</v>
      </c>
      <c r="DH82" s="1700">
        <v>160.13999999999999</v>
      </c>
      <c r="DI82" s="1700">
        <v>162.13999999999999</v>
      </c>
      <c r="DJ82" s="1700">
        <v>164.15</v>
      </c>
      <c r="DK82" s="1700">
        <v>166.15</v>
      </c>
      <c r="DL82" s="1700">
        <v>168.16</v>
      </c>
      <c r="DM82" s="1700">
        <v>170.16</v>
      </c>
      <c r="DN82" s="1700">
        <v>172.16</v>
      </c>
      <c r="DO82" s="1700">
        <v>174.17</v>
      </c>
      <c r="DP82" s="1700">
        <v>176.17</v>
      </c>
      <c r="DQ82" s="1700">
        <v>178.18</v>
      </c>
      <c r="DR82" s="1700">
        <v>180.18</v>
      </c>
      <c r="DS82" s="1700"/>
      <c r="DT82" s="1700"/>
      <c r="DU82" s="1700"/>
      <c r="DV82" s="1700"/>
      <c r="DW82" s="1700"/>
      <c r="DX82" s="1700"/>
    </row>
    <row r="83" spans="1:128">
      <c r="A83" s="1622"/>
      <c r="B83" s="1691">
        <f t="shared" si="9"/>
        <v>79</v>
      </c>
      <c r="C83" s="1668" t="str">
        <f t="shared" si="6"/>
        <v>212.72</v>
      </c>
      <c r="D83" s="1672">
        <f t="shared" si="7"/>
        <v>297.81</v>
      </c>
      <c r="E83" s="1670"/>
      <c r="F83" s="1671" t="str">
        <f t="shared" si="8"/>
        <v>133.64</v>
      </c>
      <c r="G83" s="1672">
        <f t="shared" si="5"/>
        <v>187.1</v>
      </c>
      <c r="H83" s="1670"/>
      <c r="I83" s="1670"/>
      <c r="J83" s="1708">
        <v>79</v>
      </c>
      <c r="K83" s="1693">
        <v>155.21</v>
      </c>
      <c r="L83" s="1693">
        <v>158.08000000000001</v>
      </c>
      <c r="M83" s="1693">
        <v>160.96</v>
      </c>
      <c r="N83" s="1693">
        <v>163.83000000000001</v>
      </c>
      <c r="O83" s="1693">
        <v>166.71</v>
      </c>
      <c r="P83" s="1694">
        <v>169.59</v>
      </c>
      <c r="Q83" s="1694">
        <v>172.46</v>
      </c>
      <c r="R83" s="1694">
        <v>175.34</v>
      </c>
      <c r="S83" s="1695">
        <v>178.21</v>
      </c>
      <c r="T83" s="1696">
        <v>181.09</v>
      </c>
      <c r="U83" s="1696">
        <v>183.96</v>
      </c>
      <c r="V83" s="1695">
        <v>186.84</v>
      </c>
      <c r="W83" s="1695">
        <v>189.71</v>
      </c>
      <c r="X83" s="1695">
        <v>192.59</v>
      </c>
      <c r="Y83" s="1697">
        <v>195.47</v>
      </c>
      <c r="Z83" s="1698">
        <v>198.34</v>
      </c>
      <c r="AA83" s="1699">
        <v>201.22</v>
      </c>
      <c r="AB83" s="1699">
        <v>204.09</v>
      </c>
      <c r="AC83" s="1699">
        <v>206.97</v>
      </c>
      <c r="AD83" s="1699">
        <v>209.84</v>
      </c>
      <c r="AE83" s="1699">
        <v>212.72</v>
      </c>
      <c r="AF83" s="1683">
        <v>175.29</v>
      </c>
      <c r="AG83" s="1683">
        <v>178.16</v>
      </c>
      <c r="AH83" s="1683">
        <v>181.04</v>
      </c>
      <c r="AI83" s="1683">
        <v>183.91</v>
      </c>
      <c r="AJ83" s="1701">
        <v>186.79</v>
      </c>
      <c r="AK83" s="1701">
        <v>189.66</v>
      </c>
      <c r="AL83" s="1701">
        <v>192.54</v>
      </c>
      <c r="AM83" s="1701">
        <v>195.42</v>
      </c>
      <c r="AN83" s="1701">
        <v>198.29</v>
      </c>
      <c r="AO83" s="1702">
        <v>201.17</v>
      </c>
      <c r="AP83" s="1700">
        <v>204.04</v>
      </c>
      <c r="AQ83" s="1700">
        <v>206.92</v>
      </c>
      <c r="AR83" s="1683">
        <v>209.79</v>
      </c>
      <c r="AS83" s="1700">
        <v>212.67</v>
      </c>
      <c r="AT83" s="1683">
        <v>215.54</v>
      </c>
      <c r="AU83" s="1700">
        <v>218.42</v>
      </c>
      <c r="AV83" s="1683">
        <v>221.3</v>
      </c>
      <c r="AW83" s="1683">
        <v>224.17</v>
      </c>
      <c r="AX83" s="1683">
        <v>227.05</v>
      </c>
      <c r="AY83" s="1683">
        <v>229.92</v>
      </c>
      <c r="AZ83" s="1683">
        <v>232.8</v>
      </c>
      <c r="BA83" s="1683">
        <v>235.67</v>
      </c>
      <c r="BB83" s="1700">
        <v>238.55</v>
      </c>
      <c r="BC83" s="1683">
        <v>241.42</v>
      </c>
      <c r="BD83" s="1683">
        <v>244.3</v>
      </c>
      <c r="BE83" s="1683">
        <v>247.18</v>
      </c>
      <c r="BF83" s="1683">
        <v>250.05</v>
      </c>
      <c r="BG83" s="1683">
        <v>252.93</v>
      </c>
      <c r="BH83" s="1683">
        <v>255.8</v>
      </c>
      <c r="BI83" s="1683">
        <v>258.68</v>
      </c>
      <c r="BJ83" s="1683">
        <v>261.55</v>
      </c>
      <c r="BK83" s="1683">
        <v>264.43</v>
      </c>
      <c r="BL83" s="1683">
        <v>267.31</v>
      </c>
      <c r="BM83" s="1683">
        <v>270.18</v>
      </c>
      <c r="BN83" s="1683"/>
      <c r="BO83" s="1703">
        <v>79</v>
      </c>
      <c r="BP83" s="1693">
        <v>93.03</v>
      </c>
      <c r="BQ83" s="1693">
        <v>95.06</v>
      </c>
      <c r="BR83" s="1693">
        <v>97.09</v>
      </c>
      <c r="BS83" s="1693">
        <v>99.12</v>
      </c>
      <c r="BT83" s="1693">
        <v>101.15</v>
      </c>
      <c r="BU83" s="1694">
        <v>103.18</v>
      </c>
      <c r="BV83" s="1694">
        <v>105.21</v>
      </c>
      <c r="BW83" s="1694">
        <v>107.24</v>
      </c>
      <c r="BX83" s="1695">
        <v>109.27</v>
      </c>
      <c r="BY83" s="1696">
        <v>111.3</v>
      </c>
      <c r="BZ83" s="1696">
        <v>113.33</v>
      </c>
      <c r="CA83" s="1695">
        <v>115.36</v>
      </c>
      <c r="CB83" s="1695">
        <v>117.39</v>
      </c>
      <c r="CC83" s="1704">
        <v>119.42</v>
      </c>
      <c r="CD83" s="1697">
        <v>121.45</v>
      </c>
      <c r="CE83" s="1698">
        <v>123.48</v>
      </c>
      <c r="CF83" s="1699">
        <v>125.51</v>
      </c>
      <c r="CG83" s="1699">
        <v>127.54</v>
      </c>
      <c r="CH83" s="1699">
        <v>129.58000000000001</v>
      </c>
      <c r="CI83" s="1699">
        <v>131.61000000000001</v>
      </c>
      <c r="CJ83" s="1699">
        <v>133.63999999999999</v>
      </c>
      <c r="CK83" s="1700">
        <v>115.49</v>
      </c>
      <c r="CL83" s="1700">
        <v>117.52</v>
      </c>
      <c r="CM83" s="1700">
        <v>119.55</v>
      </c>
      <c r="CN83" s="1700">
        <v>121.58</v>
      </c>
      <c r="CO83" s="1705">
        <v>123.61</v>
      </c>
      <c r="CP83" s="1706">
        <v>125.64</v>
      </c>
      <c r="CQ83" s="1701">
        <v>127.67</v>
      </c>
      <c r="CR83" s="1701">
        <v>129.69999999999999</v>
      </c>
      <c r="CS83" s="1707">
        <v>131.72999999999999</v>
      </c>
      <c r="CT83" s="1700">
        <v>133.76</v>
      </c>
      <c r="CU83" s="1700">
        <v>135.79</v>
      </c>
      <c r="CV83" s="1700">
        <v>137.82</v>
      </c>
      <c r="CW83" s="1700">
        <v>139.85</v>
      </c>
      <c r="CX83" s="1700">
        <v>141.88</v>
      </c>
      <c r="CY83" s="1700">
        <v>143.91</v>
      </c>
      <c r="CZ83" s="1700">
        <v>145.94</v>
      </c>
      <c r="DA83" s="1700">
        <v>147.97</v>
      </c>
      <c r="DB83" s="1700">
        <v>150</v>
      </c>
      <c r="DC83" s="1700">
        <v>152.04</v>
      </c>
      <c r="DD83" s="1700">
        <v>154.07</v>
      </c>
      <c r="DE83" s="1700">
        <v>156.1</v>
      </c>
      <c r="DF83" s="1700">
        <v>158.13</v>
      </c>
      <c r="DG83" s="1700">
        <v>160.16</v>
      </c>
      <c r="DH83" s="1700">
        <v>162.19</v>
      </c>
      <c r="DI83" s="1700">
        <v>164.22</v>
      </c>
      <c r="DJ83" s="1700">
        <v>166.25</v>
      </c>
      <c r="DK83" s="1700">
        <v>168.28</v>
      </c>
      <c r="DL83" s="1700">
        <v>170.31</v>
      </c>
      <c r="DM83" s="1700">
        <v>172.34</v>
      </c>
      <c r="DN83" s="1700">
        <v>174.37</v>
      </c>
      <c r="DO83" s="1700">
        <v>176.4</v>
      </c>
      <c r="DP83" s="1700">
        <v>178.43</v>
      </c>
      <c r="DQ83" s="1700">
        <v>180.46</v>
      </c>
      <c r="DR83" s="1700">
        <v>182.49</v>
      </c>
      <c r="DS83" s="1700"/>
      <c r="DT83" s="1700"/>
      <c r="DU83" s="1700"/>
      <c r="DV83" s="1700"/>
      <c r="DW83" s="1700"/>
      <c r="DX83" s="1700"/>
    </row>
    <row r="84" spans="1:128">
      <c r="A84" s="1622"/>
      <c r="B84" s="1691">
        <f t="shared" si="9"/>
        <v>80</v>
      </c>
      <c r="C84" s="1668" t="str">
        <f t="shared" si="6"/>
        <v>215.39</v>
      </c>
      <c r="D84" s="1672">
        <f t="shared" si="7"/>
        <v>301.55</v>
      </c>
      <c r="E84" s="1670"/>
      <c r="F84" s="1671" t="str">
        <f t="shared" si="8"/>
        <v>135.33</v>
      </c>
      <c r="G84" s="1672">
        <f t="shared" si="5"/>
        <v>189.46</v>
      </c>
      <c r="H84" s="1670"/>
      <c r="I84" s="1670"/>
      <c r="J84" s="1708">
        <v>80</v>
      </c>
      <c r="K84" s="1693">
        <v>157.15</v>
      </c>
      <c r="L84" s="1693">
        <v>160.06</v>
      </c>
      <c r="M84" s="1693">
        <v>162.97999999999999</v>
      </c>
      <c r="N84" s="1693">
        <v>165.89</v>
      </c>
      <c r="O84" s="1693">
        <v>168.8</v>
      </c>
      <c r="P84" s="1694">
        <v>171.71</v>
      </c>
      <c r="Q84" s="1694">
        <v>174.62</v>
      </c>
      <c r="R84" s="1694">
        <v>177.54</v>
      </c>
      <c r="S84" s="1695">
        <v>180.45</v>
      </c>
      <c r="T84" s="1696">
        <v>183.36</v>
      </c>
      <c r="U84" s="1696">
        <v>186.27</v>
      </c>
      <c r="V84" s="1695">
        <v>189.18</v>
      </c>
      <c r="W84" s="1695">
        <v>192.1</v>
      </c>
      <c r="X84" s="1695">
        <v>195.01</v>
      </c>
      <c r="Y84" s="1697">
        <v>197.92</v>
      </c>
      <c r="Z84" s="1698">
        <v>200.83</v>
      </c>
      <c r="AA84" s="1699">
        <v>203.74</v>
      </c>
      <c r="AB84" s="1699">
        <v>206.66</v>
      </c>
      <c r="AC84" s="1699">
        <v>209.57</v>
      </c>
      <c r="AD84" s="1699">
        <v>212.48</v>
      </c>
      <c r="AE84" s="1699">
        <v>215.39</v>
      </c>
      <c r="AF84" s="1700">
        <v>177.49</v>
      </c>
      <c r="AG84" s="1700">
        <v>180.4</v>
      </c>
      <c r="AH84" s="1700">
        <v>183.32</v>
      </c>
      <c r="AI84" s="1700">
        <v>186.23</v>
      </c>
      <c r="AJ84" s="1701">
        <v>189.14</v>
      </c>
      <c r="AK84" s="1701">
        <v>192.05</v>
      </c>
      <c r="AL84" s="1701">
        <v>194.96</v>
      </c>
      <c r="AM84" s="1701">
        <v>197.88</v>
      </c>
      <c r="AN84" s="1701">
        <v>200.79</v>
      </c>
      <c r="AO84" s="1702">
        <v>203.7</v>
      </c>
      <c r="AP84" s="1700">
        <v>206.61</v>
      </c>
      <c r="AQ84" s="1700">
        <v>209.52</v>
      </c>
      <c r="AR84" s="1700">
        <v>212.44</v>
      </c>
      <c r="AS84" s="1700">
        <v>215.35</v>
      </c>
      <c r="AT84" s="1700">
        <v>218.26</v>
      </c>
      <c r="AU84" s="1700">
        <v>221.17</v>
      </c>
      <c r="AV84" s="1700">
        <v>224.08</v>
      </c>
      <c r="AW84" s="1700">
        <v>227</v>
      </c>
      <c r="AX84" s="1700">
        <v>229.91</v>
      </c>
      <c r="AY84" s="1700">
        <v>232.82</v>
      </c>
      <c r="AZ84" s="1700">
        <v>235.73</v>
      </c>
      <c r="BA84" s="1700">
        <v>238.64</v>
      </c>
      <c r="BB84" s="1700">
        <v>241.56</v>
      </c>
      <c r="BC84" s="1700">
        <v>244.47</v>
      </c>
      <c r="BD84" s="1700">
        <v>247.38</v>
      </c>
      <c r="BE84" s="1700">
        <v>250.29</v>
      </c>
      <c r="BF84" s="1700">
        <v>253.2</v>
      </c>
      <c r="BG84" s="1700">
        <v>256.12</v>
      </c>
      <c r="BH84" s="1700">
        <v>259.02999999999997</v>
      </c>
      <c r="BI84" s="1700">
        <v>261.94</v>
      </c>
      <c r="BJ84" s="1700">
        <v>264.85000000000002</v>
      </c>
      <c r="BK84" s="1700">
        <v>267.76</v>
      </c>
      <c r="BL84" s="1700">
        <v>270.68</v>
      </c>
      <c r="BM84" s="1700">
        <v>273.58999999999997</v>
      </c>
      <c r="BN84" s="1700"/>
      <c r="BO84" s="1703">
        <v>80</v>
      </c>
      <c r="BP84" s="1693">
        <v>94.21</v>
      </c>
      <c r="BQ84" s="1693">
        <v>96.26</v>
      </c>
      <c r="BR84" s="1693">
        <v>98.32</v>
      </c>
      <c r="BS84" s="1693">
        <v>100.37</v>
      </c>
      <c r="BT84" s="1693">
        <v>102.43</v>
      </c>
      <c r="BU84" s="1694">
        <v>104.49</v>
      </c>
      <c r="BV84" s="1694">
        <v>106.54</v>
      </c>
      <c r="BW84" s="1694">
        <v>108.6</v>
      </c>
      <c r="BX84" s="1695">
        <v>110.65</v>
      </c>
      <c r="BY84" s="1696">
        <v>112.71</v>
      </c>
      <c r="BZ84" s="1696">
        <v>114.77</v>
      </c>
      <c r="CA84" s="1695">
        <v>116.82</v>
      </c>
      <c r="CB84" s="1695">
        <v>118.88</v>
      </c>
      <c r="CC84" s="1704">
        <v>120.93</v>
      </c>
      <c r="CD84" s="1697">
        <v>122.99</v>
      </c>
      <c r="CE84" s="1698">
        <v>125.05</v>
      </c>
      <c r="CF84" s="1699">
        <v>127.1</v>
      </c>
      <c r="CG84" s="1699">
        <v>129.16</v>
      </c>
      <c r="CH84" s="1699">
        <v>131.21</v>
      </c>
      <c r="CI84" s="1699">
        <v>133.27000000000001</v>
      </c>
      <c r="CJ84" s="1699">
        <v>135.33000000000001</v>
      </c>
      <c r="CK84" s="1700">
        <v>116.95</v>
      </c>
      <c r="CL84" s="1700">
        <v>119.01</v>
      </c>
      <c r="CM84" s="1700">
        <v>121.06</v>
      </c>
      <c r="CN84" s="1700">
        <v>123.12</v>
      </c>
      <c r="CO84" s="1705">
        <v>125.17</v>
      </c>
      <c r="CP84" s="1706">
        <v>127.23</v>
      </c>
      <c r="CQ84" s="1701">
        <v>129.29</v>
      </c>
      <c r="CR84" s="1701">
        <v>131.34</v>
      </c>
      <c r="CS84" s="1707">
        <v>133.4</v>
      </c>
      <c r="CT84" s="1700">
        <v>135.44999999999999</v>
      </c>
      <c r="CU84" s="1700">
        <v>137.51</v>
      </c>
      <c r="CV84" s="1700">
        <v>139.37</v>
      </c>
      <c r="CW84" s="1700">
        <v>141.62</v>
      </c>
      <c r="CX84" s="1700">
        <v>143.68</v>
      </c>
      <c r="CY84" s="1700">
        <v>145.72999999999999</v>
      </c>
      <c r="CZ84" s="1700">
        <v>147.79</v>
      </c>
      <c r="DA84" s="1700">
        <v>149.85</v>
      </c>
      <c r="DB84" s="1700">
        <v>151.9</v>
      </c>
      <c r="DC84" s="1700">
        <v>153.96</v>
      </c>
      <c r="DD84" s="1700">
        <v>156.01</v>
      </c>
      <c r="DE84" s="1700">
        <v>158.07</v>
      </c>
      <c r="DF84" s="1700">
        <v>160.13</v>
      </c>
      <c r="DG84" s="1700">
        <v>162.18</v>
      </c>
      <c r="DH84" s="1700">
        <v>164.24</v>
      </c>
      <c r="DI84" s="1700">
        <v>166.29</v>
      </c>
      <c r="DJ84" s="1700">
        <v>168.35</v>
      </c>
      <c r="DK84" s="1700">
        <v>170.41</v>
      </c>
      <c r="DL84" s="1700">
        <v>172.46</v>
      </c>
      <c r="DM84" s="1700">
        <v>174.52</v>
      </c>
      <c r="DN84" s="1700">
        <v>176.57</v>
      </c>
      <c r="DO84" s="1700">
        <v>178.63</v>
      </c>
      <c r="DP84" s="1700">
        <v>180.69</v>
      </c>
      <c r="DQ84" s="1700">
        <v>182.74</v>
      </c>
      <c r="DR84" s="1700">
        <v>184.8</v>
      </c>
      <c r="DS84" s="1700"/>
      <c r="DT84" s="1700"/>
      <c r="DU84" s="1700"/>
      <c r="DV84" s="1700"/>
      <c r="DW84" s="1700"/>
      <c r="DX84" s="1700"/>
    </row>
    <row r="85" spans="1:128">
      <c r="A85" s="1622"/>
      <c r="B85" s="1691">
        <f t="shared" si="9"/>
        <v>81</v>
      </c>
      <c r="C85" s="1668" t="str">
        <f t="shared" si="6"/>
        <v>218.07</v>
      </c>
      <c r="D85" s="1672">
        <f t="shared" si="7"/>
        <v>305.3</v>
      </c>
      <c r="E85" s="1670"/>
      <c r="F85" s="1671" t="str">
        <f t="shared" si="8"/>
        <v>137.02</v>
      </c>
      <c r="G85" s="1672">
        <f t="shared" si="5"/>
        <v>191.83</v>
      </c>
      <c r="H85" s="1670"/>
      <c r="I85" s="1670"/>
      <c r="J85" s="1708">
        <v>81</v>
      </c>
      <c r="K85" s="1693">
        <v>159.11000000000001</v>
      </c>
      <c r="L85" s="1693">
        <v>162.05000000000001</v>
      </c>
      <c r="M85" s="1693">
        <v>165</v>
      </c>
      <c r="N85" s="1693">
        <v>167.95</v>
      </c>
      <c r="O85" s="1693">
        <v>170.9</v>
      </c>
      <c r="P85" s="1694">
        <v>173.85</v>
      </c>
      <c r="Q85" s="1694">
        <v>176.8</v>
      </c>
      <c r="R85" s="1694">
        <v>179.74</v>
      </c>
      <c r="S85" s="1695">
        <v>182.69</v>
      </c>
      <c r="T85" s="1696">
        <v>185.64</v>
      </c>
      <c r="U85" s="1696">
        <v>188.59</v>
      </c>
      <c r="V85" s="1695">
        <v>191.54</v>
      </c>
      <c r="W85" s="1695">
        <v>194.49</v>
      </c>
      <c r="X85" s="1695">
        <v>197.44</v>
      </c>
      <c r="Y85" s="1697">
        <v>200.38</v>
      </c>
      <c r="Z85" s="1698">
        <v>203.33</v>
      </c>
      <c r="AA85" s="1699">
        <v>206.28</v>
      </c>
      <c r="AB85" s="1699">
        <v>209.23</v>
      </c>
      <c r="AC85" s="1699">
        <v>212.18</v>
      </c>
      <c r="AD85" s="1699">
        <v>215.13</v>
      </c>
      <c r="AE85" s="1699">
        <v>218.07</v>
      </c>
      <c r="AF85" s="1700">
        <v>179.71</v>
      </c>
      <c r="AG85" s="1700">
        <v>182.65</v>
      </c>
      <c r="AH85" s="1700">
        <v>185.6</v>
      </c>
      <c r="AI85" s="1700">
        <v>188.55</v>
      </c>
      <c r="AJ85" s="1701">
        <v>191.5</v>
      </c>
      <c r="AK85" s="1701">
        <v>194.45</v>
      </c>
      <c r="AL85" s="1701">
        <v>197.4</v>
      </c>
      <c r="AM85" s="1701">
        <v>200.34</v>
      </c>
      <c r="AN85" s="1701">
        <v>203.29</v>
      </c>
      <c r="AO85" s="1702">
        <v>206.24</v>
      </c>
      <c r="AP85" s="1700">
        <v>209.19</v>
      </c>
      <c r="AQ85" s="1700">
        <v>212.14</v>
      </c>
      <c r="AR85" s="1683">
        <v>215.09</v>
      </c>
      <c r="AS85" s="1700">
        <v>218.03</v>
      </c>
      <c r="AT85" s="1700">
        <v>220.98</v>
      </c>
      <c r="AU85" s="1700">
        <v>223.93</v>
      </c>
      <c r="AV85" s="1700">
        <v>226.88</v>
      </c>
      <c r="AW85" s="1700">
        <v>229.83</v>
      </c>
      <c r="AX85" s="1700">
        <v>232.78</v>
      </c>
      <c r="AY85" s="1700">
        <v>235.73</v>
      </c>
      <c r="AZ85" s="1700">
        <v>238.67</v>
      </c>
      <c r="BA85" s="1700">
        <v>241.62</v>
      </c>
      <c r="BB85" s="1683">
        <v>244.57</v>
      </c>
      <c r="BC85" s="1700">
        <v>247.52</v>
      </c>
      <c r="BD85" s="1700">
        <v>250.47</v>
      </c>
      <c r="BE85" s="1700">
        <v>253.42</v>
      </c>
      <c r="BF85" s="1700">
        <v>256.36</v>
      </c>
      <c r="BG85" s="1700">
        <v>259.31</v>
      </c>
      <c r="BH85" s="1700">
        <v>262.26</v>
      </c>
      <c r="BI85" s="1700">
        <v>265.20999999999998</v>
      </c>
      <c r="BJ85" s="1700">
        <v>268.16000000000003</v>
      </c>
      <c r="BK85" s="1700">
        <v>271.11</v>
      </c>
      <c r="BL85" s="1700">
        <v>274.05</v>
      </c>
      <c r="BM85" s="1700">
        <v>277</v>
      </c>
      <c r="BN85" s="1700"/>
      <c r="BO85" s="1703">
        <v>81</v>
      </c>
      <c r="BP85" s="1693">
        <v>95.38</v>
      </c>
      <c r="BQ85" s="1693">
        <v>97.47</v>
      </c>
      <c r="BR85" s="1693">
        <v>99.55</v>
      </c>
      <c r="BS85" s="1693">
        <v>101.63</v>
      </c>
      <c r="BT85" s="1693">
        <v>103.71</v>
      </c>
      <c r="BU85" s="1694">
        <v>105.79</v>
      </c>
      <c r="BV85" s="1694">
        <v>107.87</v>
      </c>
      <c r="BW85" s="1694">
        <v>109.96</v>
      </c>
      <c r="BX85" s="1695">
        <v>112.04</v>
      </c>
      <c r="BY85" s="1696">
        <v>114.12</v>
      </c>
      <c r="BZ85" s="1696">
        <v>116.2</v>
      </c>
      <c r="CA85" s="1695">
        <v>118.28</v>
      </c>
      <c r="CB85" s="1695">
        <v>120.36</v>
      </c>
      <c r="CC85" s="1704">
        <v>122.45</v>
      </c>
      <c r="CD85" s="1697">
        <v>124.53</v>
      </c>
      <c r="CE85" s="1698">
        <v>126.61</v>
      </c>
      <c r="CF85" s="1699">
        <v>128.69</v>
      </c>
      <c r="CG85" s="1699">
        <v>130.77000000000001</v>
      </c>
      <c r="CH85" s="1699">
        <v>132.85</v>
      </c>
      <c r="CI85" s="1699">
        <v>134.94</v>
      </c>
      <c r="CJ85" s="1699">
        <v>137.02000000000001</v>
      </c>
      <c r="CK85" s="1700">
        <v>118.41</v>
      </c>
      <c r="CL85" s="1700">
        <v>120.49</v>
      </c>
      <c r="CM85" s="1700">
        <v>122.58</v>
      </c>
      <c r="CN85" s="1700">
        <v>124.66</v>
      </c>
      <c r="CO85" s="1705">
        <v>126.74</v>
      </c>
      <c r="CP85" s="1706">
        <v>128.82</v>
      </c>
      <c r="CQ85" s="1701">
        <v>130.9</v>
      </c>
      <c r="CR85" s="1701">
        <v>132.99</v>
      </c>
      <c r="CS85" s="1707">
        <v>135.07</v>
      </c>
      <c r="CT85" s="1700">
        <v>137.15</v>
      </c>
      <c r="CU85" s="1700">
        <v>139.22999999999999</v>
      </c>
      <c r="CV85" s="1700">
        <v>141.31</v>
      </c>
      <c r="CW85" s="1700">
        <v>143.38999999999999</v>
      </c>
      <c r="CX85" s="1700">
        <v>145.47999999999999</v>
      </c>
      <c r="CY85" s="1700">
        <v>147.56</v>
      </c>
      <c r="CZ85" s="1700">
        <v>149.63999999999999</v>
      </c>
      <c r="DA85" s="1700">
        <v>151.72</v>
      </c>
      <c r="DB85" s="1700">
        <v>153.80000000000001</v>
      </c>
      <c r="DC85" s="1700">
        <v>155.88</v>
      </c>
      <c r="DD85" s="1700">
        <v>157.97</v>
      </c>
      <c r="DE85" s="1700">
        <v>160.05000000000001</v>
      </c>
      <c r="DF85" s="1700">
        <v>162.13</v>
      </c>
      <c r="DG85" s="1700">
        <v>164.21</v>
      </c>
      <c r="DH85" s="1700">
        <v>166.29</v>
      </c>
      <c r="DI85" s="1700">
        <v>168.37</v>
      </c>
      <c r="DJ85" s="1700">
        <v>170.46</v>
      </c>
      <c r="DK85" s="1700">
        <v>172.54</v>
      </c>
      <c r="DL85" s="1700">
        <v>174.62</v>
      </c>
      <c r="DM85" s="1700">
        <v>176.7</v>
      </c>
      <c r="DN85" s="1700">
        <v>178.78</v>
      </c>
      <c r="DO85" s="1700">
        <v>180.86</v>
      </c>
      <c r="DP85" s="1700">
        <v>182.95</v>
      </c>
      <c r="DQ85" s="1700">
        <v>185.03</v>
      </c>
      <c r="DR85" s="1700">
        <v>187.11</v>
      </c>
      <c r="DS85" s="1700"/>
      <c r="DT85" s="1700"/>
      <c r="DU85" s="1700"/>
      <c r="DV85" s="1700"/>
      <c r="DW85" s="1700"/>
      <c r="DX85" s="1700"/>
    </row>
    <row r="86" spans="1:128">
      <c r="A86" s="1622"/>
      <c r="B86" s="1691">
        <f t="shared" si="9"/>
        <v>82</v>
      </c>
      <c r="C86" s="1668" t="str">
        <f t="shared" si="6"/>
        <v>220.65</v>
      </c>
      <c r="D86" s="1672">
        <f t="shared" si="7"/>
        <v>308.91000000000003</v>
      </c>
      <c r="E86" s="1670"/>
      <c r="F86" s="1671" t="str">
        <f t="shared" si="8"/>
        <v>138.68</v>
      </c>
      <c r="G86" s="1672">
        <f t="shared" si="5"/>
        <v>194.15</v>
      </c>
      <c r="H86" s="1670"/>
      <c r="I86" s="1670"/>
      <c r="J86" s="1708">
        <v>82</v>
      </c>
      <c r="K86" s="1693">
        <v>160.96</v>
      </c>
      <c r="L86" s="1693">
        <v>163.94</v>
      </c>
      <c r="M86" s="1693">
        <v>166.93</v>
      </c>
      <c r="N86" s="1693">
        <v>169.91</v>
      </c>
      <c r="O86" s="1693">
        <v>172.9</v>
      </c>
      <c r="P86" s="1694">
        <v>175.88</v>
      </c>
      <c r="Q86" s="1694">
        <v>178.86</v>
      </c>
      <c r="R86" s="1694">
        <v>181.85</v>
      </c>
      <c r="S86" s="1695">
        <v>184.83</v>
      </c>
      <c r="T86" s="1696">
        <v>187.82</v>
      </c>
      <c r="U86" s="1696">
        <v>190.8</v>
      </c>
      <c r="V86" s="1695">
        <v>193.79</v>
      </c>
      <c r="W86" s="1695">
        <v>196.77</v>
      </c>
      <c r="X86" s="1695">
        <v>199.76</v>
      </c>
      <c r="Y86" s="1697">
        <v>202.74</v>
      </c>
      <c r="Z86" s="1698">
        <v>205.73</v>
      </c>
      <c r="AA86" s="1699">
        <v>208.71</v>
      </c>
      <c r="AB86" s="1699">
        <v>211.7</v>
      </c>
      <c r="AC86" s="1699">
        <v>214.68</v>
      </c>
      <c r="AD86" s="1699">
        <v>217.67</v>
      </c>
      <c r="AE86" s="1699">
        <v>220.65</v>
      </c>
      <c r="AF86" s="1683">
        <v>181.86</v>
      </c>
      <c r="AG86" s="1683">
        <v>184.84</v>
      </c>
      <c r="AH86" s="1683">
        <v>187.83</v>
      </c>
      <c r="AI86" s="1683">
        <v>190.81</v>
      </c>
      <c r="AJ86" s="1701">
        <v>193.8</v>
      </c>
      <c r="AK86" s="1701">
        <v>196.78</v>
      </c>
      <c r="AL86" s="1701">
        <v>199.77</v>
      </c>
      <c r="AM86" s="1701">
        <v>202.75</v>
      </c>
      <c r="AN86" s="1701">
        <v>205.74</v>
      </c>
      <c r="AO86" s="1702">
        <v>208.72</v>
      </c>
      <c r="AP86" s="1700">
        <v>211.71</v>
      </c>
      <c r="AQ86" s="1700">
        <v>214.69</v>
      </c>
      <c r="AR86" s="1700">
        <v>217.68</v>
      </c>
      <c r="AS86" s="1700">
        <v>220.66</v>
      </c>
      <c r="AT86" s="1683">
        <v>223.64</v>
      </c>
      <c r="AU86" s="1700">
        <v>226.63</v>
      </c>
      <c r="AV86" s="1683">
        <v>229.61</v>
      </c>
      <c r="AW86" s="1683">
        <v>232.6</v>
      </c>
      <c r="AX86" s="1683">
        <v>235.58</v>
      </c>
      <c r="AY86" s="1683">
        <v>238.57</v>
      </c>
      <c r="AZ86" s="1683">
        <v>241.55</v>
      </c>
      <c r="BA86" s="1683">
        <v>244.54</v>
      </c>
      <c r="BB86" s="1700">
        <v>247.52</v>
      </c>
      <c r="BC86" s="1683">
        <v>250.51</v>
      </c>
      <c r="BD86" s="1683">
        <v>253.49</v>
      </c>
      <c r="BE86" s="1683">
        <v>256.48</v>
      </c>
      <c r="BF86" s="1683">
        <v>259.45999999999998</v>
      </c>
      <c r="BG86" s="1683">
        <v>262.45</v>
      </c>
      <c r="BH86" s="1683">
        <v>265.43</v>
      </c>
      <c r="BI86" s="1683">
        <v>268.42</v>
      </c>
      <c r="BJ86" s="1683">
        <v>271.39999999999998</v>
      </c>
      <c r="BK86" s="1683">
        <v>274.39</v>
      </c>
      <c r="BL86" s="1683">
        <v>277.37</v>
      </c>
      <c r="BM86" s="1683">
        <v>280.36</v>
      </c>
      <c r="BN86" s="1683"/>
      <c r="BO86" s="1703">
        <v>82</v>
      </c>
      <c r="BP86" s="1693">
        <v>96.53</v>
      </c>
      <c r="BQ86" s="1693">
        <v>98.64</v>
      </c>
      <c r="BR86" s="1693">
        <v>100.75</v>
      </c>
      <c r="BS86" s="1693">
        <v>102.86</v>
      </c>
      <c r="BT86" s="1693">
        <v>104.96</v>
      </c>
      <c r="BU86" s="1694">
        <v>107.07</v>
      </c>
      <c r="BV86" s="1694">
        <v>109.18</v>
      </c>
      <c r="BW86" s="1694">
        <v>111.29</v>
      </c>
      <c r="BX86" s="1695">
        <v>113.39</v>
      </c>
      <c r="BY86" s="1696">
        <v>115.5</v>
      </c>
      <c r="BZ86" s="1696">
        <v>117.61</v>
      </c>
      <c r="CA86" s="1695">
        <v>119.72</v>
      </c>
      <c r="CB86" s="1695">
        <v>121.82</v>
      </c>
      <c r="CC86" s="1704">
        <v>123.93</v>
      </c>
      <c r="CD86" s="1697">
        <v>126.04</v>
      </c>
      <c r="CE86" s="1698">
        <v>128.15</v>
      </c>
      <c r="CF86" s="1699">
        <v>130.25</v>
      </c>
      <c r="CG86" s="1699">
        <v>132.36000000000001</v>
      </c>
      <c r="CH86" s="1699">
        <v>134.47</v>
      </c>
      <c r="CI86" s="1699">
        <v>136.57</v>
      </c>
      <c r="CJ86" s="1699">
        <v>138.68</v>
      </c>
      <c r="CK86" s="1700">
        <v>119.86</v>
      </c>
      <c r="CL86" s="1700">
        <v>121.97</v>
      </c>
      <c r="CM86" s="1700">
        <v>124.07</v>
      </c>
      <c r="CN86" s="1700">
        <v>126.18</v>
      </c>
      <c r="CO86" s="1705">
        <v>128.29</v>
      </c>
      <c r="CP86" s="1706">
        <v>130.38999999999999</v>
      </c>
      <c r="CQ86" s="1701">
        <v>132.5</v>
      </c>
      <c r="CR86" s="1701">
        <v>134.61000000000001</v>
      </c>
      <c r="CS86" s="1707">
        <v>136.72</v>
      </c>
      <c r="CT86" s="1700">
        <v>138.82</v>
      </c>
      <c r="CU86" s="1700">
        <v>140.93</v>
      </c>
      <c r="CV86" s="1700">
        <v>143.04</v>
      </c>
      <c r="CW86" s="1700">
        <v>145.15</v>
      </c>
      <c r="CX86" s="1700">
        <v>147.25</v>
      </c>
      <c r="CY86" s="1700">
        <v>149.36000000000001</v>
      </c>
      <c r="CZ86" s="1700">
        <v>151.47</v>
      </c>
      <c r="DA86" s="1700">
        <v>153.58000000000001</v>
      </c>
      <c r="DB86" s="1700">
        <v>155.68</v>
      </c>
      <c r="DC86" s="1700">
        <v>157.79</v>
      </c>
      <c r="DD86" s="1700">
        <v>159.9</v>
      </c>
      <c r="DE86" s="1700">
        <v>162.01</v>
      </c>
      <c r="DF86" s="1700">
        <v>164.11</v>
      </c>
      <c r="DG86" s="1700">
        <v>166.22</v>
      </c>
      <c r="DH86" s="1700">
        <v>168.33</v>
      </c>
      <c r="DI86" s="1700">
        <v>170.44</v>
      </c>
      <c r="DJ86" s="1700">
        <v>172.54</v>
      </c>
      <c r="DK86" s="1700">
        <v>174.65</v>
      </c>
      <c r="DL86" s="1700">
        <v>176.76</v>
      </c>
      <c r="DM86" s="1700">
        <v>178.87</v>
      </c>
      <c r="DN86" s="1700">
        <v>180.97</v>
      </c>
      <c r="DO86" s="1700">
        <v>183.08</v>
      </c>
      <c r="DP86" s="1700">
        <v>185.19</v>
      </c>
      <c r="DQ86" s="1700">
        <v>187.29</v>
      </c>
      <c r="DR86" s="1700">
        <v>189.4</v>
      </c>
      <c r="DS86" s="1700"/>
      <c r="DT86" s="1700"/>
      <c r="DU86" s="1700"/>
      <c r="DV86" s="1700"/>
      <c r="DW86" s="1700"/>
      <c r="DX86" s="1700"/>
    </row>
    <row r="87" spans="1:128">
      <c r="A87" s="1622"/>
      <c r="B87" s="1691">
        <f t="shared" si="9"/>
        <v>83</v>
      </c>
      <c r="C87" s="1668" t="str">
        <f t="shared" si="6"/>
        <v>223.35</v>
      </c>
      <c r="D87" s="1672">
        <f t="shared" si="7"/>
        <v>312.69</v>
      </c>
      <c r="E87" s="1670"/>
      <c r="F87" s="1671" t="str">
        <f t="shared" si="8"/>
        <v>140.38</v>
      </c>
      <c r="G87" s="1672">
        <f t="shared" si="5"/>
        <v>196.53</v>
      </c>
      <c r="H87" s="1670"/>
      <c r="I87" s="1670"/>
      <c r="J87" s="1708">
        <v>83</v>
      </c>
      <c r="K87" s="1693">
        <v>162.93</v>
      </c>
      <c r="L87" s="1693">
        <v>165.95</v>
      </c>
      <c r="M87" s="1693">
        <v>168.97</v>
      </c>
      <c r="N87" s="1693">
        <v>171.99</v>
      </c>
      <c r="O87" s="1693">
        <v>175.02</v>
      </c>
      <c r="P87" s="1694">
        <v>178.04</v>
      </c>
      <c r="Q87" s="1694">
        <v>181.06</v>
      </c>
      <c r="R87" s="1694">
        <v>184.08</v>
      </c>
      <c r="S87" s="1695">
        <v>187.1</v>
      </c>
      <c r="T87" s="1696">
        <v>190.12</v>
      </c>
      <c r="U87" s="1696">
        <v>193.14</v>
      </c>
      <c r="V87" s="1695">
        <v>196.16</v>
      </c>
      <c r="W87" s="1695">
        <v>199.18</v>
      </c>
      <c r="X87" s="1695">
        <v>202.21</v>
      </c>
      <c r="Y87" s="1697">
        <v>205.23</v>
      </c>
      <c r="Z87" s="1698">
        <v>208.25</v>
      </c>
      <c r="AA87" s="1699">
        <v>211.27</v>
      </c>
      <c r="AB87" s="1699">
        <v>214.29</v>
      </c>
      <c r="AC87" s="1699">
        <v>217.31</v>
      </c>
      <c r="AD87" s="1699">
        <v>220.33</v>
      </c>
      <c r="AE87" s="1699">
        <v>223.35</v>
      </c>
      <c r="AF87" s="1700">
        <v>184.08</v>
      </c>
      <c r="AG87" s="1700">
        <v>187.1</v>
      </c>
      <c r="AH87" s="1700">
        <v>190.12</v>
      </c>
      <c r="AI87" s="1700">
        <v>193.15</v>
      </c>
      <c r="AJ87" s="1701">
        <v>196.17</v>
      </c>
      <c r="AK87" s="1701">
        <v>199.19</v>
      </c>
      <c r="AL87" s="1701">
        <v>202.21</v>
      </c>
      <c r="AM87" s="1701">
        <v>205.23</v>
      </c>
      <c r="AN87" s="1701">
        <v>208.25</v>
      </c>
      <c r="AO87" s="1702">
        <v>211.27</v>
      </c>
      <c r="AP87" s="1700">
        <v>214.29</v>
      </c>
      <c r="AQ87" s="1700">
        <v>217.32</v>
      </c>
      <c r="AR87" s="1683">
        <v>220.34</v>
      </c>
      <c r="AS87" s="1700">
        <v>223.36</v>
      </c>
      <c r="AT87" s="1700">
        <v>226.38</v>
      </c>
      <c r="AU87" s="1700">
        <v>229.4</v>
      </c>
      <c r="AV87" s="1700">
        <v>232.42</v>
      </c>
      <c r="AW87" s="1700">
        <v>235.44</v>
      </c>
      <c r="AX87" s="1700">
        <v>238.46</v>
      </c>
      <c r="AY87" s="1700">
        <v>241.48</v>
      </c>
      <c r="AZ87" s="1700">
        <v>244.51</v>
      </c>
      <c r="BA87" s="1700">
        <v>247.53</v>
      </c>
      <c r="BB87" s="1700">
        <v>250.55</v>
      </c>
      <c r="BC87" s="1700">
        <v>253.57</v>
      </c>
      <c r="BD87" s="1700">
        <v>256.58999999999997</v>
      </c>
      <c r="BE87" s="1700">
        <v>259.61</v>
      </c>
      <c r="BF87" s="1700">
        <v>262.63</v>
      </c>
      <c r="BG87" s="1700">
        <v>265.64999999999998</v>
      </c>
      <c r="BH87" s="1700">
        <v>268.68</v>
      </c>
      <c r="BI87" s="1700">
        <v>271.7</v>
      </c>
      <c r="BJ87" s="1700">
        <v>274.72000000000003</v>
      </c>
      <c r="BK87" s="1700">
        <v>277.74</v>
      </c>
      <c r="BL87" s="1700">
        <v>280.76</v>
      </c>
      <c r="BM87" s="1700">
        <v>283.77999999999997</v>
      </c>
      <c r="BN87" s="1700"/>
      <c r="BO87" s="1703">
        <v>83</v>
      </c>
      <c r="BP87" s="1693">
        <v>97.72</v>
      </c>
      <c r="BQ87" s="1693">
        <v>99.85</v>
      </c>
      <c r="BR87" s="1693">
        <v>101.98</v>
      </c>
      <c r="BS87" s="1693">
        <v>104.12</v>
      </c>
      <c r="BT87" s="1693">
        <v>106.25</v>
      </c>
      <c r="BU87" s="1694">
        <v>108.38</v>
      </c>
      <c r="BV87" s="1694">
        <v>110.52</v>
      </c>
      <c r="BW87" s="1694">
        <v>112.65</v>
      </c>
      <c r="BX87" s="1695">
        <v>114.78</v>
      </c>
      <c r="BY87" s="1696">
        <v>116.92</v>
      </c>
      <c r="BZ87" s="1696">
        <v>119.05</v>
      </c>
      <c r="CA87" s="1695">
        <v>121.18</v>
      </c>
      <c r="CB87" s="1695">
        <v>123.32</v>
      </c>
      <c r="CC87" s="1704">
        <v>125.45</v>
      </c>
      <c r="CD87" s="1697">
        <v>127.58</v>
      </c>
      <c r="CE87" s="1698">
        <v>129.72</v>
      </c>
      <c r="CF87" s="1699">
        <v>131.85</v>
      </c>
      <c r="CG87" s="1699">
        <v>133.97999999999999</v>
      </c>
      <c r="CH87" s="1699">
        <v>136.11000000000001</v>
      </c>
      <c r="CI87" s="1699">
        <v>138.25</v>
      </c>
      <c r="CJ87" s="1699">
        <v>140.38</v>
      </c>
      <c r="CK87" s="1700">
        <v>121.32</v>
      </c>
      <c r="CL87" s="1700">
        <v>123.46</v>
      </c>
      <c r="CM87" s="1700">
        <v>125.59</v>
      </c>
      <c r="CN87" s="1700">
        <v>127.72</v>
      </c>
      <c r="CO87" s="1705">
        <v>129.86000000000001</v>
      </c>
      <c r="CP87" s="1706">
        <v>131.99</v>
      </c>
      <c r="CQ87" s="1701">
        <v>134.12</v>
      </c>
      <c r="CR87" s="1701">
        <v>136.26</v>
      </c>
      <c r="CS87" s="1707">
        <v>138.38999999999999</v>
      </c>
      <c r="CT87" s="1700">
        <v>140.52000000000001</v>
      </c>
      <c r="CU87" s="1700">
        <v>142.65</v>
      </c>
      <c r="CV87" s="1700">
        <v>144.79</v>
      </c>
      <c r="CW87" s="1700">
        <v>146.91999999999999</v>
      </c>
      <c r="CX87" s="1700">
        <v>149.05000000000001</v>
      </c>
      <c r="CY87" s="1700">
        <v>151.19</v>
      </c>
      <c r="CZ87" s="1700">
        <v>153.32</v>
      </c>
      <c r="DA87" s="1700">
        <v>155.44999999999999</v>
      </c>
      <c r="DB87" s="1700">
        <v>157.59</v>
      </c>
      <c r="DC87" s="1700">
        <v>159.72</v>
      </c>
      <c r="DD87" s="1700">
        <v>161.85</v>
      </c>
      <c r="DE87" s="1700">
        <v>163.99</v>
      </c>
      <c r="DF87" s="1700">
        <v>166.12</v>
      </c>
      <c r="DG87" s="1700">
        <v>168.25</v>
      </c>
      <c r="DH87" s="1700">
        <v>170.39</v>
      </c>
      <c r="DI87" s="1700">
        <v>172.52</v>
      </c>
      <c r="DJ87" s="1700">
        <v>174.65</v>
      </c>
      <c r="DK87" s="1700">
        <v>176.78</v>
      </c>
      <c r="DL87" s="1700">
        <v>178.92</v>
      </c>
      <c r="DM87" s="1700">
        <v>181.05</v>
      </c>
      <c r="DN87" s="1700">
        <v>183.18</v>
      </c>
      <c r="DO87" s="1700">
        <v>185.32</v>
      </c>
      <c r="DP87" s="1700">
        <v>187.45</v>
      </c>
      <c r="DQ87" s="1700">
        <v>189.58</v>
      </c>
      <c r="DR87" s="1700">
        <v>191.72</v>
      </c>
      <c r="DS87" s="1700"/>
      <c r="DT87" s="1700"/>
      <c r="DU87" s="1700"/>
      <c r="DV87" s="1700"/>
      <c r="DW87" s="1700"/>
      <c r="DX87" s="1700"/>
    </row>
    <row r="88" spans="1:128">
      <c r="A88" s="1622"/>
      <c r="B88" s="1691">
        <f t="shared" si="9"/>
        <v>84</v>
      </c>
      <c r="C88" s="1668" t="str">
        <f t="shared" si="6"/>
        <v>226.07</v>
      </c>
      <c r="D88" s="1672">
        <f t="shared" si="7"/>
        <v>316.5</v>
      </c>
      <c r="E88" s="1670"/>
      <c r="F88" s="1671" t="str">
        <f t="shared" si="8"/>
        <v>142.05</v>
      </c>
      <c r="G88" s="1672">
        <f t="shared" si="5"/>
        <v>198.87</v>
      </c>
      <c r="H88" s="1670"/>
      <c r="I88" s="1670"/>
      <c r="J88" s="1708">
        <v>84</v>
      </c>
      <c r="K88" s="1709">
        <v>164.92</v>
      </c>
      <c r="L88" s="1709">
        <v>167.97</v>
      </c>
      <c r="M88" s="1709">
        <v>171.03</v>
      </c>
      <c r="N88" s="1709">
        <v>174.09</v>
      </c>
      <c r="O88" s="1709">
        <v>177.15</v>
      </c>
      <c r="P88" s="1710">
        <v>180.2</v>
      </c>
      <c r="Q88" s="1694">
        <v>183.26</v>
      </c>
      <c r="R88" s="1694">
        <v>186.32</v>
      </c>
      <c r="S88" s="1695">
        <v>189.38</v>
      </c>
      <c r="T88" s="1696">
        <v>192.43</v>
      </c>
      <c r="U88" s="1696">
        <v>195.49</v>
      </c>
      <c r="V88" s="1695">
        <v>198.55</v>
      </c>
      <c r="W88" s="1695">
        <v>201.61</v>
      </c>
      <c r="X88" s="1695">
        <v>204.67</v>
      </c>
      <c r="Y88" s="1697">
        <v>207.72</v>
      </c>
      <c r="Z88" s="1698">
        <v>210.78</v>
      </c>
      <c r="AA88" s="1699">
        <v>213.84</v>
      </c>
      <c r="AB88" s="1699">
        <v>216.9</v>
      </c>
      <c r="AC88" s="1699">
        <v>219.95</v>
      </c>
      <c r="AD88" s="1699">
        <v>223.01</v>
      </c>
      <c r="AE88" s="1699">
        <v>226.07</v>
      </c>
      <c r="AF88" s="1700">
        <v>186.31</v>
      </c>
      <c r="AG88" s="1700">
        <v>189.37</v>
      </c>
      <c r="AH88" s="1700">
        <v>192.43</v>
      </c>
      <c r="AI88" s="1700">
        <v>195.49</v>
      </c>
      <c r="AJ88" s="1701">
        <v>198.54</v>
      </c>
      <c r="AK88" s="1701">
        <v>201.6</v>
      </c>
      <c r="AL88" s="1701">
        <v>204.66</v>
      </c>
      <c r="AM88" s="1701">
        <v>207.72</v>
      </c>
      <c r="AN88" s="1701">
        <v>210.77</v>
      </c>
      <c r="AO88" s="1702">
        <v>213.83</v>
      </c>
      <c r="AP88" s="1700">
        <v>216.89</v>
      </c>
      <c r="AQ88" s="1700">
        <v>219.95</v>
      </c>
      <c r="AR88" s="1700">
        <v>223</v>
      </c>
      <c r="AS88" s="1700">
        <v>226.06</v>
      </c>
      <c r="AT88" s="1700">
        <v>229.12</v>
      </c>
      <c r="AU88" s="1700">
        <v>232.18</v>
      </c>
      <c r="AV88" s="1700">
        <v>235.23</v>
      </c>
      <c r="AW88" s="1700">
        <v>238.29</v>
      </c>
      <c r="AX88" s="1700">
        <v>241.35</v>
      </c>
      <c r="AY88" s="1700">
        <v>244.41</v>
      </c>
      <c r="AZ88" s="1700">
        <v>247.47</v>
      </c>
      <c r="BA88" s="1700">
        <v>250.52</v>
      </c>
      <c r="BB88" s="1683">
        <v>253.58</v>
      </c>
      <c r="BC88" s="1700">
        <v>256.64</v>
      </c>
      <c r="BD88" s="1700">
        <v>259.7</v>
      </c>
      <c r="BE88" s="1700">
        <v>262.75</v>
      </c>
      <c r="BF88" s="1700">
        <v>265.81</v>
      </c>
      <c r="BG88" s="1700">
        <v>268.87</v>
      </c>
      <c r="BH88" s="1700">
        <v>271.93</v>
      </c>
      <c r="BI88" s="1700">
        <v>274.98</v>
      </c>
      <c r="BJ88" s="1700">
        <v>278.04000000000002</v>
      </c>
      <c r="BK88" s="1700">
        <v>281.10000000000002</v>
      </c>
      <c r="BL88" s="1700">
        <v>284.16000000000003</v>
      </c>
      <c r="BM88" s="1700">
        <v>287.20999999999998</v>
      </c>
      <c r="BN88" s="1700"/>
      <c r="BO88" s="1703">
        <v>84</v>
      </c>
      <c r="BP88" s="1693">
        <v>98.87</v>
      </c>
      <c r="BQ88" s="1693">
        <v>101.03</v>
      </c>
      <c r="BR88" s="1693">
        <v>103.19</v>
      </c>
      <c r="BS88" s="1693">
        <v>105.35</v>
      </c>
      <c r="BT88" s="1693">
        <v>107.51</v>
      </c>
      <c r="BU88" s="1694">
        <v>109.67</v>
      </c>
      <c r="BV88" s="1694">
        <v>111.83</v>
      </c>
      <c r="BW88" s="1694">
        <v>113.98</v>
      </c>
      <c r="BX88" s="1695">
        <v>116.14</v>
      </c>
      <c r="BY88" s="1696">
        <v>118.3</v>
      </c>
      <c r="BZ88" s="1696">
        <v>120.46</v>
      </c>
      <c r="CA88" s="1695">
        <v>122.62</v>
      </c>
      <c r="CB88" s="1695">
        <v>124.78</v>
      </c>
      <c r="CC88" s="1704">
        <v>126.94</v>
      </c>
      <c r="CD88" s="1697">
        <v>129.1</v>
      </c>
      <c r="CE88" s="1698">
        <v>131.26</v>
      </c>
      <c r="CF88" s="1699">
        <v>133.41</v>
      </c>
      <c r="CG88" s="1699">
        <v>135.57</v>
      </c>
      <c r="CH88" s="1699">
        <v>137.72999999999999</v>
      </c>
      <c r="CI88" s="1699">
        <v>139.88999999999999</v>
      </c>
      <c r="CJ88" s="1699">
        <v>142.05000000000001</v>
      </c>
      <c r="CK88" s="1700">
        <v>122.77</v>
      </c>
      <c r="CL88" s="1700">
        <v>124.93</v>
      </c>
      <c r="CM88" s="1700">
        <v>127.09</v>
      </c>
      <c r="CN88" s="1700">
        <v>129.25</v>
      </c>
      <c r="CO88" s="1705">
        <v>131.41</v>
      </c>
      <c r="CP88" s="1706">
        <v>133.57</v>
      </c>
      <c r="CQ88" s="1701">
        <v>135.72</v>
      </c>
      <c r="CR88" s="1701">
        <v>137.88</v>
      </c>
      <c r="CS88" s="1707">
        <v>140.04</v>
      </c>
      <c r="CT88" s="1700">
        <v>142.19999999999999</v>
      </c>
      <c r="CU88" s="1700">
        <v>144.36000000000001</v>
      </c>
      <c r="CV88" s="1700">
        <v>146.52000000000001</v>
      </c>
      <c r="CW88" s="1700">
        <v>148.68</v>
      </c>
      <c r="CX88" s="1700">
        <v>150.84</v>
      </c>
      <c r="CY88" s="1700">
        <v>152.99</v>
      </c>
      <c r="CZ88" s="1700">
        <v>155.15</v>
      </c>
      <c r="DA88" s="1700">
        <v>157.31</v>
      </c>
      <c r="DB88" s="1700">
        <v>159.47</v>
      </c>
      <c r="DC88" s="1700">
        <v>161.63</v>
      </c>
      <c r="DD88" s="1700">
        <v>163.79</v>
      </c>
      <c r="DE88" s="1700">
        <v>165.95</v>
      </c>
      <c r="DF88" s="1700">
        <v>168.11</v>
      </c>
      <c r="DG88" s="1700">
        <v>170.27</v>
      </c>
      <c r="DH88" s="1700">
        <v>172.42</v>
      </c>
      <c r="DI88" s="1700">
        <v>174.58</v>
      </c>
      <c r="DJ88" s="1700">
        <v>176.74</v>
      </c>
      <c r="DK88" s="1700">
        <v>178.9</v>
      </c>
      <c r="DL88" s="1700">
        <v>181.06</v>
      </c>
      <c r="DM88" s="1700">
        <v>183.22</v>
      </c>
      <c r="DN88" s="1700">
        <v>185.38</v>
      </c>
      <c r="DO88" s="1700">
        <v>187.54</v>
      </c>
      <c r="DP88" s="1700">
        <v>189.69</v>
      </c>
      <c r="DQ88" s="1700">
        <v>191.85</v>
      </c>
      <c r="DR88" s="1700">
        <v>194.01</v>
      </c>
      <c r="DS88" s="1700"/>
      <c r="DT88" s="1700"/>
      <c r="DU88" s="1700"/>
      <c r="DV88" s="1700"/>
      <c r="DW88" s="1700"/>
      <c r="DX88" s="1700"/>
    </row>
    <row r="89" spans="1:128">
      <c r="A89" s="1622"/>
      <c r="B89" s="1691">
        <f t="shared" si="9"/>
        <v>85</v>
      </c>
      <c r="C89" s="1668" t="str">
        <f t="shared" si="6"/>
        <v>228.79</v>
      </c>
      <c r="D89" s="1672">
        <f t="shared" si="7"/>
        <v>320.31</v>
      </c>
      <c r="E89" s="1670"/>
      <c r="F89" s="1671" t="str">
        <f t="shared" si="8"/>
        <v>143.75</v>
      </c>
      <c r="G89" s="1672">
        <f t="shared" si="5"/>
        <v>201.25</v>
      </c>
      <c r="H89" s="1670"/>
      <c r="I89" s="1670"/>
      <c r="J89" s="1708">
        <v>85</v>
      </c>
      <c r="K89" s="1693">
        <v>166.91</v>
      </c>
      <c r="L89" s="1693">
        <v>170.01</v>
      </c>
      <c r="M89" s="1693">
        <v>179.3</v>
      </c>
      <c r="N89" s="1693">
        <v>176.2</v>
      </c>
      <c r="O89" s="1693">
        <v>179.29</v>
      </c>
      <c r="P89" s="1694">
        <v>182.38</v>
      </c>
      <c r="Q89" s="1694">
        <v>185.48</v>
      </c>
      <c r="R89" s="1694">
        <v>188.57</v>
      </c>
      <c r="S89" s="1695">
        <v>191.67</v>
      </c>
      <c r="T89" s="1696">
        <v>194.76</v>
      </c>
      <c r="U89" s="1696">
        <v>197.85</v>
      </c>
      <c r="V89" s="1695">
        <v>200.95</v>
      </c>
      <c r="W89" s="1695">
        <v>204.04</v>
      </c>
      <c r="X89" s="1695">
        <v>207.14</v>
      </c>
      <c r="Y89" s="1697">
        <v>210.23</v>
      </c>
      <c r="Z89" s="1698">
        <v>213.32</v>
      </c>
      <c r="AA89" s="1699">
        <v>216.42</v>
      </c>
      <c r="AB89" s="1699">
        <v>219.51</v>
      </c>
      <c r="AC89" s="1699">
        <v>222.61</v>
      </c>
      <c r="AD89" s="1699">
        <v>225.7</v>
      </c>
      <c r="AE89" s="1699">
        <v>228.79</v>
      </c>
      <c r="AF89" s="1683">
        <v>188.55</v>
      </c>
      <c r="AG89" s="1683">
        <v>191.65</v>
      </c>
      <c r="AH89" s="1683">
        <v>194.74</v>
      </c>
      <c r="AI89" s="1683">
        <v>197.83</v>
      </c>
      <c r="AJ89" s="1701">
        <v>200.93</v>
      </c>
      <c r="AK89" s="1701">
        <v>204.02</v>
      </c>
      <c r="AL89" s="1701">
        <v>207.12</v>
      </c>
      <c r="AM89" s="1701">
        <v>210.21</v>
      </c>
      <c r="AN89" s="1701">
        <v>213.3</v>
      </c>
      <c r="AO89" s="1702">
        <v>216.4</v>
      </c>
      <c r="AP89" s="1700">
        <v>219.49</v>
      </c>
      <c r="AQ89" s="1700">
        <v>222.59</v>
      </c>
      <c r="AR89" s="1683">
        <v>225.68</v>
      </c>
      <c r="AS89" s="1700">
        <v>228.77</v>
      </c>
      <c r="AT89" s="1683">
        <v>231.87</v>
      </c>
      <c r="AU89" s="1700">
        <v>234.96</v>
      </c>
      <c r="AV89" s="1683">
        <v>238.06</v>
      </c>
      <c r="AW89" s="1683">
        <v>241.15</v>
      </c>
      <c r="AX89" s="1683">
        <v>244.24</v>
      </c>
      <c r="AY89" s="1683">
        <v>247.34</v>
      </c>
      <c r="AZ89" s="1683">
        <v>250.43</v>
      </c>
      <c r="BA89" s="1683">
        <v>253.53</v>
      </c>
      <c r="BB89" s="1700">
        <v>256.62</v>
      </c>
      <c r="BC89" s="1683">
        <v>259.70999999999998</v>
      </c>
      <c r="BD89" s="1683">
        <v>262.81</v>
      </c>
      <c r="BE89" s="1683">
        <v>265.89999999999998</v>
      </c>
      <c r="BF89" s="1683">
        <v>269</v>
      </c>
      <c r="BG89" s="1683">
        <v>272.08999999999997</v>
      </c>
      <c r="BH89" s="1683">
        <v>275.18</v>
      </c>
      <c r="BI89" s="1683">
        <v>278.27999999999997</v>
      </c>
      <c r="BJ89" s="1683">
        <v>281.37</v>
      </c>
      <c r="BK89" s="1683">
        <v>284.47000000000003</v>
      </c>
      <c r="BL89" s="1683">
        <v>287.56</v>
      </c>
      <c r="BM89" s="1683">
        <v>290.64999999999998</v>
      </c>
      <c r="BN89" s="1683"/>
      <c r="BO89" s="1703">
        <v>85</v>
      </c>
      <c r="BP89" s="1693">
        <v>100.06</v>
      </c>
      <c r="BQ89" s="1693">
        <v>102.25</v>
      </c>
      <c r="BR89" s="1693">
        <v>104.43</v>
      </c>
      <c r="BS89" s="1693">
        <v>106.62</v>
      </c>
      <c r="BT89" s="1693">
        <v>108.8</v>
      </c>
      <c r="BU89" s="1694">
        <v>110.99</v>
      </c>
      <c r="BV89" s="1694">
        <v>113.17</v>
      </c>
      <c r="BW89" s="1694">
        <v>115.35</v>
      </c>
      <c r="BX89" s="1695">
        <v>117.54</v>
      </c>
      <c r="BY89" s="1696">
        <v>119.72</v>
      </c>
      <c r="BZ89" s="1696">
        <v>121.91</v>
      </c>
      <c r="CA89" s="1695">
        <v>124.09</v>
      </c>
      <c r="CB89" s="1695">
        <v>126.28</v>
      </c>
      <c r="CC89" s="1704">
        <v>128.46</v>
      </c>
      <c r="CD89" s="1697">
        <v>130.65</v>
      </c>
      <c r="CE89" s="1698">
        <v>132.83000000000001</v>
      </c>
      <c r="CF89" s="1699">
        <v>135.02000000000001</v>
      </c>
      <c r="CG89" s="1699">
        <v>137.19999999999999</v>
      </c>
      <c r="CH89" s="1699">
        <v>139.38</v>
      </c>
      <c r="CI89" s="1699">
        <v>141.57</v>
      </c>
      <c r="CJ89" s="1699">
        <v>143.75</v>
      </c>
      <c r="CK89" s="1700">
        <v>124.24</v>
      </c>
      <c r="CL89" s="1700">
        <v>126.43</v>
      </c>
      <c r="CM89" s="1700">
        <v>128.61000000000001</v>
      </c>
      <c r="CN89" s="1700">
        <v>130.79</v>
      </c>
      <c r="CO89" s="1705">
        <v>132.97999999999999</v>
      </c>
      <c r="CP89" s="1706">
        <v>135.16</v>
      </c>
      <c r="CQ89" s="1701">
        <v>137.35</v>
      </c>
      <c r="CR89" s="1701">
        <v>139.53</v>
      </c>
      <c r="CS89" s="1707">
        <v>141.72</v>
      </c>
      <c r="CT89" s="1700">
        <v>143.9</v>
      </c>
      <c r="CU89" s="1700">
        <v>146.09</v>
      </c>
      <c r="CV89" s="1700">
        <v>148.27000000000001</v>
      </c>
      <c r="CW89" s="1700">
        <v>150.46</v>
      </c>
      <c r="CX89" s="1700">
        <v>152.63999999999999</v>
      </c>
      <c r="CY89" s="1700">
        <v>154.82</v>
      </c>
      <c r="CZ89" s="1700">
        <v>157.01</v>
      </c>
      <c r="DA89" s="1700">
        <v>159.19</v>
      </c>
      <c r="DB89" s="1700">
        <v>161.38</v>
      </c>
      <c r="DC89" s="1700">
        <v>163.56</v>
      </c>
      <c r="DD89" s="1700">
        <v>165.75</v>
      </c>
      <c r="DE89" s="1700">
        <v>167.93</v>
      </c>
      <c r="DF89" s="1700">
        <v>170.12</v>
      </c>
      <c r="DG89" s="1700">
        <v>172.3</v>
      </c>
      <c r="DH89" s="1700">
        <v>174.48</v>
      </c>
      <c r="DI89" s="1700">
        <v>176.67</v>
      </c>
      <c r="DJ89" s="1700">
        <v>178.85</v>
      </c>
      <c r="DK89" s="1700">
        <v>181.04</v>
      </c>
      <c r="DL89" s="1700">
        <v>183.22</v>
      </c>
      <c r="DM89" s="1700">
        <v>185.41</v>
      </c>
      <c r="DN89" s="1700">
        <v>187.59</v>
      </c>
      <c r="DO89" s="1700">
        <v>189.78</v>
      </c>
      <c r="DP89" s="1700">
        <v>191.96</v>
      </c>
      <c r="DQ89" s="1700">
        <v>194.15</v>
      </c>
      <c r="DR89" s="1700">
        <v>196.33</v>
      </c>
      <c r="DS89" s="1700"/>
      <c r="DT89" s="1700"/>
      <c r="DU89" s="1700"/>
      <c r="DV89" s="1700"/>
      <c r="DW89" s="1700"/>
      <c r="DX89" s="1700"/>
    </row>
    <row r="90" spans="1:128">
      <c r="A90" s="1622"/>
      <c r="B90" s="1691">
        <f t="shared" si="9"/>
        <v>86</v>
      </c>
      <c r="C90" s="1668" t="str">
        <f t="shared" si="6"/>
        <v>231.41</v>
      </c>
      <c r="D90" s="1672">
        <f t="shared" si="7"/>
        <v>323.97000000000003</v>
      </c>
      <c r="E90" s="1670"/>
      <c r="F90" s="1671" t="str">
        <f t="shared" si="8"/>
        <v>145.43</v>
      </c>
      <c r="G90" s="1672">
        <f t="shared" si="5"/>
        <v>203.6</v>
      </c>
      <c r="H90" s="1670"/>
      <c r="I90" s="1670"/>
      <c r="J90" s="1708">
        <v>86</v>
      </c>
      <c r="K90" s="1693">
        <v>168.8</v>
      </c>
      <c r="L90" s="1693">
        <v>171.93</v>
      </c>
      <c r="M90" s="1693">
        <v>175.06</v>
      </c>
      <c r="N90" s="1693">
        <v>178.19</v>
      </c>
      <c r="O90" s="1693">
        <v>181.32</v>
      </c>
      <c r="P90" s="1694">
        <v>184.45</v>
      </c>
      <c r="Q90" s="1694">
        <v>187.58</v>
      </c>
      <c r="R90" s="1694">
        <v>190.71</v>
      </c>
      <c r="S90" s="1695">
        <v>193.84</v>
      </c>
      <c r="T90" s="1696">
        <v>196.97</v>
      </c>
      <c r="U90" s="1696">
        <v>200.1</v>
      </c>
      <c r="V90" s="1695">
        <v>203.23</v>
      </c>
      <c r="W90" s="1695">
        <v>206.36</v>
      </c>
      <c r="X90" s="1695">
        <v>209.49</v>
      </c>
      <c r="Y90" s="1697">
        <v>212.62</v>
      </c>
      <c r="Z90" s="1698">
        <v>215.75</v>
      </c>
      <c r="AA90" s="1699">
        <v>218.89</v>
      </c>
      <c r="AB90" s="1699">
        <v>222.02</v>
      </c>
      <c r="AC90" s="1699">
        <v>225.15</v>
      </c>
      <c r="AD90" s="1699">
        <v>228.28</v>
      </c>
      <c r="AE90" s="1699">
        <v>231.41</v>
      </c>
      <c r="AF90" s="1700">
        <v>190.72</v>
      </c>
      <c r="AG90" s="1700">
        <v>193.85</v>
      </c>
      <c r="AH90" s="1700">
        <v>196.98</v>
      </c>
      <c r="AI90" s="1700">
        <v>200.11</v>
      </c>
      <c r="AJ90" s="1701">
        <v>203.24</v>
      </c>
      <c r="AK90" s="1701">
        <v>206.38</v>
      </c>
      <c r="AL90" s="1701">
        <v>209.51</v>
      </c>
      <c r="AM90" s="1701">
        <v>212.64</v>
      </c>
      <c r="AN90" s="1701">
        <v>215.77</v>
      </c>
      <c r="AO90" s="1702">
        <v>218.9</v>
      </c>
      <c r="AP90" s="1700">
        <v>222.03</v>
      </c>
      <c r="AQ90" s="1700">
        <v>225.16</v>
      </c>
      <c r="AR90" s="1700">
        <v>228.29</v>
      </c>
      <c r="AS90" s="1700">
        <v>231.42</v>
      </c>
      <c r="AT90" s="1700">
        <v>234.55</v>
      </c>
      <c r="AU90" s="1700">
        <v>237.68</v>
      </c>
      <c r="AV90" s="1700">
        <v>240.81</v>
      </c>
      <c r="AW90" s="1700">
        <v>243.94</v>
      </c>
      <c r="AX90" s="1700">
        <v>247.07</v>
      </c>
      <c r="AY90" s="1700">
        <v>250.2</v>
      </c>
      <c r="AZ90" s="1700">
        <v>253.33</v>
      </c>
      <c r="BA90" s="1700">
        <v>256.45999999999998</v>
      </c>
      <c r="BB90" s="1700">
        <v>259.58999999999997</v>
      </c>
      <c r="BC90" s="1700">
        <v>262.72000000000003</v>
      </c>
      <c r="BD90" s="1700">
        <v>265.85000000000002</v>
      </c>
      <c r="BE90" s="1700">
        <v>268.68</v>
      </c>
      <c r="BF90" s="1700">
        <v>272.11</v>
      </c>
      <c r="BG90" s="1700">
        <v>275.24</v>
      </c>
      <c r="BH90" s="1700">
        <v>278.37</v>
      </c>
      <c r="BI90" s="1700">
        <v>281.5</v>
      </c>
      <c r="BJ90" s="1700">
        <v>284.64</v>
      </c>
      <c r="BK90" s="1700">
        <v>287.77</v>
      </c>
      <c r="BL90" s="1700">
        <v>290.89999999999998</v>
      </c>
      <c r="BM90" s="1700">
        <v>294.02999999999997</v>
      </c>
      <c r="BN90" s="1700"/>
      <c r="BO90" s="1703">
        <v>86</v>
      </c>
      <c r="BP90" s="1693">
        <v>101.22</v>
      </c>
      <c r="BQ90" s="1693">
        <v>103.46</v>
      </c>
      <c r="BR90" s="1693">
        <v>105.64</v>
      </c>
      <c r="BS90" s="1693">
        <v>107.85</v>
      </c>
      <c r="BT90" s="1693">
        <v>110.06</v>
      </c>
      <c r="BU90" s="1694">
        <v>112.27</v>
      </c>
      <c r="BV90" s="1694">
        <v>114.48</v>
      </c>
      <c r="BW90" s="1694">
        <v>116.69</v>
      </c>
      <c r="BX90" s="1695">
        <v>118.9</v>
      </c>
      <c r="BY90" s="1696">
        <v>121.11</v>
      </c>
      <c r="BZ90" s="1696">
        <v>123.32</v>
      </c>
      <c r="CA90" s="1695">
        <v>125.53</v>
      </c>
      <c r="CB90" s="1695">
        <v>127.74</v>
      </c>
      <c r="CC90" s="1704">
        <v>129.94999999999999</v>
      </c>
      <c r="CD90" s="1697">
        <v>132.16999999999999</v>
      </c>
      <c r="CE90" s="1698">
        <v>134.38</v>
      </c>
      <c r="CF90" s="1699">
        <v>136.59</v>
      </c>
      <c r="CG90" s="1699">
        <v>138.80000000000001</v>
      </c>
      <c r="CH90" s="1699">
        <v>141.01</v>
      </c>
      <c r="CI90" s="1699">
        <v>143.22</v>
      </c>
      <c r="CJ90" s="1699">
        <v>145.43</v>
      </c>
      <c r="CK90" s="1700">
        <v>125.69</v>
      </c>
      <c r="CL90" s="1700">
        <v>127.9</v>
      </c>
      <c r="CM90" s="1700">
        <v>130.11000000000001</v>
      </c>
      <c r="CN90" s="1700">
        <v>132.32</v>
      </c>
      <c r="CO90" s="1705">
        <v>134.53</v>
      </c>
      <c r="CP90" s="1706">
        <v>136.74</v>
      </c>
      <c r="CQ90" s="1701">
        <v>138.94999999999999</v>
      </c>
      <c r="CR90" s="1701">
        <v>141.16</v>
      </c>
      <c r="CS90" s="1707">
        <v>143.37</v>
      </c>
      <c r="CT90" s="1700">
        <v>145.58000000000001</v>
      </c>
      <c r="CU90" s="1700">
        <v>147.79</v>
      </c>
      <c r="CV90" s="1700">
        <v>150</v>
      </c>
      <c r="CW90" s="1700">
        <v>152.21</v>
      </c>
      <c r="CX90" s="1700">
        <v>154.41999999999999</v>
      </c>
      <c r="CY90" s="1700">
        <v>156.63</v>
      </c>
      <c r="CZ90" s="1700">
        <v>158.84</v>
      </c>
      <c r="DA90" s="1700">
        <v>161.05000000000001</v>
      </c>
      <c r="DB90" s="1700">
        <v>163.26</v>
      </c>
      <c r="DC90" s="1700">
        <v>165.48</v>
      </c>
      <c r="DD90" s="1700">
        <v>167.69</v>
      </c>
      <c r="DE90" s="1700">
        <v>169.9</v>
      </c>
      <c r="DF90" s="1700">
        <v>172.11</v>
      </c>
      <c r="DG90" s="1700">
        <v>174.32</v>
      </c>
      <c r="DH90" s="1700">
        <v>176.53</v>
      </c>
      <c r="DI90" s="1700">
        <v>178.74</v>
      </c>
      <c r="DJ90" s="1700">
        <v>180.95</v>
      </c>
      <c r="DK90" s="1700">
        <v>183.16</v>
      </c>
      <c r="DL90" s="1700">
        <v>185.37</v>
      </c>
      <c r="DM90" s="1700">
        <v>187.58</v>
      </c>
      <c r="DN90" s="1700">
        <v>189.79</v>
      </c>
      <c r="DO90" s="1700">
        <v>192</v>
      </c>
      <c r="DP90" s="1700">
        <v>194.21</v>
      </c>
      <c r="DQ90" s="1700">
        <v>196.42</v>
      </c>
      <c r="DR90" s="1700">
        <v>198.63</v>
      </c>
      <c r="DS90" s="1700"/>
      <c r="DT90" s="1700"/>
      <c r="DU90" s="1700"/>
      <c r="DV90" s="1700"/>
      <c r="DW90" s="1700"/>
      <c r="DX90" s="1700"/>
    </row>
    <row r="91" spans="1:128">
      <c r="A91" s="1622"/>
      <c r="B91" s="1691">
        <f t="shared" si="9"/>
        <v>87</v>
      </c>
      <c r="C91" s="1668" t="str">
        <f t="shared" si="6"/>
        <v>234.03</v>
      </c>
      <c r="D91" s="1672">
        <f t="shared" si="7"/>
        <v>327.64</v>
      </c>
      <c r="E91" s="1670"/>
      <c r="F91" s="1671" t="str">
        <f t="shared" si="8"/>
        <v>147.1</v>
      </c>
      <c r="G91" s="1672">
        <f t="shared" si="5"/>
        <v>205.94</v>
      </c>
      <c r="H91" s="1670"/>
      <c r="I91" s="1670"/>
      <c r="J91" s="1708">
        <v>87</v>
      </c>
      <c r="K91" s="1693">
        <v>170.69</v>
      </c>
      <c r="L91" s="1693">
        <v>173.86</v>
      </c>
      <c r="M91" s="1693">
        <v>177.02</v>
      </c>
      <c r="N91" s="1693">
        <v>180.19</v>
      </c>
      <c r="O91" s="1693">
        <v>183.36</v>
      </c>
      <c r="P91" s="1694">
        <v>186.52</v>
      </c>
      <c r="Q91" s="1694">
        <v>189.69</v>
      </c>
      <c r="R91" s="1694">
        <v>192.86</v>
      </c>
      <c r="S91" s="1695">
        <v>196.02</v>
      </c>
      <c r="T91" s="1696">
        <v>199.19</v>
      </c>
      <c r="U91" s="1696">
        <v>202.36</v>
      </c>
      <c r="V91" s="1695">
        <v>205.52</v>
      </c>
      <c r="W91" s="1695">
        <v>208.69</v>
      </c>
      <c r="X91" s="1695">
        <v>211.86</v>
      </c>
      <c r="Y91" s="1697">
        <v>215.03</v>
      </c>
      <c r="Z91" s="1698">
        <v>218.19</v>
      </c>
      <c r="AA91" s="1699">
        <v>221.36</v>
      </c>
      <c r="AB91" s="1699">
        <v>224.53</v>
      </c>
      <c r="AC91" s="1699">
        <v>227.69</v>
      </c>
      <c r="AD91" s="1699">
        <v>230.86</v>
      </c>
      <c r="AE91" s="1699">
        <v>234.03</v>
      </c>
      <c r="AF91" s="1700">
        <v>192.9</v>
      </c>
      <c r="AG91" s="1700">
        <v>196.07</v>
      </c>
      <c r="AH91" s="1700">
        <v>199.23</v>
      </c>
      <c r="AI91" s="1700">
        <v>202.4</v>
      </c>
      <c r="AJ91" s="1701">
        <v>205.57</v>
      </c>
      <c r="AK91" s="1701">
        <v>208.73</v>
      </c>
      <c r="AL91" s="1701">
        <v>211.9</v>
      </c>
      <c r="AM91" s="1701">
        <v>215.07</v>
      </c>
      <c r="AN91" s="1701">
        <v>218.23</v>
      </c>
      <c r="AO91" s="1702">
        <v>221.4</v>
      </c>
      <c r="AP91" s="1700">
        <v>224.57</v>
      </c>
      <c r="AQ91" s="1700">
        <v>227.73</v>
      </c>
      <c r="AR91" s="1683">
        <v>230.9</v>
      </c>
      <c r="AS91" s="1700">
        <v>234.07</v>
      </c>
      <c r="AT91" s="1700">
        <v>237.23</v>
      </c>
      <c r="AU91" s="1700">
        <v>240.4</v>
      </c>
      <c r="AV91" s="1700">
        <v>243.57</v>
      </c>
      <c r="AW91" s="1700">
        <v>246.73</v>
      </c>
      <c r="AX91" s="1700">
        <v>249.9</v>
      </c>
      <c r="AY91" s="1700">
        <v>253.07</v>
      </c>
      <c r="AZ91" s="1700">
        <v>256.24</v>
      </c>
      <c r="BA91" s="1700">
        <v>259.39999999999998</v>
      </c>
      <c r="BB91" s="1683">
        <v>262.57</v>
      </c>
      <c r="BC91" s="1700">
        <v>265.74</v>
      </c>
      <c r="BD91" s="1700">
        <v>268.89999999999998</v>
      </c>
      <c r="BE91" s="1700">
        <v>272.07</v>
      </c>
      <c r="BF91" s="1700">
        <v>275.24</v>
      </c>
      <c r="BG91" s="1700">
        <v>278.39999999999998</v>
      </c>
      <c r="BH91" s="1700">
        <v>281.57</v>
      </c>
      <c r="BI91" s="1700">
        <v>284.74</v>
      </c>
      <c r="BJ91" s="1700">
        <v>287.89999999999998</v>
      </c>
      <c r="BK91" s="1700">
        <v>291.07</v>
      </c>
      <c r="BL91" s="1700">
        <v>294.24</v>
      </c>
      <c r="BM91" s="1700">
        <v>297.39999999999998</v>
      </c>
      <c r="BN91" s="1700"/>
      <c r="BO91" s="1703">
        <v>87</v>
      </c>
      <c r="BP91" s="1693">
        <v>102.38</v>
      </c>
      <c r="BQ91" s="1693">
        <v>104.62</v>
      </c>
      <c r="BR91" s="1693">
        <v>106.86</v>
      </c>
      <c r="BS91" s="1693">
        <v>109.9</v>
      </c>
      <c r="BT91" s="1693">
        <v>111.33</v>
      </c>
      <c r="BU91" s="1694">
        <v>113.56</v>
      </c>
      <c r="BV91" s="1694">
        <v>115.8</v>
      </c>
      <c r="BW91" s="1694">
        <v>118.03</v>
      </c>
      <c r="BX91" s="1695">
        <v>120.27</v>
      </c>
      <c r="BY91" s="1696">
        <v>122.51</v>
      </c>
      <c r="BZ91" s="1696">
        <v>124.74</v>
      </c>
      <c r="CA91" s="1695">
        <v>126.98</v>
      </c>
      <c r="CB91" s="1695">
        <v>129.21</v>
      </c>
      <c r="CC91" s="1704">
        <v>131.44999999999999</v>
      </c>
      <c r="CD91" s="1697">
        <v>133.69</v>
      </c>
      <c r="CE91" s="1698">
        <v>135.91999999999999</v>
      </c>
      <c r="CF91" s="1699">
        <v>138.16</v>
      </c>
      <c r="CG91" s="1699">
        <v>140.38999999999999</v>
      </c>
      <c r="CH91" s="1699">
        <v>142.63</v>
      </c>
      <c r="CI91" s="1699">
        <v>144.87</v>
      </c>
      <c r="CJ91" s="1699">
        <v>147.1</v>
      </c>
      <c r="CK91" s="1700">
        <v>127.14</v>
      </c>
      <c r="CL91" s="1700">
        <v>129.38</v>
      </c>
      <c r="CM91" s="1700">
        <v>131.61000000000001</v>
      </c>
      <c r="CN91" s="1700">
        <v>133.85</v>
      </c>
      <c r="CO91" s="1705">
        <v>136.09</v>
      </c>
      <c r="CP91" s="1706">
        <v>138.32</v>
      </c>
      <c r="CQ91" s="1701">
        <v>140.56</v>
      </c>
      <c r="CR91" s="1701">
        <v>142.79</v>
      </c>
      <c r="CS91" s="1707">
        <v>145.03</v>
      </c>
      <c r="CT91" s="1700">
        <v>147.27000000000001</v>
      </c>
      <c r="CU91" s="1700">
        <v>149.5</v>
      </c>
      <c r="CV91" s="1700">
        <v>151.74</v>
      </c>
      <c r="CW91" s="1700">
        <v>153.97</v>
      </c>
      <c r="CX91" s="1700">
        <v>156.21</v>
      </c>
      <c r="CY91" s="1700">
        <v>158.44999999999999</v>
      </c>
      <c r="CZ91" s="1700">
        <v>160.68</v>
      </c>
      <c r="DA91" s="1700">
        <v>162.91999999999999</v>
      </c>
      <c r="DB91" s="1700">
        <v>165.15</v>
      </c>
      <c r="DC91" s="1700">
        <v>167.39</v>
      </c>
      <c r="DD91" s="1700">
        <v>169.93</v>
      </c>
      <c r="DE91" s="1700">
        <v>171.86</v>
      </c>
      <c r="DF91" s="1700">
        <v>174.1</v>
      </c>
      <c r="DG91" s="1700">
        <v>176.33</v>
      </c>
      <c r="DH91" s="1700">
        <v>178.57</v>
      </c>
      <c r="DI91" s="1700">
        <v>180.8</v>
      </c>
      <c r="DJ91" s="1700">
        <v>183.04</v>
      </c>
      <c r="DK91" s="1700">
        <v>185.28</v>
      </c>
      <c r="DL91" s="1700">
        <v>187.51</v>
      </c>
      <c r="DM91" s="1700">
        <v>189.75</v>
      </c>
      <c r="DN91" s="1700">
        <v>191.98</v>
      </c>
      <c r="DO91" s="1700">
        <v>194.22</v>
      </c>
      <c r="DP91" s="1700">
        <v>196.46</v>
      </c>
      <c r="DQ91" s="1700">
        <v>198.69</v>
      </c>
      <c r="DR91" s="1700">
        <v>200.93</v>
      </c>
      <c r="DS91" s="1700"/>
      <c r="DT91" s="1700"/>
      <c r="DU91" s="1700"/>
      <c r="DV91" s="1700"/>
      <c r="DW91" s="1700"/>
      <c r="DX91" s="1700"/>
    </row>
    <row r="92" spans="1:128">
      <c r="A92" s="1622"/>
      <c r="B92" s="1691">
        <f t="shared" si="9"/>
        <v>88</v>
      </c>
      <c r="C92" s="1668" t="str">
        <f t="shared" si="6"/>
        <v>236.79</v>
      </c>
      <c r="D92" s="1672">
        <f t="shared" si="7"/>
        <v>331.51</v>
      </c>
      <c r="E92" s="1670"/>
      <c r="F92" s="1671" t="str">
        <f t="shared" si="8"/>
        <v>148.78</v>
      </c>
      <c r="G92" s="1672">
        <f t="shared" si="5"/>
        <v>208.29</v>
      </c>
      <c r="H92" s="1670"/>
      <c r="I92" s="1670"/>
      <c r="J92" s="1708">
        <v>88</v>
      </c>
      <c r="K92" s="1693">
        <v>172.72</v>
      </c>
      <c r="L92" s="1693">
        <v>175.92</v>
      </c>
      <c r="M92" s="1693">
        <v>179.13</v>
      </c>
      <c r="N92" s="1693">
        <v>182.33</v>
      </c>
      <c r="O92" s="1693">
        <v>185.53</v>
      </c>
      <c r="P92" s="1694">
        <v>188.74</v>
      </c>
      <c r="Q92" s="1694">
        <v>191.94</v>
      </c>
      <c r="R92" s="1694">
        <v>195.14</v>
      </c>
      <c r="S92" s="1695">
        <v>198.35</v>
      </c>
      <c r="T92" s="1696">
        <v>201.55</v>
      </c>
      <c r="U92" s="1696">
        <v>204.75</v>
      </c>
      <c r="V92" s="1695">
        <v>207.96</v>
      </c>
      <c r="W92" s="1695">
        <v>211.16</v>
      </c>
      <c r="X92" s="1695">
        <v>214.36</v>
      </c>
      <c r="Y92" s="1697">
        <v>217.57</v>
      </c>
      <c r="Z92" s="1698">
        <v>220.77</v>
      </c>
      <c r="AA92" s="1699">
        <v>223.97</v>
      </c>
      <c r="AB92" s="1699">
        <v>227.18</v>
      </c>
      <c r="AC92" s="1699">
        <v>230.38</v>
      </c>
      <c r="AD92" s="1699">
        <v>233.58</v>
      </c>
      <c r="AE92" s="1699">
        <v>236.79</v>
      </c>
      <c r="AF92" s="1683">
        <v>195.16</v>
      </c>
      <c r="AG92" s="1683">
        <v>198.36</v>
      </c>
      <c r="AH92" s="1683">
        <v>201.56</v>
      </c>
      <c r="AI92" s="1683">
        <v>204.77</v>
      </c>
      <c r="AJ92" s="1701">
        <v>207.97</v>
      </c>
      <c r="AK92" s="1701">
        <v>211.17</v>
      </c>
      <c r="AL92" s="1701">
        <v>214.38</v>
      </c>
      <c r="AM92" s="1701">
        <v>217.58</v>
      </c>
      <c r="AN92" s="1701">
        <v>220.78</v>
      </c>
      <c r="AO92" s="1702">
        <v>223.99</v>
      </c>
      <c r="AP92" s="1700">
        <v>227.19</v>
      </c>
      <c r="AQ92" s="1700">
        <v>230.39</v>
      </c>
      <c r="AR92" s="1700">
        <v>233.6</v>
      </c>
      <c r="AS92" s="1700">
        <v>236.8</v>
      </c>
      <c r="AT92" s="1683">
        <v>240</v>
      </c>
      <c r="AU92" s="1700">
        <v>243.21</v>
      </c>
      <c r="AV92" s="1683">
        <v>246.41</v>
      </c>
      <c r="AW92" s="1683">
        <v>249.61</v>
      </c>
      <c r="AX92" s="1683">
        <v>252.81</v>
      </c>
      <c r="AY92" s="1683">
        <v>256.02</v>
      </c>
      <c r="AZ92" s="1683">
        <v>259.22000000000003</v>
      </c>
      <c r="BA92" s="1683">
        <v>262.42</v>
      </c>
      <c r="BB92" s="1700">
        <v>265.63</v>
      </c>
      <c r="BC92" s="1683">
        <v>268.83</v>
      </c>
      <c r="BD92" s="1683">
        <v>272.02999999999997</v>
      </c>
      <c r="BE92" s="1683">
        <v>275.24</v>
      </c>
      <c r="BF92" s="1683">
        <v>278.44</v>
      </c>
      <c r="BG92" s="1683">
        <v>281.64</v>
      </c>
      <c r="BH92" s="1683">
        <v>284.85000000000002</v>
      </c>
      <c r="BI92" s="1683">
        <v>288.05</v>
      </c>
      <c r="BJ92" s="1683">
        <v>291.25</v>
      </c>
      <c r="BK92" s="1683">
        <v>294.45999999999998</v>
      </c>
      <c r="BL92" s="1683">
        <v>297.66000000000003</v>
      </c>
      <c r="BM92" s="1683">
        <v>300.86</v>
      </c>
      <c r="BN92" s="1683"/>
      <c r="BO92" s="1703">
        <v>88</v>
      </c>
      <c r="BP92" s="1693">
        <v>103.55</v>
      </c>
      <c r="BQ92" s="1693">
        <v>105.81</v>
      </c>
      <c r="BR92" s="1693">
        <v>108.07</v>
      </c>
      <c r="BS92" s="1693">
        <v>110.33</v>
      </c>
      <c r="BT92" s="1693">
        <v>112.59</v>
      </c>
      <c r="BU92" s="1694">
        <v>114.85</v>
      </c>
      <c r="BV92" s="1694">
        <v>117.12</v>
      </c>
      <c r="BW92" s="1694">
        <v>119.38</v>
      </c>
      <c r="BX92" s="1695">
        <v>121.64</v>
      </c>
      <c r="BY92" s="1696">
        <v>123.9</v>
      </c>
      <c r="BZ92" s="1696">
        <v>126.16</v>
      </c>
      <c r="CA92" s="1695">
        <v>128.41999999999999</v>
      </c>
      <c r="CB92" s="1695">
        <v>130.69</v>
      </c>
      <c r="CC92" s="1704">
        <v>132.94999999999999</v>
      </c>
      <c r="CD92" s="1697">
        <v>135.21</v>
      </c>
      <c r="CE92" s="1698">
        <v>137.47</v>
      </c>
      <c r="CF92" s="1699">
        <v>139.72999999999999</v>
      </c>
      <c r="CG92" s="1699">
        <v>141.99</v>
      </c>
      <c r="CH92" s="1699">
        <v>144.26</v>
      </c>
      <c r="CI92" s="1699">
        <v>146.52000000000001</v>
      </c>
      <c r="CJ92" s="1699">
        <v>148.78</v>
      </c>
      <c r="CK92" s="1700">
        <v>128.6</v>
      </c>
      <c r="CL92" s="1700">
        <v>130.86000000000001</v>
      </c>
      <c r="CM92" s="1700">
        <v>133.12</v>
      </c>
      <c r="CN92" s="1700">
        <v>135.38</v>
      </c>
      <c r="CO92" s="1705">
        <v>137.63999999999999</v>
      </c>
      <c r="CP92" s="1706">
        <v>139.9</v>
      </c>
      <c r="CQ92" s="1701">
        <v>142.16999999999999</v>
      </c>
      <c r="CR92" s="1701">
        <v>144.43</v>
      </c>
      <c r="CS92" s="1707">
        <v>146.69</v>
      </c>
      <c r="CT92" s="1700">
        <v>148.94999999999999</v>
      </c>
      <c r="CU92" s="1700">
        <v>151.21</v>
      </c>
      <c r="CV92" s="1700">
        <v>153.47</v>
      </c>
      <c r="CW92" s="1700">
        <v>155.74</v>
      </c>
      <c r="CX92" s="1700">
        <v>158</v>
      </c>
      <c r="CY92" s="1700">
        <v>160.26</v>
      </c>
      <c r="CZ92" s="1700">
        <v>162.52000000000001</v>
      </c>
      <c r="DA92" s="1700">
        <v>164.78</v>
      </c>
      <c r="DB92" s="1700">
        <v>167.04</v>
      </c>
      <c r="DC92" s="1700">
        <v>169.3</v>
      </c>
      <c r="DD92" s="1700">
        <v>171.57</v>
      </c>
      <c r="DE92" s="1700">
        <v>173.83</v>
      </c>
      <c r="DF92" s="1700">
        <v>176.09</v>
      </c>
      <c r="DG92" s="1700">
        <v>178.35</v>
      </c>
      <c r="DH92" s="1700">
        <v>180.61</v>
      </c>
      <c r="DI92" s="1700">
        <v>182.87</v>
      </c>
      <c r="DJ92" s="1700">
        <v>185.14</v>
      </c>
      <c r="DK92" s="1700">
        <v>187.4</v>
      </c>
      <c r="DL92" s="1700">
        <v>189.66</v>
      </c>
      <c r="DM92" s="1700">
        <v>191.92</v>
      </c>
      <c r="DN92" s="1700">
        <v>194.18</v>
      </c>
      <c r="DO92" s="1700">
        <v>196.44</v>
      </c>
      <c r="DP92" s="1700">
        <v>198.71</v>
      </c>
      <c r="DQ92" s="1700">
        <v>200.97</v>
      </c>
      <c r="DR92" s="1700">
        <v>203.23</v>
      </c>
      <c r="DS92" s="1700"/>
      <c r="DT92" s="1700"/>
      <c r="DU92" s="1700"/>
      <c r="DV92" s="1700"/>
      <c r="DW92" s="1700"/>
      <c r="DX92" s="1700"/>
    </row>
    <row r="93" spans="1:128">
      <c r="A93" s="1622"/>
      <c r="B93" s="1691">
        <f t="shared" si="9"/>
        <v>89</v>
      </c>
      <c r="C93" s="1668" t="str">
        <f t="shared" si="6"/>
        <v>239.42</v>
      </c>
      <c r="D93" s="1672">
        <f t="shared" si="7"/>
        <v>335.19</v>
      </c>
      <c r="E93" s="1670"/>
      <c r="F93" s="1671" t="str">
        <f t="shared" si="8"/>
        <v>150.46</v>
      </c>
      <c r="G93" s="1672">
        <f t="shared" si="5"/>
        <v>210.64</v>
      </c>
      <c r="H93" s="1670"/>
      <c r="I93" s="1670"/>
      <c r="J93" s="1708">
        <v>89</v>
      </c>
      <c r="K93" s="1693">
        <v>174.63</v>
      </c>
      <c r="L93" s="1693">
        <v>177.87</v>
      </c>
      <c r="M93" s="1693">
        <v>181.11</v>
      </c>
      <c r="N93" s="1693">
        <v>184.35</v>
      </c>
      <c r="O93" s="1693">
        <v>187.59</v>
      </c>
      <c r="P93" s="1694">
        <v>190.83</v>
      </c>
      <c r="Q93" s="1694">
        <v>194.07</v>
      </c>
      <c r="R93" s="1694">
        <v>197.31</v>
      </c>
      <c r="S93" s="1695">
        <v>200.55</v>
      </c>
      <c r="T93" s="1696">
        <v>203.79</v>
      </c>
      <c r="U93" s="1696">
        <v>207.03</v>
      </c>
      <c r="V93" s="1695">
        <v>210.27</v>
      </c>
      <c r="W93" s="1695">
        <v>213.51</v>
      </c>
      <c r="X93" s="1695">
        <v>216.75</v>
      </c>
      <c r="Y93" s="1697">
        <v>219.98</v>
      </c>
      <c r="Z93" s="1698">
        <v>223.22</v>
      </c>
      <c r="AA93" s="1699">
        <v>226.46</v>
      </c>
      <c r="AB93" s="1699">
        <v>229.7</v>
      </c>
      <c r="AC93" s="1699">
        <v>232.94</v>
      </c>
      <c r="AD93" s="1699">
        <v>236.18</v>
      </c>
      <c r="AE93" s="1699">
        <v>239.42</v>
      </c>
      <c r="AF93" s="1700">
        <v>197.34</v>
      </c>
      <c r="AG93" s="1700">
        <v>200.58</v>
      </c>
      <c r="AH93" s="1700">
        <v>203.82</v>
      </c>
      <c r="AI93" s="1700">
        <v>207.06</v>
      </c>
      <c r="AJ93" s="1701">
        <v>210.3</v>
      </c>
      <c r="AK93" s="1701">
        <v>213.54</v>
      </c>
      <c r="AL93" s="1701">
        <v>216.78</v>
      </c>
      <c r="AM93" s="1701">
        <v>220.02</v>
      </c>
      <c r="AN93" s="1701">
        <v>223.26</v>
      </c>
      <c r="AO93" s="1702">
        <v>226.5</v>
      </c>
      <c r="AP93" s="1700">
        <v>229.74</v>
      </c>
      <c r="AQ93" s="1700">
        <v>232.98</v>
      </c>
      <c r="AR93" s="1683">
        <v>236.22</v>
      </c>
      <c r="AS93" s="1700">
        <v>239.46</v>
      </c>
      <c r="AT93" s="1700">
        <v>242.7</v>
      </c>
      <c r="AU93" s="1700">
        <v>245.94</v>
      </c>
      <c r="AV93" s="1700">
        <v>249.18</v>
      </c>
      <c r="AW93" s="1700">
        <v>252.42</v>
      </c>
      <c r="AX93" s="1700">
        <v>255.66</v>
      </c>
      <c r="AY93" s="1700">
        <v>258.89999999999998</v>
      </c>
      <c r="AZ93" s="1700">
        <v>262.14</v>
      </c>
      <c r="BA93" s="1700">
        <v>265.38</v>
      </c>
      <c r="BB93" s="1700">
        <v>268.61</v>
      </c>
      <c r="BC93" s="1700">
        <v>271.85000000000002</v>
      </c>
      <c r="BD93" s="1700">
        <v>275.08999999999997</v>
      </c>
      <c r="BE93" s="1700">
        <v>278.33</v>
      </c>
      <c r="BF93" s="1700">
        <v>284.57</v>
      </c>
      <c r="BG93" s="1700">
        <v>284.81</v>
      </c>
      <c r="BH93" s="1700">
        <v>288.05</v>
      </c>
      <c r="BI93" s="1700">
        <v>291.29000000000002</v>
      </c>
      <c r="BJ93" s="1700">
        <v>294.52999999999997</v>
      </c>
      <c r="BK93" s="1700">
        <v>297.77</v>
      </c>
      <c r="BL93" s="1700">
        <v>301.01</v>
      </c>
      <c r="BM93" s="1700">
        <v>304.25</v>
      </c>
      <c r="BN93" s="1700"/>
      <c r="BO93" s="1703">
        <v>89</v>
      </c>
      <c r="BP93" s="1693">
        <v>104.71</v>
      </c>
      <c r="BQ93" s="1693">
        <v>107</v>
      </c>
      <c r="BR93" s="1693">
        <v>109.29</v>
      </c>
      <c r="BS93" s="1693">
        <v>111.57</v>
      </c>
      <c r="BT93" s="1693">
        <v>113.86</v>
      </c>
      <c r="BU93" s="1694">
        <v>116.15</v>
      </c>
      <c r="BV93" s="1694">
        <v>118.44</v>
      </c>
      <c r="BW93" s="1694">
        <v>120.72</v>
      </c>
      <c r="BX93" s="1695">
        <v>123.01</v>
      </c>
      <c r="BY93" s="1696">
        <v>125.3</v>
      </c>
      <c r="BZ93" s="1696">
        <v>127.59</v>
      </c>
      <c r="CA93" s="1695">
        <v>129.87</v>
      </c>
      <c r="CB93" s="1695">
        <v>132.16</v>
      </c>
      <c r="CC93" s="1704">
        <v>134.44999999999999</v>
      </c>
      <c r="CD93" s="1697">
        <v>136.72999999999999</v>
      </c>
      <c r="CE93" s="1698">
        <v>139.02000000000001</v>
      </c>
      <c r="CF93" s="1699">
        <v>141.31</v>
      </c>
      <c r="CG93" s="1699">
        <v>143.6</v>
      </c>
      <c r="CH93" s="1699">
        <v>145.88</v>
      </c>
      <c r="CI93" s="1699">
        <v>148.16999999999999</v>
      </c>
      <c r="CJ93" s="1699">
        <v>150.46</v>
      </c>
      <c r="CK93" s="1700">
        <v>130.05000000000001</v>
      </c>
      <c r="CL93" s="1700">
        <v>132.34</v>
      </c>
      <c r="CM93" s="1700">
        <v>134.63</v>
      </c>
      <c r="CN93" s="1700">
        <v>136.91</v>
      </c>
      <c r="CO93" s="1705">
        <v>139.19999999999999</v>
      </c>
      <c r="CP93" s="1706">
        <v>141.49</v>
      </c>
      <c r="CQ93" s="1701">
        <v>143.77000000000001</v>
      </c>
      <c r="CR93" s="1701">
        <v>146.06</v>
      </c>
      <c r="CS93" s="1707">
        <v>148.35</v>
      </c>
      <c r="CT93" s="1700">
        <v>150.63999999999999</v>
      </c>
      <c r="CU93" s="1700">
        <v>152.91999999999999</v>
      </c>
      <c r="CV93" s="1700">
        <v>155.21</v>
      </c>
      <c r="CW93" s="1700">
        <v>157.5</v>
      </c>
      <c r="CX93" s="1700">
        <v>159.79</v>
      </c>
      <c r="CY93" s="1700">
        <v>162.07</v>
      </c>
      <c r="CZ93" s="1700">
        <v>164.36</v>
      </c>
      <c r="DA93" s="1700">
        <v>166.65</v>
      </c>
      <c r="DB93" s="1700">
        <v>168.93</v>
      </c>
      <c r="DC93" s="1700">
        <v>171.22</v>
      </c>
      <c r="DD93" s="1700">
        <v>173.51</v>
      </c>
      <c r="DE93" s="1700">
        <v>175.8</v>
      </c>
      <c r="DF93" s="1700">
        <v>178.08</v>
      </c>
      <c r="DG93" s="1700">
        <v>180.37</v>
      </c>
      <c r="DH93" s="1700">
        <v>182.66</v>
      </c>
      <c r="DI93" s="1700">
        <v>184.95</v>
      </c>
      <c r="DJ93" s="1700">
        <v>187.23</v>
      </c>
      <c r="DK93" s="1700">
        <v>189.52</v>
      </c>
      <c r="DL93" s="1700">
        <v>191.81</v>
      </c>
      <c r="DM93" s="1700">
        <v>194.09</v>
      </c>
      <c r="DN93" s="1700">
        <v>196.38</v>
      </c>
      <c r="DO93" s="1700">
        <v>198.67</v>
      </c>
      <c r="DP93" s="1700">
        <v>200.96</v>
      </c>
      <c r="DQ93" s="1700">
        <v>203.24</v>
      </c>
      <c r="DR93" s="1700">
        <v>205.53</v>
      </c>
      <c r="DS93" s="1700"/>
      <c r="DT93" s="1700"/>
      <c r="DU93" s="1700"/>
      <c r="DV93" s="1700"/>
      <c r="DW93" s="1700"/>
      <c r="DX93" s="1700"/>
    </row>
    <row r="94" spans="1:128">
      <c r="A94" s="1622"/>
      <c r="B94" s="1691">
        <f t="shared" si="9"/>
        <v>90</v>
      </c>
      <c r="C94" s="1668" t="str">
        <f t="shared" si="6"/>
        <v>242.07</v>
      </c>
      <c r="D94" s="1672">
        <f t="shared" si="7"/>
        <v>338.9</v>
      </c>
      <c r="E94" s="1670"/>
      <c r="F94" s="1671" t="str">
        <f t="shared" si="8"/>
        <v>152.18</v>
      </c>
      <c r="G94" s="1672">
        <f t="shared" si="5"/>
        <v>213.05</v>
      </c>
      <c r="H94" s="1670"/>
      <c r="I94" s="1670"/>
      <c r="J94" s="1708">
        <v>90</v>
      </c>
      <c r="K94" s="1693">
        <v>176.55</v>
      </c>
      <c r="L94" s="1693">
        <v>179.82</v>
      </c>
      <c r="M94" s="1693">
        <v>183.1</v>
      </c>
      <c r="N94" s="1693">
        <v>186.38</v>
      </c>
      <c r="O94" s="1693">
        <v>189.65</v>
      </c>
      <c r="P94" s="1694">
        <v>192.93</v>
      </c>
      <c r="Q94" s="1694">
        <v>196.2</v>
      </c>
      <c r="R94" s="1694">
        <v>199.48</v>
      </c>
      <c r="S94" s="1695">
        <v>202.76</v>
      </c>
      <c r="T94" s="1696">
        <v>206.03</v>
      </c>
      <c r="U94" s="1696">
        <v>209.31</v>
      </c>
      <c r="V94" s="1695">
        <v>212.58</v>
      </c>
      <c r="W94" s="1695">
        <v>215.86</v>
      </c>
      <c r="X94" s="1695">
        <v>219.14</v>
      </c>
      <c r="Y94" s="1697">
        <v>222.41</v>
      </c>
      <c r="Z94" s="1698">
        <v>225.69</v>
      </c>
      <c r="AA94" s="1699">
        <v>228.96</v>
      </c>
      <c r="AB94" s="1699">
        <v>232.24</v>
      </c>
      <c r="AC94" s="1699">
        <v>235.52</v>
      </c>
      <c r="AD94" s="1699">
        <v>238.79</v>
      </c>
      <c r="AE94" s="1699">
        <v>242.07</v>
      </c>
      <c r="AF94" s="1700">
        <v>199.53</v>
      </c>
      <c r="AG94" s="1700">
        <v>202.81</v>
      </c>
      <c r="AH94" s="1700">
        <v>206.09</v>
      </c>
      <c r="AI94" s="1700">
        <v>209.36</v>
      </c>
      <c r="AJ94" s="1701">
        <v>212.64</v>
      </c>
      <c r="AK94" s="1701">
        <v>215.91</v>
      </c>
      <c r="AL94" s="1701">
        <v>219.19</v>
      </c>
      <c r="AM94" s="1701">
        <v>222.47</v>
      </c>
      <c r="AN94" s="1701">
        <v>225.74</v>
      </c>
      <c r="AO94" s="1702">
        <v>229.02</v>
      </c>
      <c r="AP94" s="1700">
        <v>232.29</v>
      </c>
      <c r="AQ94" s="1700">
        <v>235.57</v>
      </c>
      <c r="AR94" s="1700">
        <v>238.85</v>
      </c>
      <c r="AS94" s="1700">
        <v>242.12</v>
      </c>
      <c r="AT94" s="1700">
        <v>245.4</v>
      </c>
      <c r="AU94" s="1700">
        <v>248.67</v>
      </c>
      <c r="AV94" s="1700">
        <v>251.95</v>
      </c>
      <c r="AW94" s="1700">
        <v>255.23</v>
      </c>
      <c r="AX94" s="1700">
        <v>258.5</v>
      </c>
      <c r="AY94" s="1700">
        <v>261.77999999999997</v>
      </c>
      <c r="AZ94" s="1700">
        <v>265.05</v>
      </c>
      <c r="BA94" s="1700">
        <v>268.33</v>
      </c>
      <c r="BB94" s="1683">
        <v>271.61</v>
      </c>
      <c r="BC94" s="1700">
        <v>274.88</v>
      </c>
      <c r="BD94" s="1700">
        <v>276.16000000000003</v>
      </c>
      <c r="BE94" s="1700">
        <v>281.43</v>
      </c>
      <c r="BF94" s="1700">
        <v>284.70999999999998</v>
      </c>
      <c r="BG94" s="1700">
        <v>287.99</v>
      </c>
      <c r="BH94" s="1700">
        <v>291.26</v>
      </c>
      <c r="BI94" s="1700">
        <v>294.54000000000002</v>
      </c>
      <c r="BJ94" s="1700">
        <v>297.81</v>
      </c>
      <c r="BK94" s="1700">
        <v>304.08999999999997</v>
      </c>
      <c r="BL94" s="1700">
        <v>304.37</v>
      </c>
      <c r="BM94" s="1700">
        <v>307.64</v>
      </c>
      <c r="BN94" s="1700"/>
      <c r="BO94" s="1703">
        <v>90</v>
      </c>
      <c r="BP94" s="1693">
        <v>105.92</v>
      </c>
      <c r="BQ94" s="1693">
        <v>108.23</v>
      </c>
      <c r="BR94" s="1693">
        <v>110.54</v>
      </c>
      <c r="BS94" s="1693">
        <v>112.86</v>
      </c>
      <c r="BT94" s="1693">
        <v>115.17</v>
      </c>
      <c r="BU94" s="1694">
        <v>117.48</v>
      </c>
      <c r="BV94" s="1694">
        <v>119.8</v>
      </c>
      <c r="BW94" s="1694">
        <v>122.11</v>
      </c>
      <c r="BX94" s="1695">
        <v>124.42</v>
      </c>
      <c r="BY94" s="1696">
        <v>126.73</v>
      </c>
      <c r="BZ94" s="1696">
        <v>129.05000000000001</v>
      </c>
      <c r="CA94" s="1695">
        <v>131.36000000000001</v>
      </c>
      <c r="CB94" s="1695">
        <v>133.66999999999999</v>
      </c>
      <c r="CC94" s="1704">
        <v>135.99</v>
      </c>
      <c r="CD94" s="1697">
        <v>138.30000000000001</v>
      </c>
      <c r="CE94" s="1698">
        <v>140.61000000000001</v>
      </c>
      <c r="CF94" s="1699">
        <v>142.93</v>
      </c>
      <c r="CG94" s="1699">
        <v>145.24</v>
      </c>
      <c r="CH94" s="1699">
        <v>147.55000000000001</v>
      </c>
      <c r="CI94" s="1699">
        <v>149.86000000000001</v>
      </c>
      <c r="CJ94" s="1699">
        <v>152.18</v>
      </c>
      <c r="CK94" s="1700">
        <v>131.53</v>
      </c>
      <c r="CL94" s="1700">
        <v>133.84</v>
      </c>
      <c r="CM94" s="1700">
        <v>136.16</v>
      </c>
      <c r="CN94" s="1700">
        <v>138.47</v>
      </c>
      <c r="CO94" s="1705">
        <v>140.78</v>
      </c>
      <c r="CP94" s="1706">
        <v>143.09</v>
      </c>
      <c r="CQ94" s="1701">
        <v>145.41</v>
      </c>
      <c r="CR94" s="1701">
        <v>147.72</v>
      </c>
      <c r="CS94" s="1707">
        <v>150.03</v>
      </c>
      <c r="CT94" s="1700">
        <v>152.35</v>
      </c>
      <c r="CU94" s="1700">
        <v>154.66</v>
      </c>
      <c r="CV94" s="1700">
        <v>156.97</v>
      </c>
      <c r="CW94" s="1700">
        <v>159.29</v>
      </c>
      <c r="CX94" s="1700">
        <v>161.6</v>
      </c>
      <c r="CY94" s="1700">
        <v>163.91</v>
      </c>
      <c r="CZ94" s="1700">
        <v>166.22</v>
      </c>
      <c r="DA94" s="1700">
        <v>168.54</v>
      </c>
      <c r="DB94" s="1700">
        <v>170.85</v>
      </c>
      <c r="DC94" s="1700">
        <v>173.16</v>
      </c>
      <c r="DD94" s="1700">
        <v>175.48</v>
      </c>
      <c r="DE94" s="1700">
        <v>177.79</v>
      </c>
      <c r="DF94" s="1700">
        <v>180.1</v>
      </c>
      <c r="DG94" s="1700">
        <v>182.42</v>
      </c>
      <c r="DH94" s="1700">
        <v>184.73</v>
      </c>
      <c r="DI94" s="1700">
        <v>187.04</v>
      </c>
      <c r="DJ94" s="1700">
        <v>189.35</v>
      </c>
      <c r="DK94" s="1700">
        <v>191.67</v>
      </c>
      <c r="DL94" s="1700">
        <v>193.98</v>
      </c>
      <c r="DM94" s="1700">
        <v>196.29</v>
      </c>
      <c r="DN94" s="1700">
        <v>198.61</v>
      </c>
      <c r="DO94" s="1700">
        <v>200.92</v>
      </c>
      <c r="DP94" s="1700">
        <v>203.23</v>
      </c>
      <c r="DQ94" s="1700">
        <v>205.55</v>
      </c>
      <c r="DR94" s="1700">
        <v>207.86</v>
      </c>
      <c r="DS94" s="1700"/>
      <c r="DT94" s="1700"/>
      <c r="DU94" s="1700"/>
      <c r="DV94" s="1700"/>
      <c r="DW94" s="1700"/>
      <c r="DX94" s="1700"/>
    </row>
    <row r="95" spans="1:128">
      <c r="A95" s="1622"/>
      <c r="B95" s="1691">
        <f t="shared" si="9"/>
        <v>91</v>
      </c>
      <c r="C95" s="1668" t="str">
        <f t="shared" si="6"/>
        <v>244.86</v>
      </c>
      <c r="D95" s="1672">
        <f t="shared" si="7"/>
        <v>342.8</v>
      </c>
      <c r="E95" s="1670"/>
      <c r="F95" s="1671" t="str">
        <f t="shared" si="8"/>
        <v>153.86</v>
      </c>
      <c r="G95" s="1672">
        <f t="shared" si="5"/>
        <v>215.4</v>
      </c>
      <c r="H95" s="1670"/>
      <c r="I95" s="1670"/>
      <c r="J95" s="1708">
        <v>91</v>
      </c>
      <c r="K95" s="1693">
        <v>178.62</v>
      </c>
      <c r="L95" s="1693">
        <v>181.93</v>
      </c>
      <c r="M95" s="1693">
        <v>185.24</v>
      </c>
      <c r="N95" s="1693">
        <v>188.55</v>
      </c>
      <c r="O95" s="1693">
        <v>191.87</v>
      </c>
      <c r="P95" s="1694">
        <v>195.18</v>
      </c>
      <c r="Q95" s="1694">
        <v>198.49</v>
      </c>
      <c r="R95" s="1694">
        <v>201.8</v>
      </c>
      <c r="S95" s="1695">
        <v>205.11</v>
      </c>
      <c r="T95" s="1696">
        <v>208.43</v>
      </c>
      <c r="U95" s="1696">
        <v>211.74</v>
      </c>
      <c r="V95" s="1695">
        <v>215.05</v>
      </c>
      <c r="W95" s="1695">
        <v>218.36</v>
      </c>
      <c r="X95" s="1695">
        <v>221.68</v>
      </c>
      <c r="Y95" s="1697">
        <v>224.99</v>
      </c>
      <c r="Z95" s="1698">
        <v>228.3</v>
      </c>
      <c r="AA95" s="1699">
        <v>231.61</v>
      </c>
      <c r="AB95" s="1699">
        <v>234.93</v>
      </c>
      <c r="AC95" s="1699">
        <v>238.24</v>
      </c>
      <c r="AD95" s="1699">
        <v>241.55</v>
      </c>
      <c r="AE95" s="1699">
        <v>244.86</v>
      </c>
      <c r="AF95" s="1683">
        <v>201.81</v>
      </c>
      <c r="AG95" s="1683">
        <v>205.13</v>
      </c>
      <c r="AH95" s="1683">
        <v>208.44</v>
      </c>
      <c r="AI95" s="1683">
        <v>211.75</v>
      </c>
      <c r="AJ95" s="1701">
        <v>215.06</v>
      </c>
      <c r="AK95" s="1701">
        <v>218.38</v>
      </c>
      <c r="AL95" s="1701">
        <v>221.69</v>
      </c>
      <c r="AM95" s="1701">
        <v>225</v>
      </c>
      <c r="AN95" s="1701">
        <v>228.31</v>
      </c>
      <c r="AO95" s="1702">
        <v>231.63</v>
      </c>
      <c r="AP95" s="1700">
        <v>234.94</v>
      </c>
      <c r="AQ95" s="1700">
        <v>238.25</v>
      </c>
      <c r="AR95" s="1683">
        <v>241.56</v>
      </c>
      <c r="AS95" s="1700">
        <v>244.87</v>
      </c>
      <c r="AT95" s="1683">
        <v>248.19</v>
      </c>
      <c r="AU95" s="1700">
        <v>251.5</v>
      </c>
      <c r="AV95" s="1683">
        <v>254.81</v>
      </c>
      <c r="AW95" s="1683">
        <v>258.12</v>
      </c>
      <c r="AX95" s="1683">
        <v>261.44</v>
      </c>
      <c r="AY95" s="1683">
        <v>264.75</v>
      </c>
      <c r="AZ95" s="1683">
        <v>268.06</v>
      </c>
      <c r="BA95" s="1683">
        <v>271.37</v>
      </c>
      <c r="BB95" s="1700">
        <v>274.69</v>
      </c>
      <c r="BC95" s="1683">
        <v>278</v>
      </c>
      <c r="BD95" s="1683">
        <v>281.31</v>
      </c>
      <c r="BE95" s="1683">
        <v>284.62</v>
      </c>
      <c r="BF95" s="1683">
        <v>287.94</v>
      </c>
      <c r="BG95" s="1683">
        <v>291.25</v>
      </c>
      <c r="BH95" s="1683">
        <v>294.56</v>
      </c>
      <c r="BI95" s="1683">
        <v>297.87</v>
      </c>
      <c r="BJ95" s="1683">
        <v>301.19</v>
      </c>
      <c r="BK95" s="1683">
        <v>305.5</v>
      </c>
      <c r="BL95" s="1683">
        <v>307.81</v>
      </c>
      <c r="BM95" s="1683">
        <v>311.12</v>
      </c>
      <c r="BN95" s="1683"/>
      <c r="BO95" s="1703">
        <v>91</v>
      </c>
      <c r="BP95" s="1693">
        <v>107.09</v>
      </c>
      <c r="BQ95" s="1693">
        <v>109.43</v>
      </c>
      <c r="BR95" s="1693">
        <v>111.77</v>
      </c>
      <c r="BS95" s="1693">
        <v>114.1</v>
      </c>
      <c r="BT95" s="1693">
        <v>116.44</v>
      </c>
      <c r="BU95" s="1694">
        <v>118.78</v>
      </c>
      <c r="BV95" s="1694">
        <v>121.12</v>
      </c>
      <c r="BW95" s="1694">
        <v>123.46</v>
      </c>
      <c r="BX95" s="1695">
        <v>125.8</v>
      </c>
      <c r="BY95" s="1696">
        <v>128.13999999999999</v>
      </c>
      <c r="BZ95" s="1696">
        <v>130.47999999999999</v>
      </c>
      <c r="CA95" s="1695">
        <v>132.81</v>
      </c>
      <c r="CB95" s="1695">
        <v>135.15</v>
      </c>
      <c r="CC95" s="1704">
        <v>137.49</v>
      </c>
      <c r="CD95" s="1697">
        <v>139.83000000000001</v>
      </c>
      <c r="CE95" s="1698">
        <v>142.16999999999999</v>
      </c>
      <c r="CF95" s="1699">
        <v>144.51</v>
      </c>
      <c r="CG95" s="1699">
        <v>146.85</v>
      </c>
      <c r="CH95" s="1699">
        <v>149.19</v>
      </c>
      <c r="CI95" s="1699">
        <v>151.52000000000001</v>
      </c>
      <c r="CJ95" s="1699">
        <v>153.86000000000001</v>
      </c>
      <c r="CK95" s="1700">
        <v>132.99</v>
      </c>
      <c r="CL95" s="1700">
        <v>135.33000000000001</v>
      </c>
      <c r="CM95" s="1700">
        <v>137.66</v>
      </c>
      <c r="CN95" s="1700">
        <v>140</v>
      </c>
      <c r="CO95" s="1705">
        <v>142.34</v>
      </c>
      <c r="CP95" s="1706">
        <v>144.68</v>
      </c>
      <c r="CQ95" s="1701">
        <v>147.02000000000001</v>
      </c>
      <c r="CR95" s="1701">
        <v>149.36000000000001</v>
      </c>
      <c r="CS95" s="1707">
        <v>151.69999999999999</v>
      </c>
      <c r="CT95" s="1700">
        <v>154.04</v>
      </c>
      <c r="CU95" s="1700">
        <v>156.37</v>
      </c>
      <c r="CV95" s="1700">
        <v>158.71</v>
      </c>
      <c r="CW95" s="1700">
        <v>161.05000000000001</v>
      </c>
      <c r="CX95" s="1700">
        <v>163.38999999999999</v>
      </c>
      <c r="CY95" s="1700">
        <v>165.73</v>
      </c>
      <c r="CZ95" s="1700">
        <v>168.07</v>
      </c>
      <c r="DA95" s="1700">
        <v>170.41</v>
      </c>
      <c r="DB95" s="1700">
        <v>172.75</v>
      </c>
      <c r="DC95" s="1700">
        <v>175.08</v>
      </c>
      <c r="DD95" s="1700">
        <v>177.42</v>
      </c>
      <c r="DE95" s="1700">
        <v>179.76</v>
      </c>
      <c r="DF95" s="1700">
        <v>182.1</v>
      </c>
      <c r="DG95" s="1700">
        <v>184.44</v>
      </c>
      <c r="DH95" s="1700">
        <v>186.78</v>
      </c>
      <c r="DI95" s="1700">
        <v>189.12</v>
      </c>
      <c r="DJ95" s="1700">
        <v>191.46</v>
      </c>
      <c r="DK95" s="1700">
        <v>193.79</v>
      </c>
      <c r="DL95" s="1700">
        <v>196.13</v>
      </c>
      <c r="DM95" s="1700">
        <v>198.47</v>
      </c>
      <c r="DN95" s="1700">
        <v>200.81</v>
      </c>
      <c r="DO95" s="1700">
        <v>203.15</v>
      </c>
      <c r="DP95" s="1700">
        <v>205.49</v>
      </c>
      <c r="DQ95" s="1700">
        <v>207.83</v>
      </c>
      <c r="DR95" s="1700">
        <v>210.16</v>
      </c>
      <c r="DS95" s="1700"/>
      <c r="DT95" s="1700"/>
      <c r="DU95" s="1700"/>
      <c r="DV95" s="1700"/>
      <c r="DW95" s="1700"/>
      <c r="DX95" s="1700"/>
    </row>
    <row r="96" spans="1:128">
      <c r="A96" s="1622"/>
      <c r="B96" s="1691">
        <f t="shared" si="9"/>
        <v>92</v>
      </c>
      <c r="C96" s="1668" t="str">
        <f t="shared" si="6"/>
        <v>247.53</v>
      </c>
      <c r="D96" s="1672">
        <f t="shared" si="7"/>
        <v>346.54</v>
      </c>
      <c r="E96" s="1670"/>
      <c r="F96" s="1671" t="str">
        <f t="shared" si="8"/>
        <v>155.51</v>
      </c>
      <c r="G96" s="1672">
        <f t="shared" si="5"/>
        <v>217.71</v>
      </c>
      <c r="H96" s="1670"/>
      <c r="I96" s="1670"/>
      <c r="J96" s="1708">
        <v>92</v>
      </c>
      <c r="K96" s="1693">
        <v>180.55</v>
      </c>
      <c r="L96" s="1693">
        <v>183.9</v>
      </c>
      <c r="M96" s="1693">
        <v>187.25</v>
      </c>
      <c r="N96" s="1693">
        <v>190.6</v>
      </c>
      <c r="O96" s="1693">
        <v>193.95</v>
      </c>
      <c r="P96" s="1694">
        <v>197.3</v>
      </c>
      <c r="Q96" s="1694">
        <v>200.65</v>
      </c>
      <c r="R96" s="1694">
        <v>203.99</v>
      </c>
      <c r="S96" s="1695">
        <v>207.34</v>
      </c>
      <c r="T96" s="1696">
        <v>210.69</v>
      </c>
      <c r="U96" s="1696">
        <v>214.04</v>
      </c>
      <c r="V96" s="1695">
        <v>217.39</v>
      </c>
      <c r="W96" s="1695">
        <v>220.74</v>
      </c>
      <c r="X96" s="1695">
        <v>224.09</v>
      </c>
      <c r="Y96" s="1697">
        <v>227.44</v>
      </c>
      <c r="Z96" s="1698">
        <v>230.79</v>
      </c>
      <c r="AA96" s="1699">
        <v>234.13</v>
      </c>
      <c r="AB96" s="1699">
        <v>237.48</v>
      </c>
      <c r="AC96" s="1699">
        <v>240.83</v>
      </c>
      <c r="AD96" s="1699">
        <v>244.18</v>
      </c>
      <c r="AE96" s="1699">
        <v>247.53</v>
      </c>
      <c r="AF96" s="1700">
        <v>204.02</v>
      </c>
      <c r="AG96" s="1700">
        <v>207.37</v>
      </c>
      <c r="AH96" s="1700">
        <v>210.71</v>
      </c>
      <c r="AI96" s="1700">
        <v>214.06</v>
      </c>
      <c r="AJ96" s="1701">
        <v>217.41</v>
      </c>
      <c r="AK96" s="1701">
        <v>220.76</v>
      </c>
      <c r="AL96" s="1701">
        <v>224.11</v>
      </c>
      <c r="AM96" s="1701">
        <v>227.46</v>
      </c>
      <c r="AN96" s="1701">
        <v>230.81</v>
      </c>
      <c r="AO96" s="1702">
        <v>234.16</v>
      </c>
      <c r="AP96" s="1700">
        <v>237.5</v>
      </c>
      <c r="AQ96" s="1700">
        <v>240.85</v>
      </c>
      <c r="AR96" s="1700">
        <v>244.2</v>
      </c>
      <c r="AS96" s="1700">
        <v>247.55</v>
      </c>
      <c r="AT96" s="1700">
        <v>250.9</v>
      </c>
      <c r="AU96" s="1700">
        <v>254.25</v>
      </c>
      <c r="AV96" s="1700">
        <v>257.60000000000002</v>
      </c>
      <c r="AW96" s="1700">
        <v>260.95</v>
      </c>
      <c r="AX96" s="1700">
        <v>264.3</v>
      </c>
      <c r="AY96" s="1700">
        <v>267.64</v>
      </c>
      <c r="AZ96" s="1700">
        <v>270.99</v>
      </c>
      <c r="BA96" s="1700">
        <v>274.33999999999997</v>
      </c>
      <c r="BB96" s="1700">
        <v>277.69</v>
      </c>
      <c r="BC96" s="1700">
        <v>281.04000000000002</v>
      </c>
      <c r="BD96" s="1700">
        <v>284.39</v>
      </c>
      <c r="BE96" s="1700">
        <v>287.74</v>
      </c>
      <c r="BF96" s="1700">
        <v>291.08999999999997</v>
      </c>
      <c r="BG96" s="1700">
        <v>294.43</v>
      </c>
      <c r="BH96" s="1700">
        <v>297.77999999999997</v>
      </c>
      <c r="BI96" s="1700">
        <v>301.13</v>
      </c>
      <c r="BJ96" s="1700">
        <v>304.48</v>
      </c>
      <c r="BK96" s="1700">
        <v>307.83</v>
      </c>
      <c r="BL96" s="1700">
        <v>311.18</v>
      </c>
      <c r="BM96" s="1700">
        <v>314.52999999999997</v>
      </c>
      <c r="BN96" s="1700"/>
      <c r="BO96" s="1703">
        <v>92</v>
      </c>
      <c r="BP96" s="1693">
        <v>108.22</v>
      </c>
      <c r="BQ96" s="1693">
        <v>110.59</v>
      </c>
      <c r="BR96" s="1693">
        <v>112.95</v>
      </c>
      <c r="BS96" s="1693">
        <v>115.32</v>
      </c>
      <c r="BT96" s="1693">
        <v>117.68</v>
      </c>
      <c r="BU96" s="1694">
        <v>120.04</v>
      </c>
      <c r="BV96" s="1694">
        <v>122.41</v>
      </c>
      <c r="BW96" s="1694">
        <v>124.77</v>
      </c>
      <c r="BX96" s="1695">
        <v>127.14</v>
      </c>
      <c r="BY96" s="1696">
        <v>129.5</v>
      </c>
      <c r="BZ96" s="1696">
        <v>131.87</v>
      </c>
      <c r="CA96" s="1695">
        <v>134.22999999999999</v>
      </c>
      <c r="CB96" s="1695">
        <v>136.6</v>
      </c>
      <c r="CC96" s="1704">
        <v>138.96</v>
      </c>
      <c r="CD96" s="1697">
        <v>141.32</v>
      </c>
      <c r="CE96" s="1698">
        <v>143.69</v>
      </c>
      <c r="CF96" s="1699">
        <v>146.05000000000001</v>
      </c>
      <c r="CG96" s="1699">
        <v>148.41999999999999</v>
      </c>
      <c r="CH96" s="1699">
        <v>150.78</v>
      </c>
      <c r="CI96" s="1699">
        <v>153.15</v>
      </c>
      <c r="CJ96" s="1699">
        <v>155.51</v>
      </c>
      <c r="CK96" s="1700">
        <v>134.41999999999999</v>
      </c>
      <c r="CL96" s="1700">
        <v>136.79</v>
      </c>
      <c r="CM96" s="1700">
        <v>139.15</v>
      </c>
      <c r="CN96" s="1700">
        <v>141.52000000000001</v>
      </c>
      <c r="CO96" s="1705">
        <v>143.88</v>
      </c>
      <c r="CP96" s="1706">
        <v>146.24</v>
      </c>
      <c r="CQ96" s="1701">
        <v>148.61000000000001</v>
      </c>
      <c r="CR96" s="1701">
        <v>150.97</v>
      </c>
      <c r="CS96" s="1707">
        <v>153.34</v>
      </c>
      <c r="CT96" s="1700">
        <v>155.69999999999999</v>
      </c>
      <c r="CU96" s="1700">
        <v>158.07</v>
      </c>
      <c r="CV96" s="1700">
        <v>160.43</v>
      </c>
      <c r="CW96" s="1700">
        <v>162.80000000000001</v>
      </c>
      <c r="CX96" s="1700">
        <v>165.16</v>
      </c>
      <c r="CY96" s="1700">
        <v>167.52</v>
      </c>
      <c r="CZ96" s="1700">
        <v>169.89</v>
      </c>
      <c r="DA96" s="1700">
        <v>172.25</v>
      </c>
      <c r="DB96" s="1700">
        <v>174.62</v>
      </c>
      <c r="DC96" s="1700">
        <v>176.98</v>
      </c>
      <c r="DD96" s="1700">
        <v>179.35</v>
      </c>
      <c r="DE96" s="1700">
        <v>181.71</v>
      </c>
      <c r="DF96" s="1700">
        <v>184.07</v>
      </c>
      <c r="DG96" s="1700">
        <v>186.44</v>
      </c>
      <c r="DH96" s="1700">
        <v>188.8</v>
      </c>
      <c r="DI96" s="1700">
        <v>191.17</v>
      </c>
      <c r="DJ96" s="1700">
        <v>193.53</v>
      </c>
      <c r="DK96" s="1700">
        <v>195.9</v>
      </c>
      <c r="DL96" s="1700">
        <v>198.26</v>
      </c>
      <c r="DM96" s="1700">
        <v>200.63</v>
      </c>
      <c r="DN96" s="1700">
        <v>202.99</v>
      </c>
      <c r="DO96" s="1700">
        <v>205.35</v>
      </c>
      <c r="DP96" s="1700">
        <v>207.72</v>
      </c>
      <c r="DQ96" s="1700">
        <v>210.08</v>
      </c>
      <c r="DR96" s="1700">
        <v>212.45</v>
      </c>
      <c r="DS96" s="1700"/>
      <c r="DT96" s="1700"/>
      <c r="DU96" s="1700"/>
      <c r="DV96" s="1700"/>
      <c r="DW96" s="1700"/>
      <c r="DX96" s="1700"/>
    </row>
    <row r="97" spans="1:128">
      <c r="A97" s="1622"/>
      <c r="B97" s="1691">
        <f t="shared" si="9"/>
        <v>93</v>
      </c>
      <c r="C97" s="1668" t="str">
        <f t="shared" si="6"/>
        <v>250.2</v>
      </c>
      <c r="D97" s="1672">
        <f t="shared" si="7"/>
        <v>350.28</v>
      </c>
      <c r="E97" s="1670"/>
      <c r="F97" s="1671" t="str">
        <f t="shared" si="8"/>
        <v>157.2</v>
      </c>
      <c r="G97" s="1672">
        <f t="shared" si="5"/>
        <v>220.08</v>
      </c>
      <c r="H97" s="1670"/>
      <c r="I97" s="1670"/>
      <c r="J97" s="1708">
        <v>93</v>
      </c>
      <c r="K97" s="1693">
        <v>182.5</v>
      </c>
      <c r="L97" s="1693">
        <v>185.89</v>
      </c>
      <c r="M97" s="1693">
        <v>189.27</v>
      </c>
      <c r="N97" s="1693">
        <v>192.66</v>
      </c>
      <c r="O97" s="1693">
        <v>196.04</v>
      </c>
      <c r="P97" s="1694">
        <v>199.43</v>
      </c>
      <c r="Q97" s="1694">
        <v>202.81</v>
      </c>
      <c r="R97" s="1694">
        <v>206.2</v>
      </c>
      <c r="S97" s="1695">
        <v>209.58</v>
      </c>
      <c r="T97" s="1696">
        <v>212.97</v>
      </c>
      <c r="U97" s="1696">
        <v>216.35</v>
      </c>
      <c r="V97" s="1695">
        <v>219.74</v>
      </c>
      <c r="W97" s="1695">
        <v>223.12</v>
      </c>
      <c r="X97" s="1695">
        <v>226.51</v>
      </c>
      <c r="Y97" s="1697">
        <v>229.89</v>
      </c>
      <c r="Z97" s="1698">
        <v>233.28</v>
      </c>
      <c r="AA97" s="1699">
        <v>236.66</v>
      </c>
      <c r="AB97" s="1699">
        <v>240.05</v>
      </c>
      <c r="AC97" s="1699">
        <v>243.43</v>
      </c>
      <c r="AD97" s="1699">
        <v>246.82</v>
      </c>
      <c r="AE97" s="1699">
        <v>250.2</v>
      </c>
      <c r="AF97" s="1700">
        <v>206.23</v>
      </c>
      <c r="AG97" s="1700">
        <v>209.61</v>
      </c>
      <c r="AH97" s="1700">
        <v>213</v>
      </c>
      <c r="AI97" s="1700">
        <v>216.38</v>
      </c>
      <c r="AJ97" s="1701">
        <v>219.77</v>
      </c>
      <c r="AK97" s="1701">
        <v>223.15</v>
      </c>
      <c r="AL97" s="1701">
        <v>226.54</v>
      </c>
      <c r="AM97" s="1701">
        <v>229.92</v>
      </c>
      <c r="AN97" s="1701">
        <v>233.31</v>
      </c>
      <c r="AO97" s="1702">
        <v>236.69</v>
      </c>
      <c r="AP97" s="1700">
        <v>240.08</v>
      </c>
      <c r="AQ97" s="1700">
        <v>243.46</v>
      </c>
      <c r="AR97" s="1683">
        <v>246.85</v>
      </c>
      <c r="AS97" s="1700">
        <v>250.23</v>
      </c>
      <c r="AT97" s="1700">
        <v>253.62</v>
      </c>
      <c r="AU97" s="1700">
        <v>257</v>
      </c>
      <c r="AV97" s="1700">
        <v>260.39</v>
      </c>
      <c r="AW97" s="1700">
        <v>263.77</v>
      </c>
      <c r="AX97" s="1700">
        <v>267.16000000000003</v>
      </c>
      <c r="AY97" s="1700">
        <v>270.54000000000002</v>
      </c>
      <c r="AZ97" s="1700">
        <v>273.93</v>
      </c>
      <c r="BA97" s="1700">
        <v>277.31</v>
      </c>
      <c r="BB97" s="1683">
        <v>280.7</v>
      </c>
      <c r="BC97" s="1700">
        <v>284.08</v>
      </c>
      <c r="BD97" s="1700">
        <v>287.47000000000003</v>
      </c>
      <c r="BE97" s="1700">
        <v>290.86</v>
      </c>
      <c r="BF97" s="1700">
        <v>294.24</v>
      </c>
      <c r="BG97" s="1700">
        <v>297.63</v>
      </c>
      <c r="BH97" s="1700">
        <v>301.01</v>
      </c>
      <c r="BI97" s="1700">
        <v>304.39999999999998</v>
      </c>
      <c r="BJ97" s="1700">
        <v>307.77999999999997</v>
      </c>
      <c r="BK97" s="1700">
        <v>311.17</v>
      </c>
      <c r="BL97" s="1700">
        <v>314.55</v>
      </c>
      <c r="BM97" s="1700">
        <v>317.94</v>
      </c>
      <c r="BN97" s="1700"/>
      <c r="BO97" s="1703">
        <v>93</v>
      </c>
      <c r="BP97" s="1693">
        <v>109.4</v>
      </c>
      <c r="BQ97" s="1693">
        <v>111.79</v>
      </c>
      <c r="BR97" s="1693">
        <v>114.18</v>
      </c>
      <c r="BS97" s="1693">
        <v>116.57</v>
      </c>
      <c r="BT97" s="1693">
        <v>118.96</v>
      </c>
      <c r="BU97" s="1694">
        <v>121.35</v>
      </c>
      <c r="BV97" s="1694">
        <v>123.74</v>
      </c>
      <c r="BW97" s="1694">
        <v>126.13</v>
      </c>
      <c r="BX97" s="1695">
        <v>128.52000000000001</v>
      </c>
      <c r="BY97" s="1696">
        <v>130.91</v>
      </c>
      <c r="BZ97" s="1696">
        <v>133.30000000000001</v>
      </c>
      <c r="CA97" s="1695">
        <v>135.69</v>
      </c>
      <c r="CB97" s="1695">
        <v>138.08000000000001</v>
      </c>
      <c r="CC97" s="1704">
        <v>140.47</v>
      </c>
      <c r="CD97" s="1697">
        <v>142.86000000000001</v>
      </c>
      <c r="CE97" s="1698">
        <v>145.25</v>
      </c>
      <c r="CF97" s="1699">
        <v>147.63999999999999</v>
      </c>
      <c r="CG97" s="1699">
        <v>150.03</v>
      </c>
      <c r="CH97" s="1699">
        <v>152.41999999999999</v>
      </c>
      <c r="CI97" s="1699">
        <v>154.81</v>
      </c>
      <c r="CJ97" s="1699">
        <v>157.19999999999999</v>
      </c>
      <c r="CK97" s="1700">
        <v>135.88</v>
      </c>
      <c r="CL97" s="1700">
        <v>138.27000000000001</v>
      </c>
      <c r="CM97" s="1700">
        <v>140.66</v>
      </c>
      <c r="CN97" s="1700">
        <v>143.05000000000001</v>
      </c>
      <c r="CO97" s="1705">
        <v>145.44</v>
      </c>
      <c r="CP97" s="1706">
        <v>147.83000000000001</v>
      </c>
      <c r="CQ97" s="1701">
        <v>150.22</v>
      </c>
      <c r="CR97" s="1701">
        <v>152.61000000000001</v>
      </c>
      <c r="CS97" s="1707">
        <v>155</v>
      </c>
      <c r="CT97" s="1700">
        <v>157.38999999999999</v>
      </c>
      <c r="CU97" s="1700">
        <v>159.78</v>
      </c>
      <c r="CV97" s="1700">
        <v>162.16999999999999</v>
      </c>
      <c r="CW97" s="1700">
        <v>164.56</v>
      </c>
      <c r="CX97" s="1700">
        <v>166.95</v>
      </c>
      <c r="CY97" s="1700">
        <v>169.34</v>
      </c>
      <c r="CZ97" s="1700">
        <v>171.73</v>
      </c>
      <c r="DA97" s="1700">
        <v>174.12</v>
      </c>
      <c r="DB97" s="1700">
        <v>176.51</v>
      </c>
      <c r="DC97" s="1700">
        <v>178.9</v>
      </c>
      <c r="DD97" s="1700">
        <v>181.29</v>
      </c>
      <c r="DE97" s="1700">
        <v>183.68</v>
      </c>
      <c r="DF97" s="1700">
        <v>186.07</v>
      </c>
      <c r="DG97" s="1700">
        <v>188.46</v>
      </c>
      <c r="DH97" s="1700">
        <v>190.85</v>
      </c>
      <c r="DI97" s="1700">
        <v>192.24</v>
      </c>
      <c r="DJ97" s="1700">
        <v>195.64</v>
      </c>
      <c r="DK97" s="1700">
        <v>198.03</v>
      </c>
      <c r="DL97" s="1700">
        <v>200.42</v>
      </c>
      <c r="DM97" s="1700">
        <v>202.81</v>
      </c>
      <c r="DN97" s="1700">
        <v>205.2</v>
      </c>
      <c r="DO97" s="1700">
        <v>207.59</v>
      </c>
      <c r="DP97" s="1700">
        <v>209.98</v>
      </c>
      <c r="DQ97" s="1700">
        <v>212.37</v>
      </c>
      <c r="DR97" s="1700">
        <v>214.76</v>
      </c>
      <c r="DS97" s="1700"/>
      <c r="DT97" s="1700"/>
      <c r="DU97" s="1700"/>
      <c r="DV97" s="1700"/>
      <c r="DW97" s="1700"/>
      <c r="DX97" s="1700"/>
    </row>
    <row r="98" spans="1:128">
      <c r="A98" s="1622"/>
      <c r="B98" s="1691">
        <f t="shared" si="9"/>
        <v>94</v>
      </c>
      <c r="C98" s="1668" t="str">
        <f t="shared" si="6"/>
        <v>252.89</v>
      </c>
      <c r="D98" s="1672">
        <f t="shared" si="7"/>
        <v>354.05</v>
      </c>
      <c r="E98" s="1670"/>
      <c r="F98" s="1671" t="str">
        <f t="shared" si="8"/>
        <v>158.89</v>
      </c>
      <c r="G98" s="1672">
        <f t="shared" si="5"/>
        <v>222.45</v>
      </c>
      <c r="H98" s="1670"/>
      <c r="I98" s="1670"/>
      <c r="J98" s="1708">
        <v>94</v>
      </c>
      <c r="K98" s="1693">
        <v>184.46</v>
      </c>
      <c r="L98" s="1693">
        <v>187.88</v>
      </c>
      <c r="M98" s="1693">
        <v>191.3</v>
      </c>
      <c r="N98" s="1693">
        <v>194.72</v>
      </c>
      <c r="O98" s="1693">
        <v>198.14</v>
      </c>
      <c r="P98" s="1694">
        <v>201.56</v>
      </c>
      <c r="Q98" s="1694">
        <v>204.99</v>
      </c>
      <c r="R98" s="1694">
        <v>208.41</v>
      </c>
      <c r="S98" s="1695">
        <v>211.83</v>
      </c>
      <c r="T98" s="1696">
        <v>215.25</v>
      </c>
      <c r="U98" s="1696">
        <v>218.67</v>
      </c>
      <c r="V98" s="1695">
        <v>222.09</v>
      </c>
      <c r="W98" s="1695">
        <v>225.51</v>
      </c>
      <c r="X98" s="1695">
        <v>228.94</v>
      </c>
      <c r="Y98" s="1697">
        <v>232.36</v>
      </c>
      <c r="Z98" s="1698">
        <v>235.78</v>
      </c>
      <c r="AA98" s="1699">
        <v>239.2</v>
      </c>
      <c r="AB98" s="1699">
        <v>242.62</v>
      </c>
      <c r="AC98" s="1699">
        <v>246.04</v>
      </c>
      <c r="AD98" s="1699">
        <v>249.47</v>
      </c>
      <c r="AE98" s="1699">
        <v>252.89</v>
      </c>
      <c r="AF98" s="1683">
        <v>208.44</v>
      </c>
      <c r="AG98" s="1683">
        <v>211.86</v>
      </c>
      <c r="AH98" s="1683">
        <v>215.28</v>
      </c>
      <c r="AI98" s="1683">
        <v>218.7</v>
      </c>
      <c r="AJ98" s="1701">
        <v>222.13</v>
      </c>
      <c r="AK98" s="1701">
        <v>225.55</v>
      </c>
      <c r="AL98" s="1701">
        <v>228.97</v>
      </c>
      <c r="AM98" s="1701">
        <v>232.39</v>
      </c>
      <c r="AN98" s="1701">
        <v>235.81</v>
      </c>
      <c r="AO98" s="1702">
        <v>239.23</v>
      </c>
      <c r="AP98" s="1700">
        <v>242.65</v>
      </c>
      <c r="AQ98" s="1700">
        <v>246.08</v>
      </c>
      <c r="AR98" s="1700">
        <v>249.5</v>
      </c>
      <c r="AS98" s="1700">
        <v>252.92</v>
      </c>
      <c r="AT98" s="1683">
        <v>256.33999999999997</v>
      </c>
      <c r="AU98" s="1700">
        <v>259.76</v>
      </c>
      <c r="AV98" s="1683">
        <v>263.18</v>
      </c>
      <c r="AW98" s="1683">
        <v>266.61</v>
      </c>
      <c r="AX98" s="1683">
        <v>270.02999999999997</v>
      </c>
      <c r="AY98" s="1683">
        <v>273.45</v>
      </c>
      <c r="AZ98" s="1683">
        <v>276.87</v>
      </c>
      <c r="BA98" s="1683">
        <v>280.29000000000002</v>
      </c>
      <c r="BB98" s="1700">
        <v>283.70999999999998</v>
      </c>
      <c r="BC98" s="1683">
        <v>287.14</v>
      </c>
      <c r="BD98" s="1683">
        <v>290.56</v>
      </c>
      <c r="BE98" s="1683">
        <v>293.98</v>
      </c>
      <c r="BF98" s="1683">
        <v>297.39999999999998</v>
      </c>
      <c r="BG98" s="1683">
        <v>300.82</v>
      </c>
      <c r="BH98" s="1683">
        <v>304.24</v>
      </c>
      <c r="BI98" s="1683">
        <v>307.67</v>
      </c>
      <c r="BJ98" s="1683">
        <v>311.08999999999997</v>
      </c>
      <c r="BK98" s="1683">
        <v>314.51</v>
      </c>
      <c r="BL98" s="1683">
        <v>317.93</v>
      </c>
      <c r="BM98" s="1683">
        <v>321.35000000000002</v>
      </c>
      <c r="BN98" s="1683"/>
      <c r="BO98" s="1703">
        <v>94</v>
      </c>
      <c r="BP98" s="1693">
        <v>110.58</v>
      </c>
      <c r="BQ98" s="1693">
        <v>112.99</v>
      </c>
      <c r="BR98" s="1693">
        <v>115.41</v>
      </c>
      <c r="BS98" s="1693">
        <v>117.82</v>
      </c>
      <c r="BT98" s="1693">
        <v>120.24</v>
      </c>
      <c r="BU98" s="1694">
        <v>122.65</v>
      </c>
      <c r="BV98" s="1694">
        <v>125.07</v>
      </c>
      <c r="BW98" s="1694">
        <v>127.49</v>
      </c>
      <c r="BX98" s="1695">
        <v>129.9</v>
      </c>
      <c r="BY98" s="1696">
        <v>132.32</v>
      </c>
      <c r="BZ98" s="1696">
        <v>134.72999999999999</v>
      </c>
      <c r="CA98" s="1695">
        <v>137.15</v>
      </c>
      <c r="CB98" s="1695">
        <v>139.56</v>
      </c>
      <c r="CC98" s="1704">
        <v>141.97999999999999</v>
      </c>
      <c r="CD98" s="1697">
        <v>144.4</v>
      </c>
      <c r="CE98" s="1698">
        <v>146.81</v>
      </c>
      <c r="CF98" s="1699">
        <v>149.22999999999999</v>
      </c>
      <c r="CG98" s="1699">
        <v>151.63999999999999</v>
      </c>
      <c r="CH98" s="1699">
        <v>154.06</v>
      </c>
      <c r="CI98" s="1699">
        <v>156.47999999999999</v>
      </c>
      <c r="CJ98" s="1699">
        <v>158.88999999999999</v>
      </c>
      <c r="CK98" s="1700">
        <v>137.34</v>
      </c>
      <c r="CL98" s="1700">
        <v>139.76</v>
      </c>
      <c r="CM98" s="1700">
        <v>142.18</v>
      </c>
      <c r="CN98" s="1700">
        <v>144.59</v>
      </c>
      <c r="CO98" s="1705">
        <v>147.01</v>
      </c>
      <c r="CP98" s="1706">
        <v>149.41999999999999</v>
      </c>
      <c r="CQ98" s="1701">
        <v>151.84</v>
      </c>
      <c r="CR98" s="1701">
        <v>154.26</v>
      </c>
      <c r="CS98" s="1707">
        <v>156.66999999999999</v>
      </c>
      <c r="CT98" s="1700">
        <v>159.09</v>
      </c>
      <c r="CU98" s="1700">
        <v>161.5</v>
      </c>
      <c r="CV98" s="1700">
        <v>163.92</v>
      </c>
      <c r="CW98" s="1700">
        <v>166.33</v>
      </c>
      <c r="CX98" s="1700">
        <v>168.75</v>
      </c>
      <c r="CY98" s="1700">
        <v>171.17</v>
      </c>
      <c r="CZ98" s="1700">
        <v>173.58</v>
      </c>
      <c r="DA98" s="1700">
        <v>176</v>
      </c>
      <c r="DB98" s="1700">
        <v>178.41</v>
      </c>
      <c r="DC98" s="1700">
        <v>180.83</v>
      </c>
      <c r="DD98" s="1700">
        <v>183.24</v>
      </c>
      <c r="DE98" s="1700">
        <v>185.66</v>
      </c>
      <c r="DF98" s="1700">
        <v>188.08</v>
      </c>
      <c r="DG98" s="1700">
        <v>190.49</v>
      </c>
      <c r="DH98" s="1700">
        <v>192.91</v>
      </c>
      <c r="DI98" s="1700">
        <v>195.32</v>
      </c>
      <c r="DJ98" s="1700">
        <v>197.74</v>
      </c>
      <c r="DK98" s="1700">
        <v>200.16</v>
      </c>
      <c r="DL98" s="1700">
        <v>202.57</v>
      </c>
      <c r="DM98" s="1700">
        <v>204.99</v>
      </c>
      <c r="DN98" s="1700">
        <v>207.4</v>
      </c>
      <c r="DO98" s="1700">
        <v>209.82</v>
      </c>
      <c r="DP98" s="1700">
        <v>212.23</v>
      </c>
      <c r="DQ98" s="1700">
        <v>214.65</v>
      </c>
      <c r="DR98" s="1700">
        <v>217.07</v>
      </c>
      <c r="DS98" s="1700"/>
      <c r="DT98" s="1700"/>
      <c r="DU98" s="1700"/>
      <c r="DV98" s="1700"/>
      <c r="DW98" s="1700"/>
      <c r="DX98" s="1700"/>
    </row>
    <row r="99" spans="1:128">
      <c r="A99" s="1622"/>
      <c r="B99" s="1691">
        <f t="shared" si="9"/>
        <v>95</v>
      </c>
      <c r="C99" s="1668" t="str">
        <f t="shared" si="6"/>
        <v>255.43</v>
      </c>
      <c r="D99" s="1672">
        <f t="shared" si="7"/>
        <v>357.6</v>
      </c>
      <c r="E99" s="1670"/>
      <c r="F99" s="1671" t="str">
        <f t="shared" si="8"/>
        <v>160.59</v>
      </c>
      <c r="G99" s="1672">
        <f t="shared" si="5"/>
        <v>224.83</v>
      </c>
      <c r="H99" s="1670"/>
      <c r="I99" s="1670"/>
      <c r="J99" s="1708">
        <v>95</v>
      </c>
      <c r="K99" s="1693">
        <v>186.27</v>
      </c>
      <c r="L99" s="1693">
        <v>189.73</v>
      </c>
      <c r="M99" s="1693">
        <v>193.18</v>
      </c>
      <c r="N99" s="1693">
        <v>196.64</v>
      </c>
      <c r="O99" s="1693">
        <v>200.1</v>
      </c>
      <c r="P99" s="1694">
        <v>203.56</v>
      </c>
      <c r="Q99" s="1694">
        <v>207.02</v>
      </c>
      <c r="R99" s="1694">
        <v>210.47</v>
      </c>
      <c r="S99" s="1695">
        <v>213.93</v>
      </c>
      <c r="T99" s="1696">
        <v>217.39</v>
      </c>
      <c r="U99" s="1696">
        <v>220.85</v>
      </c>
      <c r="V99" s="1695">
        <v>224.31</v>
      </c>
      <c r="W99" s="1695">
        <v>227.76</v>
      </c>
      <c r="X99" s="1695">
        <v>231.22</v>
      </c>
      <c r="Y99" s="1697">
        <v>234.68</v>
      </c>
      <c r="Z99" s="1698">
        <v>238.14</v>
      </c>
      <c r="AA99" s="1699">
        <v>241.6</v>
      </c>
      <c r="AB99" s="1699">
        <v>245.05</v>
      </c>
      <c r="AC99" s="1699">
        <v>248.51</v>
      </c>
      <c r="AD99" s="1699">
        <v>251.97</v>
      </c>
      <c r="AE99" s="1699">
        <v>255.43</v>
      </c>
      <c r="AF99" s="1700">
        <v>210.57</v>
      </c>
      <c r="AG99" s="1700">
        <v>214.03</v>
      </c>
      <c r="AH99" s="1700">
        <v>217.48</v>
      </c>
      <c r="AI99" s="1700">
        <v>220.94</v>
      </c>
      <c r="AJ99" s="1701">
        <v>224.4</v>
      </c>
      <c r="AK99" s="1701">
        <v>227.86</v>
      </c>
      <c r="AL99" s="1701">
        <v>231.32</v>
      </c>
      <c r="AM99" s="1701">
        <v>234.77</v>
      </c>
      <c r="AN99" s="1701">
        <v>238.23</v>
      </c>
      <c r="AO99" s="1702">
        <v>241.69</v>
      </c>
      <c r="AP99" s="1700">
        <v>245.15</v>
      </c>
      <c r="AQ99" s="1700">
        <v>248.61</v>
      </c>
      <c r="AR99" s="1683">
        <v>252.06</v>
      </c>
      <c r="AS99" s="1700">
        <v>255.52</v>
      </c>
      <c r="AT99" s="1700">
        <v>258.98</v>
      </c>
      <c r="AU99" s="1700">
        <v>262.44</v>
      </c>
      <c r="AV99" s="1700">
        <v>265.89999999999998</v>
      </c>
      <c r="AW99" s="1700">
        <v>269.35000000000002</v>
      </c>
      <c r="AX99" s="1700">
        <v>272.81</v>
      </c>
      <c r="AY99" s="1700">
        <v>276.27</v>
      </c>
      <c r="AZ99" s="1700">
        <v>279.73</v>
      </c>
      <c r="BA99" s="1700">
        <v>283.19</v>
      </c>
      <c r="BB99" s="1700">
        <v>286.64</v>
      </c>
      <c r="BC99" s="1700">
        <v>290.10000000000002</v>
      </c>
      <c r="BD99" s="1700">
        <v>293.56</v>
      </c>
      <c r="BE99" s="1700">
        <v>297.02</v>
      </c>
      <c r="BF99" s="1700">
        <v>300.48</v>
      </c>
      <c r="BG99" s="1700">
        <v>303.93</v>
      </c>
      <c r="BH99" s="1700">
        <v>307.39</v>
      </c>
      <c r="BI99" s="1700">
        <v>310.85000000000002</v>
      </c>
      <c r="BJ99" s="1700">
        <v>314.31</v>
      </c>
      <c r="BK99" s="1700">
        <v>317.77</v>
      </c>
      <c r="BL99" s="1700">
        <v>321.22000000000003</v>
      </c>
      <c r="BM99" s="1700">
        <v>324.68</v>
      </c>
      <c r="BN99" s="1700"/>
      <c r="BO99" s="1703">
        <v>95</v>
      </c>
      <c r="BP99" s="1693">
        <v>111.76</v>
      </c>
      <c r="BQ99" s="1693">
        <v>114.2</v>
      </c>
      <c r="BR99" s="1693">
        <v>116.64</v>
      </c>
      <c r="BS99" s="1693">
        <v>119.08</v>
      </c>
      <c r="BT99" s="1693">
        <v>121.52</v>
      </c>
      <c r="BU99" s="1694">
        <v>123.96</v>
      </c>
      <c r="BV99" s="1694">
        <v>126.4</v>
      </c>
      <c r="BW99" s="1694">
        <v>128.85</v>
      </c>
      <c r="BX99" s="1695">
        <v>131.29</v>
      </c>
      <c r="BY99" s="1696">
        <v>133.72999999999999</v>
      </c>
      <c r="BZ99" s="1696">
        <v>136.16999999999999</v>
      </c>
      <c r="CA99" s="1695">
        <v>138.61000000000001</v>
      </c>
      <c r="CB99" s="1695">
        <v>141.05000000000001</v>
      </c>
      <c r="CC99" s="1704">
        <v>143.5</v>
      </c>
      <c r="CD99" s="1697">
        <v>145.94</v>
      </c>
      <c r="CE99" s="1698">
        <v>148.38</v>
      </c>
      <c r="CF99" s="1699">
        <v>150.82</v>
      </c>
      <c r="CG99" s="1699">
        <v>153.26</v>
      </c>
      <c r="CH99" s="1699">
        <v>155.69999999999999</v>
      </c>
      <c r="CI99" s="1699">
        <v>158.13999999999999</v>
      </c>
      <c r="CJ99" s="1699">
        <v>160.59</v>
      </c>
      <c r="CK99" s="1700">
        <v>138.81</v>
      </c>
      <c r="CL99" s="1700">
        <v>141.25</v>
      </c>
      <c r="CM99" s="1700">
        <v>143.69</v>
      </c>
      <c r="CN99" s="1700">
        <v>146.13</v>
      </c>
      <c r="CO99" s="1705">
        <v>148.57</v>
      </c>
      <c r="CP99" s="1706">
        <v>151.02000000000001</v>
      </c>
      <c r="CQ99" s="1701">
        <v>153.46</v>
      </c>
      <c r="CR99" s="1701">
        <v>155.9</v>
      </c>
      <c r="CS99" s="1707">
        <v>158.34</v>
      </c>
      <c r="CT99" s="1700">
        <v>160.78</v>
      </c>
      <c r="CU99" s="1700">
        <v>163.22</v>
      </c>
      <c r="CV99" s="1700">
        <v>165.66</v>
      </c>
      <c r="CW99" s="1700">
        <v>168.11</v>
      </c>
      <c r="CX99" s="1700">
        <v>170.55</v>
      </c>
      <c r="CY99" s="1700">
        <v>172.99</v>
      </c>
      <c r="CZ99" s="1700">
        <v>175.43</v>
      </c>
      <c r="DA99" s="1700">
        <v>177.87</v>
      </c>
      <c r="DB99" s="1700">
        <v>180.31</v>
      </c>
      <c r="DC99" s="1700">
        <v>182.76</v>
      </c>
      <c r="DD99" s="1700">
        <v>185.2</v>
      </c>
      <c r="DE99" s="1700">
        <v>187.64</v>
      </c>
      <c r="DF99" s="1700">
        <v>190.08</v>
      </c>
      <c r="DG99" s="1700">
        <v>192.52</v>
      </c>
      <c r="DH99" s="1700">
        <v>194.96</v>
      </c>
      <c r="DI99" s="1700">
        <v>197.4</v>
      </c>
      <c r="DJ99" s="1700">
        <v>199.85</v>
      </c>
      <c r="DK99" s="1700">
        <v>202.29</v>
      </c>
      <c r="DL99" s="1700">
        <v>204.73</v>
      </c>
      <c r="DM99" s="1700">
        <v>207.17</v>
      </c>
      <c r="DN99" s="1700">
        <v>209.61</v>
      </c>
      <c r="DO99" s="1700">
        <v>212.05</v>
      </c>
      <c r="DP99" s="1700">
        <v>214.49</v>
      </c>
      <c r="DQ99" s="1700">
        <v>216.94</v>
      </c>
      <c r="DR99" s="1700">
        <v>219.38</v>
      </c>
      <c r="DS99" s="1700"/>
      <c r="DT99" s="1700"/>
      <c r="DU99" s="1700"/>
      <c r="DV99" s="1700"/>
      <c r="DW99" s="1700"/>
      <c r="DX99" s="1700"/>
    </row>
    <row r="100" spans="1:128">
      <c r="A100" s="1622"/>
      <c r="B100" s="1691">
        <f t="shared" si="9"/>
        <v>96</v>
      </c>
      <c r="C100" s="1668" t="str">
        <f t="shared" si="6"/>
        <v>258.13</v>
      </c>
      <c r="D100" s="1672">
        <f t="shared" si="7"/>
        <v>361.38</v>
      </c>
      <c r="E100" s="1670"/>
      <c r="F100" s="1671" t="str">
        <f t="shared" si="8"/>
        <v>162.28</v>
      </c>
      <c r="G100" s="1672">
        <f t="shared" si="5"/>
        <v>227.19</v>
      </c>
      <c r="H100" s="1670"/>
      <c r="I100" s="1670"/>
      <c r="J100" s="1708">
        <v>96</v>
      </c>
      <c r="K100" s="1693">
        <v>188.24</v>
      </c>
      <c r="L100" s="1693">
        <v>191.73</v>
      </c>
      <c r="M100" s="1693">
        <v>195.23</v>
      </c>
      <c r="N100" s="1693">
        <v>198.72</v>
      </c>
      <c r="O100" s="1693">
        <v>202.22</v>
      </c>
      <c r="P100" s="1694">
        <v>205.71</v>
      </c>
      <c r="Q100" s="1694">
        <v>209.21</v>
      </c>
      <c r="R100" s="1694">
        <v>212.7</v>
      </c>
      <c r="S100" s="1695">
        <v>216.19</v>
      </c>
      <c r="T100" s="1696">
        <v>219.69</v>
      </c>
      <c r="U100" s="1696">
        <v>223.18</v>
      </c>
      <c r="V100" s="1695">
        <v>226.68</v>
      </c>
      <c r="W100" s="1695">
        <v>230.17</v>
      </c>
      <c r="X100" s="1695">
        <v>233.67</v>
      </c>
      <c r="Y100" s="1697">
        <v>237.16</v>
      </c>
      <c r="Z100" s="1698">
        <v>240.66</v>
      </c>
      <c r="AA100" s="1699">
        <v>244.15</v>
      </c>
      <c r="AB100" s="1699">
        <v>247.64</v>
      </c>
      <c r="AC100" s="1699">
        <v>251.14</v>
      </c>
      <c r="AD100" s="1699">
        <v>254.63</v>
      </c>
      <c r="AE100" s="1699">
        <v>258.13</v>
      </c>
      <c r="AF100" s="1700">
        <v>212.79</v>
      </c>
      <c r="AG100" s="1700">
        <v>216.29</v>
      </c>
      <c r="AH100" s="1700">
        <v>219.78</v>
      </c>
      <c r="AI100" s="1700">
        <v>223.27</v>
      </c>
      <c r="AJ100" s="1701">
        <v>226.77</v>
      </c>
      <c r="AK100" s="1701">
        <v>230.26</v>
      </c>
      <c r="AL100" s="1701">
        <v>233.76</v>
      </c>
      <c r="AM100" s="1701">
        <v>237.25</v>
      </c>
      <c r="AN100" s="1701">
        <v>240.75</v>
      </c>
      <c r="AO100" s="1702">
        <v>244.24</v>
      </c>
      <c r="AP100" s="1700">
        <v>247.74</v>
      </c>
      <c r="AQ100" s="1700">
        <v>251.23</v>
      </c>
      <c r="AR100" s="1700">
        <v>254.72</v>
      </c>
      <c r="AS100" s="1700">
        <v>258.22000000000003</v>
      </c>
      <c r="AT100" s="1700">
        <v>261.70999999999998</v>
      </c>
      <c r="AU100" s="1700">
        <v>265.20999999999998</v>
      </c>
      <c r="AV100" s="1700">
        <v>268.7</v>
      </c>
      <c r="AW100" s="1700">
        <v>272.2</v>
      </c>
      <c r="AX100" s="1700">
        <v>275.69</v>
      </c>
      <c r="AY100" s="1700">
        <v>279.19</v>
      </c>
      <c r="AZ100" s="1700">
        <v>282.68</v>
      </c>
      <c r="BA100" s="1700">
        <v>286.17</v>
      </c>
      <c r="BB100" s="1683">
        <v>289.67</v>
      </c>
      <c r="BC100" s="1700">
        <v>293.16000000000003</v>
      </c>
      <c r="BD100" s="1700">
        <v>296.66000000000003</v>
      </c>
      <c r="BE100" s="1700">
        <v>300.14999999999998</v>
      </c>
      <c r="BF100" s="1700">
        <v>303.64999999999998</v>
      </c>
      <c r="BG100" s="1700">
        <v>307.14</v>
      </c>
      <c r="BH100" s="1700">
        <v>310.63</v>
      </c>
      <c r="BI100" s="1700">
        <v>314.13</v>
      </c>
      <c r="BJ100" s="1700">
        <v>317.62</v>
      </c>
      <c r="BK100" s="1700">
        <v>321.12</v>
      </c>
      <c r="BL100" s="1700">
        <v>324.61</v>
      </c>
      <c r="BM100" s="1700">
        <v>328.11</v>
      </c>
      <c r="BN100" s="1700"/>
      <c r="BO100" s="1703">
        <v>96</v>
      </c>
      <c r="BP100" s="1693">
        <v>112.94</v>
      </c>
      <c r="BQ100" s="1693">
        <v>115.41</v>
      </c>
      <c r="BR100" s="1693">
        <v>117.87</v>
      </c>
      <c r="BS100" s="1693">
        <v>120.34</v>
      </c>
      <c r="BT100" s="1693">
        <v>122.81</v>
      </c>
      <c r="BU100" s="1694">
        <v>125.27</v>
      </c>
      <c r="BV100" s="1694">
        <v>127.74</v>
      </c>
      <c r="BW100" s="1694">
        <v>130.21</v>
      </c>
      <c r="BX100" s="1695">
        <v>132.68</v>
      </c>
      <c r="BY100" s="1696">
        <v>135.13999999999999</v>
      </c>
      <c r="BZ100" s="1696">
        <v>137.61000000000001</v>
      </c>
      <c r="CA100" s="1695">
        <v>140.08000000000001</v>
      </c>
      <c r="CB100" s="1695">
        <v>142.55000000000001</v>
      </c>
      <c r="CC100" s="1704">
        <v>145.01</v>
      </c>
      <c r="CD100" s="1697">
        <v>147.47999999999999</v>
      </c>
      <c r="CE100" s="1698">
        <v>149.94999999999999</v>
      </c>
      <c r="CF100" s="1699">
        <v>152.41</v>
      </c>
      <c r="CG100" s="1699">
        <v>154.88</v>
      </c>
      <c r="CH100" s="1699">
        <v>157.35</v>
      </c>
      <c r="CI100" s="1699">
        <v>159.82</v>
      </c>
      <c r="CJ100" s="1699">
        <v>162.28</v>
      </c>
      <c r="CK100" s="1700">
        <v>140.27000000000001</v>
      </c>
      <c r="CL100" s="1700">
        <v>142.74</v>
      </c>
      <c r="CM100" s="1700">
        <v>145.21</v>
      </c>
      <c r="CN100" s="1700">
        <v>147.66999999999999</v>
      </c>
      <c r="CO100" s="1705">
        <v>150.13999999999999</v>
      </c>
      <c r="CP100" s="1706">
        <v>152.61000000000001</v>
      </c>
      <c r="CQ100" s="1701">
        <v>155.08000000000001</v>
      </c>
      <c r="CR100" s="1701">
        <v>157.54</v>
      </c>
      <c r="CS100" s="1707">
        <v>160.01</v>
      </c>
      <c r="CT100" s="1700">
        <v>162.47999999999999</v>
      </c>
      <c r="CU100" s="1700">
        <v>164.95</v>
      </c>
      <c r="CV100" s="1700">
        <v>167.41</v>
      </c>
      <c r="CW100" s="1700">
        <v>169.88</v>
      </c>
      <c r="CX100" s="1700">
        <v>172.35</v>
      </c>
      <c r="CY100" s="1700">
        <v>174.81</v>
      </c>
      <c r="CZ100" s="1700">
        <v>177.28</v>
      </c>
      <c r="DA100" s="1700">
        <v>179.75</v>
      </c>
      <c r="DB100" s="1700">
        <v>182.22</v>
      </c>
      <c r="DC100" s="1700">
        <v>184.68</v>
      </c>
      <c r="DD100" s="1700">
        <v>187.15</v>
      </c>
      <c r="DE100" s="1700">
        <v>189.62</v>
      </c>
      <c r="DF100" s="1700">
        <v>192.08</v>
      </c>
      <c r="DG100" s="1700">
        <v>194.55</v>
      </c>
      <c r="DH100" s="1700">
        <v>197.02</v>
      </c>
      <c r="DI100" s="1700">
        <v>199.49</v>
      </c>
      <c r="DJ100" s="1700">
        <v>201.95</v>
      </c>
      <c r="DK100" s="1700">
        <v>204.42</v>
      </c>
      <c r="DL100" s="1700">
        <v>206.89</v>
      </c>
      <c r="DM100" s="1700">
        <v>209.35</v>
      </c>
      <c r="DN100" s="1700">
        <v>211.82</v>
      </c>
      <c r="DO100" s="1700">
        <v>214.29</v>
      </c>
      <c r="DP100" s="1700">
        <v>216.76</v>
      </c>
      <c r="DQ100" s="1700">
        <v>219.22</v>
      </c>
      <c r="DR100" s="1700">
        <v>221.69</v>
      </c>
      <c r="DS100" s="1700"/>
      <c r="DT100" s="1700"/>
      <c r="DU100" s="1700"/>
      <c r="DV100" s="1700"/>
      <c r="DW100" s="1700"/>
      <c r="DX100" s="1700"/>
    </row>
    <row r="101" spans="1:128">
      <c r="A101" s="1622"/>
      <c r="B101" s="1691">
        <f t="shared" si="9"/>
        <v>97</v>
      </c>
      <c r="C101" s="1668" t="str">
        <f t="shared" si="6"/>
        <v>260.84</v>
      </c>
      <c r="D101" s="1672">
        <f t="shared" si="7"/>
        <v>365.18</v>
      </c>
      <c r="E101" s="1670"/>
      <c r="F101" s="1671" t="str">
        <f t="shared" si="8"/>
        <v>163.94</v>
      </c>
      <c r="G101" s="1672">
        <f t="shared" si="5"/>
        <v>229.52</v>
      </c>
      <c r="H101" s="1670"/>
      <c r="I101" s="1670"/>
      <c r="J101" s="1708">
        <v>97</v>
      </c>
      <c r="K101" s="1693">
        <v>190.22</v>
      </c>
      <c r="L101" s="1693">
        <v>193.75</v>
      </c>
      <c r="M101" s="1693">
        <v>197.28</v>
      </c>
      <c r="N101" s="1693">
        <v>200.81</v>
      </c>
      <c r="O101" s="1693">
        <v>204.35</v>
      </c>
      <c r="P101" s="1694">
        <v>207.88</v>
      </c>
      <c r="Q101" s="1694">
        <v>211.41</v>
      </c>
      <c r="R101" s="1694">
        <v>214.94</v>
      </c>
      <c r="S101" s="1695">
        <v>218.47</v>
      </c>
      <c r="T101" s="1696">
        <v>222</v>
      </c>
      <c r="U101" s="1696">
        <v>225.53</v>
      </c>
      <c r="V101" s="1695">
        <v>229.06</v>
      </c>
      <c r="W101" s="1695">
        <v>232.59</v>
      </c>
      <c r="X101" s="1695">
        <v>236.12</v>
      </c>
      <c r="Y101" s="1697">
        <v>239.65</v>
      </c>
      <c r="Z101" s="1698">
        <v>243.18</v>
      </c>
      <c r="AA101" s="1699">
        <v>246.71</v>
      </c>
      <c r="AB101" s="1699">
        <v>250.25</v>
      </c>
      <c r="AC101" s="1699">
        <v>253.78</v>
      </c>
      <c r="AD101" s="1699">
        <v>257.31</v>
      </c>
      <c r="AE101" s="1699">
        <v>260.83999999999997</v>
      </c>
      <c r="AF101" s="1683">
        <v>215.02</v>
      </c>
      <c r="AG101" s="1683">
        <v>218.55</v>
      </c>
      <c r="AH101" s="1683">
        <v>222.08</v>
      </c>
      <c r="AI101" s="1683">
        <v>225.61</v>
      </c>
      <c r="AJ101" s="1701">
        <v>229.14</v>
      </c>
      <c r="AK101" s="1701">
        <v>232.67</v>
      </c>
      <c r="AL101" s="1701">
        <v>236.21</v>
      </c>
      <c r="AM101" s="1701">
        <v>239.74</v>
      </c>
      <c r="AN101" s="1701">
        <v>243.27</v>
      </c>
      <c r="AO101" s="1702">
        <v>246.8</v>
      </c>
      <c r="AP101" s="1700">
        <v>250.33</v>
      </c>
      <c r="AQ101" s="1700">
        <v>253.86</v>
      </c>
      <c r="AR101" s="1683">
        <v>257.39</v>
      </c>
      <c r="AS101" s="1700">
        <v>260.92</v>
      </c>
      <c r="AT101" s="1683">
        <v>264.45</v>
      </c>
      <c r="AU101" s="1700">
        <v>267.98</v>
      </c>
      <c r="AV101" s="1683">
        <v>271.51</v>
      </c>
      <c r="AW101" s="1683">
        <v>275.04000000000002</v>
      </c>
      <c r="AX101" s="1683">
        <v>278.57</v>
      </c>
      <c r="AY101" s="1683">
        <v>282.11</v>
      </c>
      <c r="AZ101" s="1683">
        <v>285.64</v>
      </c>
      <c r="BA101" s="1683">
        <v>289.17</v>
      </c>
      <c r="BB101" s="1700">
        <v>292.7</v>
      </c>
      <c r="BC101" s="1683">
        <v>296.23</v>
      </c>
      <c r="BD101" s="1683">
        <v>299.76</v>
      </c>
      <c r="BE101" s="1683">
        <v>303.29000000000002</v>
      </c>
      <c r="BF101" s="1683">
        <v>306.82</v>
      </c>
      <c r="BG101" s="1683">
        <v>310.35000000000002</v>
      </c>
      <c r="BH101" s="1683">
        <v>313.88</v>
      </c>
      <c r="BI101" s="1683">
        <v>317.41000000000003</v>
      </c>
      <c r="BJ101" s="1683">
        <v>320.94</v>
      </c>
      <c r="BK101" s="1683">
        <v>324.48</v>
      </c>
      <c r="BL101" s="1683">
        <v>328.01</v>
      </c>
      <c r="BM101" s="1683">
        <v>331.54</v>
      </c>
      <c r="BN101" s="1683"/>
      <c r="BO101" s="1703">
        <v>97</v>
      </c>
      <c r="BP101" s="1693">
        <v>114.08</v>
      </c>
      <c r="BQ101" s="1693">
        <v>116.57</v>
      </c>
      <c r="BR101" s="1693">
        <v>119.07</v>
      </c>
      <c r="BS101" s="1693">
        <v>121.59</v>
      </c>
      <c r="BT101" s="1693">
        <v>124.05</v>
      </c>
      <c r="BU101" s="1694">
        <v>126.55</v>
      </c>
      <c r="BV101" s="1694">
        <v>129.04</v>
      </c>
      <c r="BW101" s="1694">
        <v>131.53</v>
      </c>
      <c r="BX101" s="1695">
        <v>134.02000000000001</v>
      </c>
      <c r="BY101" s="1696">
        <v>136.52000000000001</v>
      </c>
      <c r="BZ101" s="1696">
        <v>139.01</v>
      </c>
      <c r="CA101" s="1695">
        <v>141.5</v>
      </c>
      <c r="CB101" s="1695">
        <v>144</v>
      </c>
      <c r="CC101" s="1704">
        <v>146.49</v>
      </c>
      <c r="CD101" s="1697">
        <v>148.97999999999999</v>
      </c>
      <c r="CE101" s="1698">
        <v>151.47</v>
      </c>
      <c r="CF101" s="1699">
        <v>153.97</v>
      </c>
      <c r="CG101" s="1699">
        <v>156.46</v>
      </c>
      <c r="CH101" s="1699">
        <v>158.94999999999999</v>
      </c>
      <c r="CI101" s="1699">
        <v>161.44999999999999</v>
      </c>
      <c r="CJ101" s="1699">
        <v>163.94</v>
      </c>
      <c r="CK101" s="1700">
        <v>141.71</v>
      </c>
      <c r="CL101" s="1700">
        <v>144.21</v>
      </c>
      <c r="CM101" s="1700">
        <v>146.69999999999999</v>
      </c>
      <c r="CN101" s="1700">
        <v>149.19</v>
      </c>
      <c r="CO101" s="1705">
        <v>151.68</v>
      </c>
      <c r="CP101" s="1706">
        <v>154.18</v>
      </c>
      <c r="CQ101" s="1701">
        <v>156.66999999999999</v>
      </c>
      <c r="CR101" s="1701">
        <v>159.16</v>
      </c>
      <c r="CS101" s="1707">
        <v>161.66</v>
      </c>
      <c r="CT101" s="1700">
        <v>164.15</v>
      </c>
      <c r="CU101" s="1700">
        <v>166.64</v>
      </c>
      <c r="CV101" s="1700">
        <v>169.14</v>
      </c>
      <c r="CW101" s="1700">
        <v>171.63</v>
      </c>
      <c r="CX101" s="1700">
        <v>174.12</v>
      </c>
      <c r="CY101" s="1700">
        <v>176.61</v>
      </c>
      <c r="CZ101" s="1700">
        <v>179.11</v>
      </c>
      <c r="DA101" s="1700">
        <v>181.6</v>
      </c>
      <c r="DB101" s="1700">
        <v>184.09</v>
      </c>
      <c r="DC101" s="1700">
        <v>186.59</v>
      </c>
      <c r="DD101" s="1700">
        <v>189.08</v>
      </c>
      <c r="DE101" s="1700">
        <v>191.57</v>
      </c>
      <c r="DF101" s="1700">
        <v>194.06</v>
      </c>
      <c r="DG101" s="1700">
        <v>196.56</v>
      </c>
      <c r="DH101" s="1700">
        <v>199.05</v>
      </c>
      <c r="DI101" s="1700">
        <v>201.54</v>
      </c>
      <c r="DJ101" s="1700">
        <v>204.04</v>
      </c>
      <c r="DK101" s="1700">
        <v>206.53</v>
      </c>
      <c r="DL101" s="1700">
        <v>209.02</v>
      </c>
      <c r="DM101" s="1700">
        <v>211.51</v>
      </c>
      <c r="DN101" s="1700">
        <v>214.01</v>
      </c>
      <c r="DO101" s="1700">
        <v>216.5</v>
      </c>
      <c r="DP101" s="1700">
        <v>218.99</v>
      </c>
      <c r="DQ101" s="1700">
        <v>221.49</v>
      </c>
      <c r="DR101" s="1700">
        <v>223.98</v>
      </c>
      <c r="DS101" s="1700"/>
      <c r="DT101" s="1700"/>
      <c r="DU101" s="1700"/>
      <c r="DV101" s="1700"/>
      <c r="DW101" s="1700"/>
      <c r="DX101" s="1700"/>
    </row>
    <row r="102" spans="1:128">
      <c r="A102" s="1622"/>
      <c r="B102" s="1691">
        <f t="shared" si="9"/>
        <v>98</v>
      </c>
      <c r="C102" s="1668" t="str">
        <f t="shared" si="6"/>
        <v>263.56</v>
      </c>
      <c r="D102" s="1672">
        <f t="shared" si="7"/>
        <v>368.98</v>
      </c>
      <c r="E102" s="1670"/>
      <c r="F102" s="1671" t="str">
        <f t="shared" si="8"/>
        <v>165.64</v>
      </c>
      <c r="G102" s="1672">
        <f t="shared" si="5"/>
        <v>231.9</v>
      </c>
      <c r="H102" s="1670"/>
      <c r="I102" s="1670"/>
      <c r="J102" s="1708">
        <v>98</v>
      </c>
      <c r="K102" s="1693">
        <v>192.21</v>
      </c>
      <c r="L102" s="1693">
        <v>195.78</v>
      </c>
      <c r="M102" s="1693">
        <v>199.35</v>
      </c>
      <c r="N102" s="1693">
        <v>202.92</v>
      </c>
      <c r="O102" s="1693">
        <v>206.48</v>
      </c>
      <c r="P102" s="1694">
        <v>210.05</v>
      </c>
      <c r="Q102" s="1694">
        <v>213.62</v>
      </c>
      <c r="R102" s="1694">
        <v>217.18</v>
      </c>
      <c r="S102" s="1695">
        <v>220.75</v>
      </c>
      <c r="T102" s="1696">
        <v>224.32</v>
      </c>
      <c r="U102" s="1696">
        <v>227.89</v>
      </c>
      <c r="V102" s="1695">
        <v>231.45</v>
      </c>
      <c r="W102" s="1695">
        <v>235.02</v>
      </c>
      <c r="X102" s="1695">
        <v>238.59</v>
      </c>
      <c r="Y102" s="1697">
        <v>242.16</v>
      </c>
      <c r="Z102" s="1698">
        <v>245.72</v>
      </c>
      <c r="AA102" s="1699">
        <v>249.29</v>
      </c>
      <c r="AB102" s="1699">
        <v>252.86</v>
      </c>
      <c r="AC102" s="1699">
        <v>256.77999999999997</v>
      </c>
      <c r="AD102" s="1699">
        <v>259.99</v>
      </c>
      <c r="AE102" s="1699">
        <v>263.56</v>
      </c>
      <c r="AF102" s="1700">
        <v>217.26</v>
      </c>
      <c r="AG102" s="1700">
        <v>220.82</v>
      </c>
      <c r="AH102" s="1700">
        <v>224.39</v>
      </c>
      <c r="AI102" s="1700">
        <v>227.96</v>
      </c>
      <c r="AJ102" s="1701">
        <v>231.52</v>
      </c>
      <c r="AK102" s="1701">
        <v>235.09</v>
      </c>
      <c r="AL102" s="1701">
        <v>238.66</v>
      </c>
      <c r="AM102" s="1701">
        <v>242.23</v>
      </c>
      <c r="AN102" s="1701">
        <v>245.79</v>
      </c>
      <c r="AO102" s="1702">
        <v>249.36</v>
      </c>
      <c r="AP102" s="1700">
        <v>252.93</v>
      </c>
      <c r="AQ102" s="1700">
        <v>256.49</v>
      </c>
      <c r="AR102" s="1700">
        <v>260.06</v>
      </c>
      <c r="AS102" s="1700">
        <v>263.63</v>
      </c>
      <c r="AT102" s="1700">
        <v>267.2</v>
      </c>
      <c r="AU102" s="1700">
        <v>270.76</v>
      </c>
      <c r="AV102" s="1700">
        <v>274.33</v>
      </c>
      <c r="AW102" s="1700">
        <v>277.89999999999998</v>
      </c>
      <c r="AX102" s="1700">
        <v>281.47000000000003</v>
      </c>
      <c r="AY102" s="1700">
        <v>285.02999999999997</v>
      </c>
      <c r="AZ102" s="1700">
        <v>288.60000000000002</v>
      </c>
      <c r="BA102" s="1700">
        <v>292.17</v>
      </c>
      <c r="BB102" s="1700">
        <v>295.73</v>
      </c>
      <c r="BC102" s="1700">
        <v>299.3</v>
      </c>
      <c r="BD102" s="1700">
        <v>302.87</v>
      </c>
      <c r="BE102" s="1700">
        <v>306.44</v>
      </c>
      <c r="BF102" s="1700">
        <v>310</v>
      </c>
      <c r="BG102" s="1700">
        <v>313.57</v>
      </c>
      <c r="BH102" s="1700">
        <v>317.14</v>
      </c>
      <c r="BI102" s="1700">
        <v>320.7</v>
      </c>
      <c r="BJ102" s="1700">
        <v>324.27</v>
      </c>
      <c r="BK102" s="1700">
        <v>327.84</v>
      </c>
      <c r="BL102" s="1700">
        <v>331.41</v>
      </c>
      <c r="BM102" s="1700">
        <v>334.97</v>
      </c>
      <c r="BN102" s="1700"/>
      <c r="BO102" s="1703">
        <v>98</v>
      </c>
      <c r="BP102" s="1693">
        <v>115.27</v>
      </c>
      <c r="BQ102" s="1693">
        <v>117.79</v>
      </c>
      <c r="BR102" s="1693">
        <v>120.31</v>
      </c>
      <c r="BS102" s="1693">
        <v>122.82</v>
      </c>
      <c r="BT102" s="1693">
        <v>125.34</v>
      </c>
      <c r="BU102" s="1694">
        <v>127.86</v>
      </c>
      <c r="BV102" s="1694">
        <v>130.38</v>
      </c>
      <c r="BW102" s="1694">
        <v>132.9</v>
      </c>
      <c r="BX102" s="1695">
        <v>135.41999999999999</v>
      </c>
      <c r="BY102" s="1696">
        <v>137.94</v>
      </c>
      <c r="BZ102" s="1696">
        <v>140.44999999999999</v>
      </c>
      <c r="CA102" s="1695">
        <v>142.97</v>
      </c>
      <c r="CB102" s="1695">
        <v>145.49</v>
      </c>
      <c r="CC102" s="1704">
        <v>148.01</v>
      </c>
      <c r="CD102" s="1697">
        <v>150.53</v>
      </c>
      <c r="CE102" s="1698">
        <v>153.05000000000001</v>
      </c>
      <c r="CF102" s="1699">
        <v>155.57</v>
      </c>
      <c r="CG102" s="1699">
        <v>158.09</v>
      </c>
      <c r="CH102" s="1699">
        <v>160.6</v>
      </c>
      <c r="CI102" s="1699">
        <v>163.12</v>
      </c>
      <c r="CJ102" s="1699">
        <v>165.64</v>
      </c>
      <c r="CK102" s="1700">
        <v>143.18</v>
      </c>
      <c r="CL102" s="1700">
        <v>145.69999999999999</v>
      </c>
      <c r="CM102" s="1700">
        <v>148.22</v>
      </c>
      <c r="CN102" s="1700">
        <v>150.74</v>
      </c>
      <c r="CO102" s="1705">
        <v>153.26</v>
      </c>
      <c r="CP102" s="1706">
        <v>155.77000000000001</v>
      </c>
      <c r="CQ102" s="1701">
        <v>158.29</v>
      </c>
      <c r="CR102" s="1701">
        <v>160.81</v>
      </c>
      <c r="CS102" s="1707">
        <v>163.33000000000001</v>
      </c>
      <c r="CT102" s="1700">
        <v>165.85</v>
      </c>
      <c r="CU102" s="1700">
        <v>168.37</v>
      </c>
      <c r="CV102" s="1700">
        <v>170.89</v>
      </c>
      <c r="CW102" s="1700">
        <v>173.4</v>
      </c>
      <c r="CX102" s="1700">
        <v>175.92</v>
      </c>
      <c r="CY102" s="1700">
        <v>178.44</v>
      </c>
      <c r="CZ102" s="1700">
        <v>180.96</v>
      </c>
      <c r="DA102" s="1700">
        <v>183.48</v>
      </c>
      <c r="DB102" s="1700">
        <v>186</v>
      </c>
      <c r="DC102" s="1700">
        <v>188.52</v>
      </c>
      <c r="DD102" s="1700">
        <v>191.04</v>
      </c>
      <c r="DE102" s="1700">
        <v>193.55</v>
      </c>
      <c r="DF102" s="1700">
        <v>196.07</v>
      </c>
      <c r="DG102" s="1700">
        <v>198.59</v>
      </c>
      <c r="DH102" s="1700">
        <v>201.11</v>
      </c>
      <c r="DI102" s="1700">
        <v>203.63</v>
      </c>
      <c r="DJ102" s="1700">
        <v>206.15</v>
      </c>
      <c r="DK102" s="1700">
        <v>208.67</v>
      </c>
      <c r="DL102" s="1700">
        <v>211.18</v>
      </c>
      <c r="DM102" s="1700">
        <v>213.7</v>
      </c>
      <c r="DN102" s="1700">
        <v>216.22</v>
      </c>
      <c r="DO102" s="1700">
        <v>218.74</v>
      </c>
      <c r="DP102" s="1700">
        <v>221.26</v>
      </c>
      <c r="DQ102" s="1700">
        <v>223.78</v>
      </c>
      <c r="DR102" s="1700">
        <v>226.3</v>
      </c>
      <c r="DS102" s="1700"/>
      <c r="DT102" s="1700"/>
      <c r="DU102" s="1700"/>
      <c r="DV102" s="1700"/>
      <c r="DW102" s="1700"/>
      <c r="DX102" s="1700"/>
    </row>
    <row r="103" spans="1:128">
      <c r="A103" s="1622"/>
      <c r="B103" s="1691">
        <f t="shared" si="9"/>
        <v>99</v>
      </c>
      <c r="C103" s="1668" t="str">
        <f t="shared" si="6"/>
        <v>266.29</v>
      </c>
      <c r="D103" s="1672">
        <f t="shared" si="7"/>
        <v>372.81</v>
      </c>
      <c r="E103" s="1670"/>
      <c r="F103" s="1671" t="str">
        <f t="shared" si="8"/>
        <v>167.3</v>
      </c>
      <c r="G103" s="1672">
        <f t="shared" si="5"/>
        <v>234.22</v>
      </c>
      <c r="H103" s="1670"/>
      <c r="I103" s="1670"/>
      <c r="J103" s="1708">
        <v>99</v>
      </c>
      <c r="K103" s="1693">
        <v>194.22</v>
      </c>
      <c r="L103" s="1693">
        <v>197.82</v>
      </c>
      <c r="M103" s="1693">
        <v>201.43</v>
      </c>
      <c r="N103" s="1693">
        <v>205.03</v>
      </c>
      <c r="O103" s="1693">
        <v>208.63</v>
      </c>
      <c r="P103" s="1694">
        <v>212.24</v>
      </c>
      <c r="Q103" s="1694">
        <v>215.84</v>
      </c>
      <c r="R103" s="1694">
        <v>219.44</v>
      </c>
      <c r="S103" s="1695">
        <v>223.05</v>
      </c>
      <c r="T103" s="1696">
        <v>226.65</v>
      </c>
      <c r="U103" s="1696">
        <v>230.25</v>
      </c>
      <c r="V103" s="1695">
        <v>233.86</v>
      </c>
      <c r="W103" s="1695">
        <v>237.46</v>
      </c>
      <c r="X103" s="1695">
        <v>241.06</v>
      </c>
      <c r="Y103" s="1697">
        <v>244.67</v>
      </c>
      <c r="Z103" s="1698">
        <v>248.27</v>
      </c>
      <c r="AA103" s="1699">
        <v>251.88</v>
      </c>
      <c r="AB103" s="1699">
        <v>255.48</v>
      </c>
      <c r="AC103" s="1699">
        <v>259.08</v>
      </c>
      <c r="AD103" s="1699">
        <v>262.69</v>
      </c>
      <c r="AE103" s="1699">
        <v>266.29000000000002</v>
      </c>
      <c r="AF103" s="1700">
        <v>219.5</v>
      </c>
      <c r="AG103" s="1700">
        <v>223.1</v>
      </c>
      <c r="AH103" s="1700">
        <v>226.7</v>
      </c>
      <c r="AI103" s="1700">
        <v>230.31</v>
      </c>
      <c r="AJ103" s="1701">
        <v>233.91</v>
      </c>
      <c r="AK103" s="1701">
        <v>237.52</v>
      </c>
      <c r="AL103" s="1701">
        <v>241.12</v>
      </c>
      <c r="AM103" s="1701">
        <v>244.72</v>
      </c>
      <c r="AN103" s="1701">
        <v>248.33</v>
      </c>
      <c r="AO103" s="1702">
        <v>251.93</v>
      </c>
      <c r="AP103" s="1700">
        <v>255.53</v>
      </c>
      <c r="AQ103" s="1700">
        <v>259.14</v>
      </c>
      <c r="AR103" s="1683">
        <v>262.74</v>
      </c>
      <c r="AS103" s="1700">
        <v>266.33999999999997</v>
      </c>
      <c r="AT103" s="1700">
        <v>269.95</v>
      </c>
      <c r="AU103" s="1700">
        <v>273.55</v>
      </c>
      <c r="AV103" s="1700">
        <v>277.14999999999998</v>
      </c>
      <c r="AW103" s="1700">
        <v>280.76</v>
      </c>
      <c r="AX103" s="1700">
        <v>284.36</v>
      </c>
      <c r="AY103" s="1700">
        <v>287.97000000000003</v>
      </c>
      <c r="AZ103" s="1700">
        <v>291.57</v>
      </c>
      <c r="BA103" s="1700">
        <v>295.17</v>
      </c>
      <c r="BB103" s="1683">
        <v>298.77999999999997</v>
      </c>
      <c r="BC103" s="1700">
        <v>302.38</v>
      </c>
      <c r="BD103" s="1700">
        <v>305.98</v>
      </c>
      <c r="BE103" s="1700">
        <v>309.58999999999997</v>
      </c>
      <c r="BF103" s="1700">
        <v>313.19</v>
      </c>
      <c r="BG103" s="1700">
        <v>316.79000000000002</v>
      </c>
      <c r="BH103" s="1700">
        <v>320.39999999999998</v>
      </c>
      <c r="BI103" s="1700">
        <v>324</v>
      </c>
      <c r="BJ103" s="1700">
        <v>327.61</v>
      </c>
      <c r="BK103" s="1700">
        <v>332.21</v>
      </c>
      <c r="BL103" s="1700">
        <v>334.81</v>
      </c>
      <c r="BM103" s="1700">
        <v>338.42</v>
      </c>
      <c r="BN103" s="1700"/>
      <c r="BO103" s="1703">
        <v>99</v>
      </c>
      <c r="BP103" s="1693">
        <v>116.41</v>
      </c>
      <c r="BQ103" s="1693">
        <v>118.96</v>
      </c>
      <c r="BR103" s="1693">
        <v>121.5</v>
      </c>
      <c r="BS103" s="1693">
        <v>124.05</v>
      </c>
      <c r="BT103" s="1693">
        <v>126.59</v>
      </c>
      <c r="BU103" s="1694">
        <v>129.13999999999999</v>
      </c>
      <c r="BV103" s="1694">
        <v>131.68</v>
      </c>
      <c r="BW103" s="1694">
        <v>134.22</v>
      </c>
      <c r="BX103" s="1695">
        <v>136.77000000000001</v>
      </c>
      <c r="BY103" s="1696">
        <v>139.31</v>
      </c>
      <c r="BZ103" s="1696">
        <v>141.86000000000001</v>
      </c>
      <c r="CA103" s="1695">
        <v>144.4</v>
      </c>
      <c r="CB103" s="1695">
        <v>146.94999999999999</v>
      </c>
      <c r="CC103" s="1704">
        <v>149.49</v>
      </c>
      <c r="CD103" s="1697">
        <v>152.03</v>
      </c>
      <c r="CE103" s="1698">
        <v>154.58000000000001</v>
      </c>
      <c r="CF103" s="1699">
        <v>157.12</v>
      </c>
      <c r="CG103" s="1699">
        <v>159.66999999999999</v>
      </c>
      <c r="CH103" s="1699">
        <v>162.21</v>
      </c>
      <c r="CI103" s="1699">
        <v>164.76</v>
      </c>
      <c r="CJ103" s="1699">
        <v>167.3</v>
      </c>
      <c r="CK103" s="1700">
        <v>144.62</v>
      </c>
      <c r="CL103" s="1700">
        <v>147.16999999999999</v>
      </c>
      <c r="CM103" s="1700">
        <v>149.71</v>
      </c>
      <c r="CN103" s="1700">
        <v>152.26</v>
      </c>
      <c r="CO103" s="1705">
        <v>154.80000000000001</v>
      </c>
      <c r="CP103" s="1706">
        <v>157.35</v>
      </c>
      <c r="CQ103" s="1701">
        <v>159.88999999999999</v>
      </c>
      <c r="CR103" s="1701">
        <v>162.43</v>
      </c>
      <c r="CS103" s="1707">
        <v>164.98</v>
      </c>
      <c r="CT103" s="1700">
        <v>167.52</v>
      </c>
      <c r="CU103" s="1700">
        <v>170.07</v>
      </c>
      <c r="CV103" s="1700">
        <v>172.61</v>
      </c>
      <c r="CW103" s="1700">
        <v>175.16</v>
      </c>
      <c r="CX103" s="1700">
        <v>177.7</v>
      </c>
      <c r="CY103" s="1700">
        <v>180.24</v>
      </c>
      <c r="CZ103" s="1700">
        <v>182.79</v>
      </c>
      <c r="DA103" s="1700">
        <v>185.33</v>
      </c>
      <c r="DB103" s="1700">
        <v>187.88</v>
      </c>
      <c r="DC103" s="1700">
        <v>190.42</v>
      </c>
      <c r="DD103" s="1700">
        <v>192.97</v>
      </c>
      <c r="DE103" s="1700">
        <v>195.51</v>
      </c>
      <c r="DF103" s="1700">
        <v>198.05</v>
      </c>
      <c r="DG103" s="1700">
        <v>200.6</v>
      </c>
      <c r="DH103" s="1700">
        <v>203.14</v>
      </c>
      <c r="DI103" s="1700">
        <v>205.69</v>
      </c>
      <c r="DJ103" s="1700">
        <v>208.23</v>
      </c>
      <c r="DK103" s="1700">
        <v>210.78</v>
      </c>
      <c r="DL103" s="1700">
        <v>213.32</v>
      </c>
      <c r="DM103" s="1700">
        <v>215.86</v>
      </c>
      <c r="DN103" s="1700">
        <v>218.41</v>
      </c>
      <c r="DO103" s="1700">
        <v>220.95</v>
      </c>
      <c r="DP103" s="1700">
        <v>223.5</v>
      </c>
      <c r="DQ103" s="1700">
        <v>226.04</v>
      </c>
      <c r="DR103" s="1700">
        <v>228.59</v>
      </c>
      <c r="DS103" s="1700"/>
      <c r="DT103" s="1700"/>
      <c r="DU103" s="1700"/>
      <c r="DV103" s="1700"/>
      <c r="DW103" s="1700"/>
      <c r="DX103" s="1700"/>
    </row>
    <row r="104" spans="1:128">
      <c r="A104" s="1622"/>
      <c r="B104" s="1691">
        <f t="shared" si="9"/>
        <v>100</v>
      </c>
      <c r="C104" s="1668" t="str">
        <f t="shared" si="6"/>
        <v>268.86</v>
      </c>
      <c r="D104" s="1672">
        <f t="shared" si="7"/>
        <v>376.4</v>
      </c>
      <c r="E104" s="1670"/>
      <c r="F104" s="1671" t="str">
        <f t="shared" si="8"/>
        <v>169.01</v>
      </c>
      <c r="G104" s="1672">
        <f t="shared" si="5"/>
        <v>236.61</v>
      </c>
      <c r="H104" s="1670"/>
      <c r="I104" s="1670"/>
      <c r="J104" s="1708">
        <v>100</v>
      </c>
      <c r="K104" s="1693">
        <v>196.06</v>
      </c>
      <c r="L104" s="1693">
        <v>199.7</v>
      </c>
      <c r="M104" s="1693">
        <v>203.34</v>
      </c>
      <c r="N104" s="1693">
        <v>206.98</v>
      </c>
      <c r="O104" s="1693">
        <v>210.62</v>
      </c>
      <c r="P104" s="1694">
        <v>214.26</v>
      </c>
      <c r="Q104" s="1694">
        <v>217.9</v>
      </c>
      <c r="R104" s="1694">
        <v>221.54</v>
      </c>
      <c r="S104" s="1695">
        <v>225.18</v>
      </c>
      <c r="T104" s="1696">
        <v>228.82</v>
      </c>
      <c r="U104" s="1696">
        <v>232.46</v>
      </c>
      <c r="V104" s="1695">
        <v>236.1</v>
      </c>
      <c r="W104" s="1695">
        <v>239.74</v>
      </c>
      <c r="X104" s="1695">
        <v>243.38</v>
      </c>
      <c r="Y104" s="1697">
        <v>247.02</v>
      </c>
      <c r="Z104" s="1698">
        <v>250.66</v>
      </c>
      <c r="AA104" s="1699">
        <v>254.3</v>
      </c>
      <c r="AB104" s="1699">
        <v>257.94</v>
      </c>
      <c r="AC104" s="1699">
        <v>261.58</v>
      </c>
      <c r="AD104" s="1699">
        <v>265.22000000000003</v>
      </c>
      <c r="AE104" s="1699">
        <v>268.86</v>
      </c>
      <c r="AF104" s="1683">
        <v>221.65</v>
      </c>
      <c r="AG104" s="1683">
        <v>225.29</v>
      </c>
      <c r="AH104" s="1683">
        <v>228.93</v>
      </c>
      <c r="AI104" s="1683">
        <v>232.57</v>
      </c>
      <c r="AJ104" s="1701">
        <v>236.21</v>
      </c>
      <c r="AK104" s="1701">
        <v>239.85</v>
      </c>
      <c r="AL104" s="1701">
        <v>243.49</v>
      </c>
      <c r="AM104" s="1701">
        <v>247.13</v>
      </c>
      <c r="AN104" s="1701">
        <v>250.77</v>
      </c>
      <c r="AO104" s="1702">
        <v>254.41</v>
      </c>
      <c r="AP104" s="1700">
        <v>258.05</v>
      </c>
      <c r="AQ104" s="1700">
        <v>261.69</v>
      </c>
      <c r="AR104" s="1700">
        <v>265.33</v>
      </c>
      <c r="AS104" s="1700">
        <v>268.97000000000003</v>
      </c>
      <c r="AT104" s="1683">
        <v>272.61</v>
      </c>
      <c r="AU104" s="1700">
        <v>276.25</v>
      </c>
      <c r="AV104" s="1683">
        <v>279.89</v>
      </c>
      <c r="AW104" s="1683">
        <v>283.52999999999997</v>
      </c>
      <c r="AX104" s="1683">
        <v>287.17</v>
      </c>
      <c r="AY104" s="1683">
        <v>290.81</v>
      </c>
      <c r="AZ104" s="1683">
        <v>294.45</v>
      </c>
      <c r="BA104" s="1683">
        <v>298.08999999999997</v>
      </c>
      <c r="BB104" s="1700">
        <v>301.73</v>
      </c>
      <c r="BC104" s="1683">
        <v>305.37</v>
      </c>
      <c r="BD104" s="1683">
        <v>309.01</v>
      </c>
      <c r="BE104" s="1683">
        <v>312.64999999999998</v>
      </c>
      <c r="BF104" s="1683">
        <v>316.29000000000002</v>
      </c>
      <c r="BG104" s="1683">
        <v>319.93</v>
      </c>
      <c r="BH104" s="1683">
        <v>323.57</v>
      </c>
      <c r="BI104" s="1683">
        <v>327.20999999999998</v>
      </c>
      <c r="BJ104" s="1683">
        <v>330.85</v>
      </c>
      <c r="BK104" s="1683">
        <v>334.49</v>
      </c>
      <c r="BL104" s="1683">
        <v>338.13</v>
      </c>
      <c r="BM104" s="1683">
        <v>341.77</v>
      </c>
      <c r="BN104" s="1683"/>
      <c r="BO104" s="1703">
        <v>100</v>
      </c>
      <c r="BP104" s="1693">
        <v>117.61</v>
      </c>
      <c r="BQ104" s="1693">
        <v>120.18</v>
      </c>
      <c r="BR104" s="1693">
        <v>122.75</v>
      </c>
      <c r="BS104" s="1693">
        <v>125.32</v>
      </c>
      <c r="BT104" s="1693">
        <v>127.89</v>
      </c>
      <c r="BU104" s="1694">
        <v>130.46</v>
      </c>
      <c r="BV104" s="1694">
        <v>133.03</v>
      </c>
      <c r="BW104" s="1694">
        <v>135.6</v>
      </c>
      <c r="BX104" s="1695">
        <v>138.16999999999999</v>
      </c>
      <c r="BY104" s="1696">
        <v>140.74</v>
      </c>
      <c r="BZ104" s="1696">
        <v>143.31</v>
      </c>
      <c r="CA104" s="1695">
        <v>145.88</v>
      </c>
      <c r="CB104" s="1695">
        <v>148.44999999999999</v>
      </c>
      <c r="CC104" s="1704">
        <v>151.02000000000001</v>
      </c>
      <c r="CD104" s="1697">
        <v>153.59</v>
      </c>
      <c r="CE104" s="1698">
        <v>156.16</v>
      </c>
      <c r="CF104" s="1699">
        <v>158.72999999999999</v>
      </c>
      <c r="CG104" s="1699">
        <v>161.30000000000001</v>
      </c>
      <c r="CH104" s="1699">
        <v>163.87</v>
      </c>
      <c r="CI104" s="1699">
        <v>166.44</v>
      </c>
      <c r="CJ104" s="1699">
        <v>169.01</v>
      </c>
      <c r="CK104" s="1700">
        <v>146.1</v>
      </c>
      <c r="CL104" s="1700">
        <v>148.66999999999999</v>
      </c>
      <c r="CM104" s="1700">
        <v>151.24</v>
      </c>
      <c r="CN104" s="1700">
        <v>153.81</v>
      </c>
      <c r="CO104" s="1705">
        <v>156.38</v>
      </c>
      <c r="CP104" s="1706">
        <v>158.94999999999999</v>
      </c>
      <c r="CQ104" s="1701">
        <v>161.52000000000001</v>
      </c>
      <c r="CR104" s="1701">
        <v>164.09</v>
      </c>
      <c r="CS104" s="1707">
        <v>166.66</v>
      </c>
      <c r="CT104" s="1700">
        <v>169.23</v>
      </c>
      <c r="CU104" s="1700">
        <v>171.8</v>
      </c>
      <c r="CV104" s="1700">
        <v>174.37</v>
      </c>
      <c r="CW104" s="1700">
        <v>175.94</v>
      </c>
      <c r="CX104" s="1700">
        <v>179.51</v>
      </c>
      <c r="CY104" s="1700">
        <v>182.08</v>
      </c>
      <c r="CZ104" s="1700">
        <v>184.65</v>
      </c>
      <c r="DA104" s="1700">
        <v>187.22</v>
      </c>
      <c r="DB104" s="1700">
        <v>189.79</v>
      </c>
      <c r="DC104" s="1700">
        <v>192.36</v>
      </c>
      <c r="DD104" s="1700">
        <v>194.93</v>
      </c>
      <c r="DE104" s="1700">
        <v>197.5</v>
      </c>
      <c r="DF104" s="1700">
        <v>200.07</v>
      </c>
      <c r="DG104" s="1700">
        <v>202.64</v>
      </c>
      <c r="DH104" s="1700">
        <v>205.21</v>
      </c>
      <c r="DI104" s="1700">
        <v>207.78</v>
      </c>
      <c r="DJ104" s="1700">
        <v>210.35</v>
      </c>
      <c r="DK104" s="1700">
        <v>212.92</v>
      </c>
      <c r="DL104" s="1700">
        <v>215.49</v>
      </c>
      <c r="DM104" s="1700">
        <v>218.06</v>
      </c>
      <c r="DN104" s="1700">
        <v>220.63</v>
      </c>
      <c r="DO104" s="1700">
        <v>223.2</v>
      </c>
      <c r="DP104" s="1700">
        <v>225.77</v>
      </c>
      <c r="DQ104" s="1700">
        <v>228.34</v>
      </c>
      <c r="DR104" s="1700">
        <v>230.91</v>
      </c>
      <c r="DS104" s="1700"/>
      <c r="DT104" s="1700"/>
      <c r="DU104" s="1700"/>
      <c r="DV104" s="1700"/>
      <c r="DW104" s="1700"/>
      <c r="DX104" s="1700"/>
    </row>
    <row r="105" spans="1:128">
      <c r="A105" s="1622"/>
      <c r="B105" s="1691">
        <f t="shared" si="9"/>
        <v>101</v>
      </c>
      <c r="C105" s="1668" t="str">
        <f t="shared" si="6"/>
        <v>271.61</v>
      </c>
      <c r="D105" s="1672">
        <f t="shared" si="7"/>
        <v>380.25</v>
      </c>
      <c r="E105" s="1670"/>
      <c r="F105" s="1671" t="str">
        <f t="shared" si="8"/>
        <v>170.67</v>
      </c>
      <c r="G105" s="1672">
        <f t="shared" si="5"/>
        <v>238.94</v>
      </c>
      <c r="H105" s="1670"/>
      <c r="I105" s="1670"/>
      <c r="J105" s="1708">
        <v>101</v>
      </c>
      <c r="K105" s="1693">
        <v>198.08</v>
      </c>
      <c r="L105" s="1693">
        <v>201.76</v>
      </c>
      <c r="M105" s="1693">
        <v>205.44</v>
      </c>
      <c r="N105" s="1693">
        <v>209.11</v>
      </c>
      <c r="O105" s="1693">
        <v>212.79</v>
      </c>
      <c r="P105" s="1694">
        <v>216.47</v>
      </c>
      <c r="Q105" s="1694">
        <v>220.14</v>
      </c>
      <c r="R105" s="1694">
        <v>223.82</v>
      </c>
      <c r="S105" s="1695">
        <v>227.5</v>
      </c>
      <c r="T105" s="1696">
        <v>231.17</v>
      </c>
      <c r="U105" s="1696">
        <v>234.85</v>
      </c>
      <c r="V105" s="1695">
        <v>238.53</v>
      </c>
      <c r="W105" s="1695">
        <v>242.2</v>
      </c>
      <c r="X105" s="1695">
        <v>245.88</v>
      </c>
      <c r="Y105" s="1697">
        <v>249.55</v>
      </c>
      <c r="Z105" s="1698">
        <v>253.23</v>
      </c>
      <c r="AA105" s="1699">
        <v>256.91000000000003</v>
      </c>
      <c r="AB105" s="1699">
        <v>260.58</v>
      </c>
      <c r="AC105" s="1699">
        <v>264.26</v>
      </c>
      <c r="AD105" s="1699">
        <v>267.94</v>
      </c>
      <c r="AE105" s="1699">
        <v>271.61</v>
      </c>
      <c r="AF105" s="1700">
        <v>223.9</v>
      </c>
      <c r="AG105" s="1700">
        <v>227.57</v>
      </c>
      <c r="AH105" s="1700">
        <v>231.25</v>
      </c>
      <c r="AI105" s="1700">
        <v>234.93</v>
      </c>
      <c r="AJ105" s="1701">
        <v>238.6</v>
      </c>
      <c r="AK105" s="1701">
        <v>242.28</v>
      </c>
      <c r="AL105" s="1701">
        <v>245.96</v>
      </c>
      <c r="AM105" s="1701">
        <v>249.63</v>
      </c>
      <c r="AN105" s="1701">
        <v>253.31</v>
      </c>
      <c r="AO105" s="1702">
        <v>256.99</v>
      </c>
      <c r="AP105" s="1700">
        <v>260.66000000000003</v>
      </c>
      <c r="AQ105" s="1700">
        <v>264.33999999999997</v>
      </c>
      <c r="AR105" s="1683">
        <v>268.02</v>
      </c>
      <c r="AS105" s="1700">
        <v>271.69</v>
      </c>
      <c r="AT105" s="1700">
        <v>275.37</v>
      </c>
      <c r="AU105" s="1700">
        <v>279.04000000000002</v>
      </c>
      <c r="AV105" s="1700">
        <v>282.72000000000003</v>
      </c>
      <c r="AW105" s="1700">
        <v>286.39999999999998</v>
      </c>
      <c r="AX105" s="1700">
        <v>290.07</v>
      </c>
      <c r="AY105" s="1700">
        <v>293.75</v>
      </c>
      <c r="AZ105" s="1700">
        <v>297.43</v>
      </c>
      <c r="BA105" s="1700">
        <v>301.10000000000002</v>
      </c>
      <c r="BB105" s="1700">
        <v>304.77999999999997</v>
      </c>
      <c r="BC105" s="1700">
        <v>308.45999999999998</v>
      </c>
      <c r="BD105" s="1700">
        <v>312.13</v>
      </c>
      <c r="BE105" s="1700">
        <v>315.81</v>
      </c>
      <c r="BF105" s="1700">
        <v>319.48</v>
      </c>
      <c r="BG105" s="1700">
        <v>323.16000000000003</v>
      </c>
      <c r="BH105" s="1700">
        <v>326.83999999999997</v>
      </c>
      <c r="BI105" s="1700">
        <v>330.51</v>
      </c>
      <c r="BJ105" s="1700">
        <v>334.19</v>
      </c>
      <c r="BK105" s="1700">
        <v>337.87</v>
      </c>
      <c r="BL105" s="1700">
        <v>341.54</v>
      </c>
      <c r="BM105" s="1700">
        <v>345.22</v>
      </c>
      <c r="BN105" s="1700"/>
      <c r="BO105" s="1703">
        <v>101</v>
      </c>
      <c r="BP105" s="1693">
        <v>118.76</v>
      </c>
      <c r="BQ105" s="1693">
        <v>121.35</v>
      </c>
      <c r="BR105" s="1693">
        <v>123.95</v>
      </c>
      <c r="BS105" s="1693">
        <v>126.54</v>
      </c>
      <c r="BT105" s="1693">
        <v>129.13999999999999</v>
      </c>
      <c r="BU105" s="1694">
        <v>131.74</v>
      </c>
      <c r="BV105" s="1694">
        <v>134.33000000000001</v>
      </c>
      <c r="BW105" s="1694">
        <v>136.93</v>
      </c>
      <c r="BX105" s="1695">
        <v>139.52000000000001</v>
      </c>
      <c r="BY105" s="1696">
        <v>142.12</v>
      </c>
      <c r="BZ105" s="1696">
        <v>144.71</v>
      </c>
      <c r="CA105" s="1695">
        <v>147.31</v>
      </c>
      <c r="CB105" s="1695">
        <v>149.91</v>
      </c>
      <c r="CC105" s="1704">
        <v>152.5</v>
      </c>
      <c r="CD105" s="1697">
        <v>155.1</v>
      </c>
      <c r="CE105" s="1698">
        <v>157.69</v>
      </c>
      <c r="CF105" s="1699">
        <v>160.29</v>
      </c>
      <c r="CG105" s="1699">
        <v>162.88</v>
      </c>
      <c r="CH105" s="1699">
        <v>165.48</v>
      </c>
      <c r="CI105" s="1699">
        <v>168.07</v>
      </c>
      <c r="CJ105" s="1699">
        <v>170.67</v>
      </c>
      <c r="CK105" s="1700">
        <v>147.54</v>
      </c>
      <c r="CL105" s="1700">
        <v>150.13</v>
      </c>
      <c r="CM105" s="1700">
        <v>152.72999999999999</v>
      </c>
      <c r="CN105" s="1700">
        <v>155.33000000000001</v>
      </c>
      <c r="CO105" s="1705">
        <v>157.91999999999999</v>
      </c>
      <c r="CP105" s="1706">
        <v>160.52000000000001</v>
      </c>
      <c r="CQ105" s="1701">
        <v>163.11000000000001</v>
      </c>
      <c r="CR105" s="1701">
        <v>165.71</v>
      </c>
      <c r="CS105" s="1707">
        <v>168.3</v>
      </c>
      <c r="CT105" s="1700">
        <v>170.9</v>
      </c>
      <c r="CU105" s="1700">
        <v>173.5</v>
      </c>
      <c r="CV105" s="1700">
        <v>176.09</v>
      </c>
      <c r="CW105" s="1700">
        <v>178.69</v>
      </c>
      <c r="CX105" s="1700">
        <v>181.28</v>
      </c>
      <c r="CY105" s="1700">
        <v>183.88</v>
      </c>
      <c r="CZ105" s="1700">
        <v>186.47</v>
      </c>
      <c r="DA105" s="1700">
        <v>189.07</v>
      </c>
      <c r="DB105" s="1700">
        <v>191.67</v>
      </c>
      <c r="DC105" s="1700">
        <v>194.26</v>
      </c>
      <c r="DD105" s="1700">
        <v>196.86</v>
      </c>
      <c r="DE105" s="1700">
        <v>199.45</v>
      </c>
      <c r="DF105" s="1700">
        <v>202.05</v>
      </c>
      <c r="DG105" s="1700">
        <v>204.64</v>
      </c>
      <c r="DH105" s="1700">
        <v>207.24</v>
      </c>
      <c r="DI105" s="1700">
        <v>209.84</v>
      </c>
      <c r="DJ105" s="1700">
        <v>212.43</v>
      </c>
      <c r="DK105" s="1700">
        <v>215.03</v>
      </c>
      <c r="DL105" s="1700">
        <v>217.62</v>
      </c>
      <c r="DM105" s="1700">
        <v>220.22</v>
      </c>
      <c r="DN105" s="1700">
        <v>222.81</v>
      </c>
      <c r="DO105" s="1700">
        <v>225.41</v>
      </c>
      <c r="DP105" s="1700">
        <v>228.01</v>
      </c>
      <c r="DQ105" s="1700">
        <v>230.6</v>
      </c>
      <c r="DR105" s="1700">
        <v>233.2</v>
      </c>
      <c r="DS105" s="1700"/>
      <c r="DT105" s="1700"/>
      <c r="DU105" s="1700"/>
      <c r="DV105" s="1700"/>
      <c r="DW105" s="1700"/>
      <c r="DX105" s="1700"/>
    </row>
    <row r="106" spans="1:128">
      <c r="A106" s="1622"/>
      <c r="B106" s="1691">
        <f t="shared" si="9"/>
        <v>102</v>
      </c>
      <c r="C106" s="1668" t="str">
        <f t="shared" si="6"/>
        <v>274.2</v>
      </c>
      <c r="D106" s="1672">
        <f t="shared" si="7"/>
        <v>383.88</v>
      </c>
      <c r="E106" s="1670"/>
      <c r="F106" s="1671" t="str">
        <f t="shared" si="8"/>
        <v>172.38</v>
      </c>
      <c r="G106" s="1672">
        <f t="shared" si="5"/>
        <v>241.33</v>
      </c>
      <c r="H106" s="1670"/>
      <c r="I106" s="1670"/>
      <c r="J106" s="1708">
        <v>102</v>
      </c>
      <c r="K106" s="1693">
        <v>199.94</v>
      </c>
      <c r="L106" s="1693">
        <v>203.66</v>
      </c>
      <c r="M106" s="1693">
        <v>207.37</v>
      </c>
      <c r="N106" s="1693">
        <v>211.08</v>
      </c>
      <c r="O106" s="1693">
        <v>214.79</v>
      </c>
      <c r="P106" s="1694">
        <v>218.51</v>
      </c>
      <c r="Q106" s="1694">
        <v>222.22</v>
      </c>
      <c r="R106" s="1694">
        <v>225.93</v>
      </c>
      <c r="S106" s="1695">
        <v>229.64</v>
      </c>
      <c r="T106" s="1696">
        <v>233.36</v>
      </c>
      <c r="U106" s="1696">
        <v>237.07</v>
      </c>
      <c r="V106" s="1695">
        <v>240.78</v>
      </c>
      <c r="W106" s="1695">
        <v>244.5</v>
      </c>
      <c r="X106" s="1695">
        <v>248.21</v>
      </c>
      <c r="Y106" s="1697">
        <v>251.92</v>
      </c>
      <c r="Z106" s="1698">
        <v>255.63</v>
      </c>
      <c r="AA106" s="1699">
        <v>259.35000000000002</v>
      </c>
      <c r="AB106" s="1699">
        <v>263.06</v>
      </c>
      <c r="AC106" s="1699">
        <v>266.77</v>
      </c>
      <c r="AD106" s="1699">
        <v>270.49</v>
      </c>
      <c r="AE106" s="1699">
        <v>274.2</v>
      </c>
      <c r="AF106" s="1700">
        <v>226.05</v>
      </c>
      <c r="AG106" s="1700">
        <v>229.77</v>
      </c>
      <c r="AH106" s="1700">
        <v>233.48</v>
      </c>
      <c r="AI106" s="1700">
        <v>237.19</v>
      </c>
      <c r="AJ106" s="1701">
        <v>240.91</v>
      </c>
      <c r="AK106" s="1701">
        <v>244.62</v>
      </c>
      <c r="AL106" s="1701">
        <v>248.33</v>
      </c>
      <c r="AM106" s="1701">
        <v>252.04</v>
      </c>
      <c r="AN106" s="1701">
        <v>255.76</v>
      </c>
      <c r="AO106" s="1702">
        <v>259.47000000000003</v>
      </c>
      <c r="AP106" s="1700">
        <v>263.18</v>
      </c>
      <c r="AQ106" s="1700">
        <v>266.89999999999998</v>
      </c>
      <c r="AR106" s="1700">
        <v>270.61</v>
      </c>
      <c r="AS106" s="1700">
        <v>274.32</v>
      </c>
      <c r="AT106" s="1700">
        <v>278.02999999999997</v>
      </c>
      <c r="AU106" s="1700">
        <v>281.75</v>
      </c>
      <c r="AV106" s="1700">
        <v>285.45999999999998</v>
      </c>
      <c r="AW106" s="1700">
        <v>289.17</v>
      </c>
      <c r="AX106" s="1700">
        <v>292.88</v>
      </c>
      <c r="AY106" s="1700">
        <v>296.60000000000002</v>
      </c>
      <c r="AZ106" s="1700">
        <v>300.31</v>
      </c>
      <c r="BA106" s="1700">
        <v>304.02</v>
      </c>
      <c r="BB106" s="1683">
        <v>307.74</v>
      </c>
      <c r="BC106" s="1700">
        <v>311.45</v>
      </c>
      <c r="BD106" s="1700">
        <v>315.16000000000003</v>
      </c>
      <c r="BE106" s="1700">
        <v>318.87</v>
      </c>
      <c r="BF106" s="1700">
        <v>322.58999999999997</v>
      </c>
      <c r="BG106" s="1700">
        <v>326.3</v>
      </c>
      <c r="BH106" s="1700">
        <v>330.01</v>
      </c>
      <c r="BI106" s="1700">
        <v>333.73</v>
      </c>
      <c r="BJ106" s="1700">
        <v>337.44</v>
      </c>
      <c r="BK106" s="1700">
        <v>341.15</v>
      </c>
      <c r="BL106" s="1700">
        <v>344.86</v>
      </c>
      <c r="BM106" s="1700">
        <v>348.58</v>
      </c>
      <c r="BN106" s="1700"/>
      <c r="BO106" s="1703">
        <v>102</v>
      </c>
      <c r="BP106" s="1693">
        <v>119.95</v>
      </c>
      <c r="BQ106" s="1693">
        <v>122.58</v>
      </c>
      <c r="BR106" s="1693">
        <v>125.2</v>
      </c>
      <c r="BS106" s="1693">
        <v>127.82</v>
      </c>
      <c r="BT106" s="1693">
        <v>130.44</v>
      </c>
      <c r="BU106" s="1694">
        <v>133.06</v>
      </c>
      <c r="BV106" s="1694">
        <v>135.68</v>
      </c>
      <c r="BW106" s="1694">
        <v>138.30000000000001</v>
      </c>
      <c r="BX106" s="1695">
        <v>140.93</v>
      </c>
      <c r="BY106" s="1696">
        <v>143.55000000000001</v>
      </c>
      <c r="BZ106" s="1696">
        <v>146.16999999999999</v>
      </c>
      <c r="CA106" s="1695">
        <v>148.79</v>
      </c>
      <c r="CB106" s="1695">
        <v>151.41</v>
      </c>
      <c r="CC106" s="1704">
        <v>154.03</v>
      </c>
      <c r="CD106" s="1697">
        <v>156.65</v>
      </c>
      <c r="CE106" s="1698">
        <v>159.28</v>
      </c>
      <c r="CF106" s="1699">
        <v>161.9</v>
      </c>
      <c r="CG106" s="1699">
        <v>164.52</v>
      </c>
      <c r="CH106" s="1699">
        <v>167.14</v>
      </c>
      <c r="CI106" s="1699">
        <v>169.76</v>
      </c>
      <c r="CJ106" s="1699">
        <v>172.38</v>
      </c>
      <c r="CK106" s="1700">
        <v>149.01</v>
      </c>
      <c r="CL106" s="1700">
        <v>151.63999999999999</v>
      </c>
      <c r="CM106" s="1700">
        <v>154.26</v>
      </c>
      <c r="CN106" s="1700">
        <v>156.88</v>
      </c>
      <c r="CO106" s="1705">
        <v>159.5</v>
      </c>
      <c r="CP106" s="1706">
        <v>162.12</v>
      </c>
      <c r="CQ106" s="1701">
        <v>164.74</v>
      </c>
      <c r="CR106" s="1701">
        <v>167.36</v>
      </c>
      <c r="CS106" s="1707">
        <v>169.99</v>
      </c>
      <c r="CT106" s="1700">
        <v>172.61</v>
      </c>
      <c r="CU106" s="1700">
        <v>175.23</v>
      </c>
      <c r="CV106" s="1700">
        <v>177.85</v>
      </c>
      <c r="CW106" s="1700">
        <v>180.47</v>
      </c>
      <c r="CX106" s="1700">
        <v>183.09</v>
      </c>
      <c r="CY106" s="1700">
        <v>185.71</v>
      </c>
      <c r="CZ106" s="1700">
        <v>188.34</v>
      </c>
      <c r="DA106" s="1700">
        <v>190.96</v>
      </c>
      <c r="DB106" s="1700">
        <v>193.58</v>
      </c>
      <c r="DC106" s="1700">
        <v>196.2</v>
      </c>
      <c r="DD106" s="1700">
        <v>198.82</v>
      </c>
      <c r="DE106" s="1700">
        <v>201.44</v>
      </c>
      <c r="DF106" s="1700">
        <v>204.06</v>
      </c>
      <c r="DG106" s="1700">
        <v>206.68</v>
      </c>
      <c r="DH106" s="1700">
        <v>209.31</v>
      </c>
      <c r="DI106" s="1700">
        <v>211.93</v>
      </c>
      <c r="DJ106" s="1700">
        <v>214.55</v>
      </c>
      <c r="DK106" s="1700">
        <v>217.17</v>
      </c>
      <c r="DL106" s="1700">
        <v>219.79</v>
      </c>
      <c r="DM106" s="1700">
        <v>222.41</v>
      </c>
      <c r="DN106" s="1700">
        <v>225.03</v>
      </c>
      <c r="DO106" s="1700">
        <v>227.66</v>
      </c>
      <c r="DP106" s="1700">
        <v>230.28</v>
      </c>
      <c r="DQ106" s="1700">
        <v>232.9</v>
      </c>
      <c r="DR106" s="1700">
        <v>235.52</v>
      </c>
      <c r="DS106" s="1700"/>
      <c r="DT106" s="1700"/>
      <c r="DU106" s="1700"/>
      <c r="DV106" s="1700"/>
      <c r="DW106" s="1700"/>
      <c r="DX106" s="1700"/>
    </row>
    <row r="107" spans="1:128">
      <c r="A107" s="1622"/>
      <c r="B107" s="1691">
        <f t="shared" si="9"/>
        <v>103</v>
      </c>
      <c r="C107" s="1668" t="str">
        <f t="shared" si="6"/>
        <v>276.97</v>
      </c>
      <c r="D107" s="1672">
        <f t="shared" si="7"/>
        <v>387.76</v>
      </c>
      <c r="E107" s="1670"/>
      <c r="F107" s="1671" t="str">
        <f t="shared" si="8"/>
        <v>174.05</v>
      </c>
      <c r="G107" s="1672">
        <f t="shared" si="5"/>
        <v>243.67</v>
      </c>
      <c r="H107" s="1670"/>
      <c r="I107" s="1670"/>
      <c r="J107" s="1708">
        <v>103</v>
      </c>
      <c r="K107" s="1693">
        <v>201.98</v>
      </c>
      <c r="L107" s="1693">
        <v>205.73</v>
      </c>
      <c r="M107" s="1693">
        <v>209.48</v>
      </c>
      <c r="N107" s="1693">
        <v>213.23</v>
      </c>
      <c r="O107" s="1693">
        <v>216.98</v>
      </c>
      <c r="P107" s="1694">
        <v>220.73</v>
      </c>
      <c r="Q107" s="1694">
        <v>224.48</v>
      </c>
      <c r="R107" s="1694">
        <v>228.23</v>
      </c>
      <c r="S107" s="1695">
        <v>231.98</v>
      </c>
      <c r="T107" s="1696">
        <v>235.73</v>
      </c>
      <c r="U107" s="1696">
        <v>239.48</v>
      </c>
      <c r="V107" s="1695">
        <v>243.23</v>
      </c>
      <c r="W107" s="1695">
        <v>246.98</v>
      </c>
      <c r="X107" s="1695">
        <v>250.72</v>
      </c>
      <c r="Y107" s="1697">
        <v>254.47</v>
      </c>
      <c r="Z107" s="1698">
        <v>258.22000000000003</v>
      </c>
      <c r="AA107" s="1699">
        <v>261.97000000000003</v>
      </c>
      <c r="AB107" s="1699">
        <v>265.72000000000003</v>
      </c>
      <c r="AC107" s="1699">
        <v>269.47000000000003</v>
      </c>
      <c r="AD107" s="1699">
        <v>273.22000000000003</v>
      </c>
      <c r="AE107" s="1699">
        <v>276.97000000000003</v>
      </c>
      <c r="AF107" s="1683">
        <v>228.32</v>
      </c>
      <c r="AG107" s="1683">
        <v>232.07</v>
      </c>
      <c r="AH107" s="1683">
        <v>235.82</v>
      </c>
      <c r="AI107" s="1683">
        <v>239.57</v>
      </c>
      <c r="AJ107" s="1701">
        <v>243.32</v>
      </c>
      <c r="AK107" s="1701">
        <v>247.06</v>
      </c>
      <c r="AL107" s="1701">
        <v>250.81</v>
      </c>
      <c r="AM107" s="1701">
        <v>254.56</v>
      </c>
      <c r="AN107" s="1701">
        <v>258.31</v>
      </c>
      <c r="AO107" s="1702">
        <v>262.06</v>
      </c>
      <c r="AP107" s="1700">
        <v>265.81</v>
      </c>
      <c r="AQ107" s="1700">
        <v>269.56</v>
      </c>
      <c r="AR107" s="1683">
        <v>273.31</v>
      </c>
      <c r="AS107" s="1700">
        <v>277.06</v>
      </c>
      <c r="AT107" s="1683">
        <v>280.81</v>
      </c>
      <c r="AU107" s="1700">
        <v>284.56</v>
      </c>
      <c r="AV107" s="1683">
        <v>288.31</v>
      </c>
      <c r="AW107" s="1683">
        <v>292.06</v>
      </c>
      <c r="AX107" s="1683">
        <v>295.8</v>
      </c>
      <c r="AY107" s="1683">
        <v>299.55</v>
      </c>
      <c r="AZ107" s="1683">
        <v>303.3</v>
      </c>
      <c r="BA107" s="1683">
        <v>307.05</v>
      </c>
      <c r="BB107" s="1700">
        <v>310.8</v>
      </c>
      <c r="BC107" s="1683">
        <v>314.55</v>
      </c>
      <c r="BD107" s="1683">
        <v>318.3</v>
      </c>
      <c r="BE107" s="1683">
        <v>322.05</v>
      </c>
      <c r="BF107" s="1683">
        <v>325.8</v>
      </c>
      <c r="BG107" s="1683">
        <v>329.55</v>
      </c>
      <c r="BH107" s="1683">
        <v>333.3</v>
      </c>
      <c r="BI107" s="1683">
        <v>337.05</v>
      </c>
      <c r="BJ107" s="1683">
        <v>340.79</v>
      </c>
      <c r="BK107" s="1683">
        <v>344.54</v>
      </c>
      <c r="BL107" s="1683">
        <v>348.29</v>
      </c>
      <c r="BM107" s="1683">
        <v>352.04</v>
      </c>
      <c r="BN107" s="1683"/>
      <c r="BO107" s="1703">
        <v>103</v>
      </c>
      <c r="BP107" s="1693">
        <v>121.11</v>
      </c>
      <c r="BQ107" s="1693">
        <v>123.75</v>
      </c>
      <c r="BR107" s="1693">
        <v>126.4</v>
      </c>
      <c r="BS107" s="1693">
        <v>129.05000000000001</v>
      </c>
      <c r="BT107" s="1693">
        <v>131.69999999999999</v>
      </c>
      <c r="BU107" s="1694">
        <v>134.34</v>
      </c>
      <c r="BV107" s="1694">
        <v>136.99</v>
      </c>
      <c r="BW107" s="1694">
        <v>139.63999999999999</v>
      </c>
      <c r="BX107" s="1695">
        <v>142.28</v>
      </c>
      <c r="BY107" s="1696">
        <v>144.93</v>
      </c>
      <c r="BZ107" s="1696">
        <v>147.58000000000001</v>
      </c>
      <c r="CA107" s="1695">
        <v>150.22999999999999</v>
      </c>
      <c r="CB107" s="1695">
        <v>152.87</v>
      </c>
      <c r="CC107" s="1704">
        <v>155.52000000000001</v>
      </c>
      <c r="CD107" s="1697">
        <v>158.16999999999999</v>
      </c>
      <c r="CE107" s="1698">
        <v>160.81</v>
      </c>
      <c r="CF107" s="1699">
        <v>163.46</v>
      </c>
      <c r="CG107" s="1699">
        <v>166.11</v>
      </c>
      <c r="CH107" s="1699">
        <v>168.76</v>
      </c>
      <c r="CI107" s="1699">
        <v>171.4</v>
      </c>
      <c r="CJ107" s="1699">
        <v>174.05</v>
      </c>
      <c r="CK107" s="1700">
        <v>150.46</v>
      </c>
      <c r="CL107" s="1700">
        <v>153.11000000000001</v>
      </c>
      <c r="CM107" s="1700">
        <v>155.75</v>
      </c>
      <c r="CN107" s="1700">
        <v>158.4</v>
      </c>
      <c r="CO107" s="1705">
        <v>161.05000000000001</v>
      </c>
      <c r="CP107" s="1706">
        <v>163.69999999999999</v>
      </c>
      <c r="CQ107" s="1701">
        <v>166.34</v>
      </c>
      <c r="CR107" s="1701">
        <v>168.99</v>
      </c>
      <c r="CS107" s="1707">
        <v>171.64</v>
      </c>
      <c r="CT107" s="1700">
        <v>174.28</v>
      </c>
      <c r="CU107" s="1700">
        <v>176.93</v>
      </c>
      <c r="CV107" s="1700">
        <v>179.58</v>
      </c>
      <c r="CW107" s="1700">
        <v>182.23</v>
      </c>
      <c r="CX107" s="1700">
        <v>184.87</v>
      </c>
      <c r="CY107" s="1700">
        <v>187.52</v>
      </c>
      <c r="CZ107" s="1700">
        <v>190.17</v>
      </c>
      <c r="DA107" s="1700">
        <v>192.81</v>
      </c>
      <c r="DB107" s="1700">
        <v>195.46</v>
      </c>
      <c r="DC107" s="1700">
        <v>198.11</v>
      </c>
      <c r="DD107" s="1700">
        <v>200.76</v>
      </c>
      <c r="DE107" s="1700">
        <v>203.4</v>
      </c>
      <c r="DF107" s="1700">
        <v>206.05</v>
      </c>
      <c r="DG107" s="1700">
        <v>208.7</v>
      </c>
      <c r="DH107" s="1700">
        <v>211.34</v>
      </c>
      <c r="DI107" s="1700">
        <v>213.99</v>
      </c>
      <c r="DJ107" s="1700">
        <v>216.64</v>
      </c>
      <c r="DK107" s="1700">
        <v>219.29</v>
      </c>
      <c r="DL107" s="1700">
        <v>221.93</v>
      </c>
      <c r="DM107" s="1700">
        <v>224.58</v>
      </c>
      <c r="DN107" s="1700">
        <v>227.23</v>
      </c>
      <c r="DO107" s="1700">
        <v>229.87</v>
      </c>
      <c r="DP107" s="1700">
        <v>232.52</v>
      </c>
      <c r="DQ107" s="1700">
        <v>235.17</v>
      </c>
      <c r="DR107" s="1700">
        <v>237.81</v>
      </c>
      <c r="DS107" s="1700"/>
      <c r="DT107" s="1700"/>
      <c r="DU107" s="1700"/>
      <c r="DV107" s="1700"/>
      <c r="DW107" s="1700"/>
      <c r="DX107" s="1700"/>
    </row>
    <row r="108" spans="1:128">
      <c r="A108" s="1622"/>
      <c r="B108" s="1691">
        <f t="shared" si="9"/>
        <v>104</v>
      </c>
      <c r="C108" s="1668" t="str">
        <f t="shared" si="6"/>
        <v>279.57</v>
      </c>
      <c r="D108" s="1672">
        <f t="shared" si="7"/>
        <v>391.4</v>
      </c>
      <c r="E108" s="1670"/>
      <c r="F108" s="1671" t="str">
        <f t="shared" si="8"/>
        <v>175.72</v>
      </c>
      <c r="G108" s="1672">
        <f t="shared" si="5"/>
        <v>246.01</v>
      </c>
      <c r="H108" s="1670"/>
      <c r="I108" s="1670"/>
      <c r="J108" s="1708">
        <v>104</v>
      </c>
      <c r="K108" s="1693">
        <v>203.86</v>
      </c>
      <c r="L108" s="1693">
        <v>207.64</v>
      </c>
      <c r="M108" s="1693">
        <v>211.43</v>
      </c>
      <c r="N108" s="1693">
        <v>215.21</v>
      </c>
      <c r="O108" s="1693">
        <v>219</v>
      </c>
      <c r="P108" s="1694">
        <v>222.78</v>
      </c>
      <c r="Q108" s="1694">
        <v>226.57</v>
      </c>
      <c r="R108" s="1694">
        <v>230.35</v>
      </c>
      <c r="S108" s="1695">
        <v>234.14</v>
      </c>
      <c r="T108" s="1696">
        <v>237.93</v>
      </c>
      <c r="U108" s="1696">
        <v>241.71</v>
      </c>
      <c r="V108" s="1695">
        <v>245.5</v>
      </c>
      <c r="W108" s="1695">
        <v>249.28</v>
      </c>
      <c r="X108" s="1695">
        <v>253.07</v>
      </c>
      <c r="Y108" s="1697">
        <v>256.85000000000002</v>
      </c>
      <c r="Z108" s="1698">
        <v>260.64</v>
      </c>
      <c r="AA108" s="1699">
        <v>264.43</v>
      </c>
      <c r="AB108" s="1699">
        <v>268.20999999999998</v>
      </c>
      <c r="AC108" s="1699">
        <v>272</v>
      </c>
      <c r="AD108" s="1699">
        <v>275.77999999999997</v>
      </c>
      <c r="AE108" s="1699">
        <v>279.57</v>
      </c>
      <c r="AF108" s="1700">
        <v>230.48</v>
      </c>
      <c r="AG108" s="1700">
        <v>234.27</v>
      </c>
      <c r="AH108" s="1700">
        <v>238.05</v>
      </c>
      <c r="AI108" s="1700">
        <v>241.84</v>
      </c>
      <c r="AJ108" s="1701">
        <v>245.63</v>
      </c>
      <c r="AK108" s="1701">
        <v>249.41</v>
      </c>
      <c r="AL108" s="1701">
        <v>253.2</v>
      </c>
      <c r="AM108" s="1701">
        <v>256.98</v>
      </c>
      <c r="AN108" s="1701">
        <v>260.77</v>
      </c>
      <c r="AO108" s="1702">
        <v>264.55</v>
      </c>
      <c r="AP108" s="1700">
        <v>268.33999999999997</v>
      </c>
      <c r="AQ108" s="1700">
        <v>272.12</v>
      </c>
      <c r="AR108" s="1700">
        <v>275.91000000000003</v>
      </c>
      <c r="AS108" s="1700">
        <v>279.7</v>
      </c>
      <c r="AT108" s="1700">
        <v>283.48</v>
      </c>
      <c r="AU108" s="1700">
        <v>287.27</v>
      </c>
      <c r="AV108" s="1700">
        <v>291.05</v>
      </c>
      <c r="AW108" s="1700">
        <v>294.83999999999997</v>
      </c>
      <c r="AX108" s="1700">
        <v>298.62</v>
      </c>
      <c r="AY108" s="1700">
        <v>302.41000000000003</v>
      </c>
      <c r="AZ108" s="1700">
        <v>306.19</v>
      </c>
      <c r="BA108" s="1700">
        <v>309.98</v>
      </c>
      <c r="BB108" s="1700">
        <v>313.77</v>
      </c>
      <c r="BC108" s="1700">
        <v>317.55</v>
      </c>
      <c r="BD108" s="1700">
        <v>321.33999999999997</v>
      </c>
      <c r="BE108" s="1700">
        <v>325.12</v>
      </c>
      <c r="BF108" s="1700">
        <v>328.91</v>
      </c>
      <c r="BG108" s="1700">
        <v>332.69</v>
      </c>
      <c r="BH108" s="1700">
        <v>336.48</v>
      </c>
      <c r="BI108" s="1700">
        <v>340.27</v>
      </c>
      <c r="BJ108" s="1700">
        <v>344.05</v>
      </c>
      <c r="BK108" s="1700">
        <v>347.48</v>
      </c>
      <c r="BL108" s="1700">
        <v>351.62</v>
      </c>
      <c r="BM108" s="1700">
        <v>355.41</v>
      </c>
      <c r="BN108" s="1700"/>
      <c r="BO108" s="1703">
        <v>104</v>
      </c>
      <c r="BP108" s="1693">
        <v>122.26</v>
      </c>
      <c r="BQ108" s="1693">
        <v>124.93</v>
      </c>
      <c r="BR108" s="1693">
        <v>127.61</v>
      </c>
      <c r="BS108" s="1693">
        <v>130.28</v>
      </c>
      <c r="BT108" s="1693">
        <v>132.94999999999999</v>
      </c>
      <c r="BU108" s="1694">
        <v>135.63</v>
      </c>
      <c r="BV108" s="1694">
        <v>138.30000000000001</v>
      </c>
      <c r="BW108" s="1694">
        <v>140.97</v>
      </c>
      <c r="BX108" s="1695">
        <v>143.63999999999999</v>
      </c>
      <c r="BY108" s="1696">
        <v>146.32</v>
      </c>
      <c r="BZ108" s="1696">
        <v>148.99</v>
      </c>
      <c r="CA108" s="1695">
        <v>151.66</v>
      </c>
      <c r="CB108" s="1695">
        <v>154.34</v>
      </c>
      <c r="CC108" s="1704">
        <v>157.01</v>
      </c>
      <c r="CD108" s="1697">
        <v>159.68</v>
      </c>
      <c r="CE108" s="1698">
        <v>162.35</v>
      </c>
      <c r="CF108" s="1699">
        <v>165.03</v>
      </c>
      <c r="CG108" s="1699">
        <v>167.7</v>
      </c>
      <c r="CH108" s="1699">
        <v>170.37</v>
      </c>
      <c r="CI108" s="1699">
        <v>173.05</v>
      </c>
      <c r="CJ108" s="1699">
        <v>175.72</v>
      </c>
      <c r="CK108" s="1700">
        <v>151.91</v>
      </c>
      <c r="CL108" s="1700">
        <v>154.58000000000001</v>
      </c>
      <c r="CM108" s="1700">
        <v>157.25</v>
      </c>
      <c r="CN108" s="1700">
        <v>159.93</v>
      </c>
      <c r="CO108" s="1705">
        <v>162.6</v>
      </c>
      <c r="CP108" s="1706">
        <v>165.27</v>
      </c>
      <c r="CQ108" s="1701">
        <v>167.94</v>
      </c>
      <c r="CR108" s="1701">
        <v>170.62</v>
      </c>
      <c r="CS108" s="1707">
        <v>173.29</v>
      </c>
      <c r="CT108" s="1700">
        <v>175.96</v>
      </c>
      <c r="CU108" s="1700">
        <v>178.64</v>
      </c>
      <c r="CV108" s="1700">
        <v>181.11</v>
      </c>
      <c r="CW108" s="1700">
        <v>183.98</v>
      </c>
      <c r="CX108" s="1700">
        <v>186.65</v>
      </c>
      <c r="CY108" s="1700">
        <v>189.33</v>
      </c>
      <c r="CZ108" s="1700">
        <v>192</v>
      </c>
      <c r="DA108" s="1700">
        <v>194.67</v>
      </c>
      <c r="DB108" s="1700">
        <v>197.35</v>
      </c>
      <c r="DC108" s="1700">
        <v>200.02</v>
      </c>
      <c r="DD108" s="1700">
        <v>202.69</v>
      </c>
      <c r="DE108" s="1700">
        <v>205.36</v>
      </c>
      <c r="DF108" s="1700">
        <v>208.04</v>
      </c>
      <c r="DG108" s="1700">
        <v>210.71</v>
      </c>
      <c r="DH108" s="1700">
        <v>213.38</v>
      </c>
      <c r="DI108" s="1700">
        <v>216.06</v>
      </c>
      <c r="DJ108" s="1700">
        <v>218.73</v>
      </c>
      <c r="DK108" s="1700">
        <v>221.4</v>
      </c>
      <c r="DL108" s="1700">
        <v>224.07</v>
      </c>
      <c r="DM108" s="1700">
        <v>226.75</v>
      </c>
      <c r="DN108" s="1700">
        <v>229.42</v>
      </c>
      <c r="DO108" s="1700">
        <v>232.09</v>
      </c>
      <c r="DP108" s="1700">
        <v>234.76</v>
      </c>
      <c r="DQ108" s="1700">
        <v>237.44</v>
      </c>
      <c r="DR108" s="1700">
        <v>240.11</v>
      </c>
      <c r="DS108" s="1700"/>
      <c r="DT108" s="1700"/>
      <c r="DU108" s="1700"/>
      <c r="DV108" s="1700"/>
      <c r="DW108" s="1700"/>
      <c r="DX108" s="1700"/>
    </row>
    <row r="109" spans="1:128">
      <c r="A109" s="1622"/>
      <c r="B109" s="1691">
        <f t="shared" si="9"/>
        <v>105</v>
      </c>
      <c r="C109" s="1668" t="str">
        <f t="shared" si="6"/>
        <v>282.36</v>
      </c>
      <c r="D109" s="1672">
        <f t="shared" si="7"/>
        <v>395.3</v>
      </c>
      <c r="E109" s="1670"/>
      <c r="F109" s="1671" t="str">
        <f t="shared" si="8"/>
        <v>177.44</v>
      </c>
      <c r="G109" s="1672">
        <f t="shared" si="5"/>
        <v>248.42</v>
      </c>
      <c r="H109" s="1670"/>
      <c r="I109" s="1670"/>
      <c r="J109" s="1708">
        <v>105</v>
      </c>
      <c r="K109" s="1693">
        <v>205.92</v>
      </c>
      <c r="L109" s="1693">
        <v>209.74</v>
      </c>
      <c r="M109" s="1693">
        <v>213.56</v>
      </c>
      <c r="N109" s="1693">
        <v>217.39</v>
      </c>
      <c r="O109" s="1693">
        <v>221.21</v>
      </c>
      <c r="P109" s="1694">
        <v>225.03</v>
      </c>
      <c r="Q109" s="1694">
        <v>228.85</v>
      </c>
      <c r="R109" s="1694">
        <v>232.67</v>
      </c>
      <c r="S109" s="1695">
        <v>236.5</v>
      </c>
      <c r="T109" s="1696">
        <v>240.32</v>
      </c>
      <c r="U109" s="1696">
        <v>244.14</v>
      </c>
      <c r="V109" s="1695">
        <v>247.96</v>
      </c>
      <c r="W109" s="1695">
        <v>251.78</v>
      </c>
      <c r="X109" s="1695">
        <v>255.61</v>
      </c>
      <c r="Y109" s="1697">
        <v>259.43</v>
      </c>
      <c r="Z109" s="1698">
        <v>263.25</v>
      </c>
      <c r="AA109" s="1699">
        <v>267.07</v>
      </c>
      <c r="AB109" s="1699">
        <v>270.89</v>
      </c>
      <c r="AC109" s="1699">
        <v>274.72000000000003</v>
      </c>
      <c r="AD109" s="1699">
        <v>278.54000000000002</v>
      </c>
      <c r="AE109" s="1699">
        <v>282.36</v>
      </c>
      <c r="AF109" s="1700">
        <v>232.76</v>
      </c>
      <c r="AG109" s="1700">
        <v>236.58</v>
      </c>
      <c r="AH109" s="1700">
        <v>240.4</v>
      </c>
      <c r="AI109" s="1700">
        <v>244.23</v>
      </c>
      <c r="AJ109" s="1701">
        <v>248.05</v>
      </c>
      <c r="AK109" s="1701">
        <v>251.87</v>
      </c>
      <c r="AL109" s="1701">
        <v>255.69</v>
      </c>
      <c r="AM109" s="1701">
        <v>259.51</v>
      </c>
      <c r="AN109" s="1701">
        <v>263.33999999999997</v>
      </c>
      <c r="AO109" s="1702">
        <v>267.16000000000003</v>
      </c>
      <c r="AP109" s="1700">
        <v>270.98</v>
      </c>
      <c r="AQ109" s="1700">
        <v>274.8</v>
      </c>
      <c r="AR109" s="1683">
        <v>278.62</v>
      </c>
      <c r="AS109" s="1700">
        <v>282.45</v>
      </c>
      <c r="AT109" s="1700">
        <v>286.27</v>
      </c>
      <c r="AU109" s="1700">
        <v>290.08999999999997</v>
      </c>
      <c r="AV109" s="1700">
        <v>293.91000000000003</v>
      </c>
      <c r="AW109" s="1700">
        <v>297.73</v>
      </c>
      <c r="AX109" s="1700">
        <v>301.56</v>
      </c>
      <c r="AY109" s="1700">
        <v>305.38</v>
      </c>
      <c r="AZ109" s="1700">
        <v>309.2</v>
      </c>
      <c r="BA109" s="1700">
        <v>313.02</v>
      </c>
      <c r="BB109" s="1683">
        <v>316.83999999999997</v>
      </c>
      <c r="BC109" s="1700">
        <v>320.67</v>
      </c>
      <c r="BD109" s="1700">
        <v>324.49</v>
      </c>
      <c r="BE109" s="1700">
        <v>328.31</v>
      </c>
      <c r="BF109" s="1700">
        <v>322.13</v>
      </c>
      <c r="BG109" s="1700">
        <v>335.95</v>
      </c>
      <c r="BH109" s="1700">
        <v>339.78</v>
      </c>
      <c r="BI109" s="1700">
        <v>343.6</v>
      </c>
      <c r="BJ109" s="1700">
        <v>347.42</v>
      </c>
      <c r="BK109" s="1700">
        <v>351.21</v>
      </c>
      <c r="BL109" s="1700">
        <v>355.06</v>
      </c>
      <c r="BM109" s="1700">
        <v>358.89</v>
      </c>
      <c r="BN109" s="1700"/>
      <c r="BO109" s="1703">
        <v>105</v>
      </c>
      <c r="BP109" s="1693">
        <v>123.47</v>
      </c>
      <c r="BQ109" s="1693">
        <v>126.17</v>
      </c>
      <c r="BR109" s="1693">
        <v>128.87</v>
      </c>
      <c r="BS109" s="1693">
        <v>131.56</v>
      </c>
      <c r="BT109" s="1693">
        <v>134.26</v>
      </c>
      <c r="BU109" s="1694">
        <v>136.96</v>
      </c>
      <c r="BV109" s="1694">
        <v>139.66</v>
      </c>
      <c r="BW109" s="1694">
        <v>142.36000000000001</v>
      </c>
      <c r="BX109" s="1695">
        <v>145.06</v>
      </c>
      <c r="BY109" s="1696">
        <v>147.76</v>
      </c>
      <c r="BZ109" s="1696">
        <v>150.44999999999999</v>
      </c>
      <c r="CA109" s="1695">
        <v>153.15</v>
      </c>
      <c r="CB109" s="1695">
        <v>155.85</v>
      </c>
      <c r="CC109" s="1704">
        <v>158.55000000000001</v>
      </c>
      <c r="CD109" s="1697">
        <v>161.25</v>
      </c>
      <c r="CE109" s="1698">
        <v>163.95</v>
      </c>
      <c r="CF109" s="1699">
        <v>166.64</v>
      </c>
      <c r="CG109" s="1699">
        <v>169.34</v>
      </c>
      <c r="CH109" s="1699">
        <v>172.04</v>
      </c>
      <c r="CI109" s="1699">
        <v>174.74</v>
      </c>
      <c r="CJ109" s="1699">
        <v>177.44</v>
      </c>
      <c r="CK109" s="1700">
        <v>153.38999999999999</v>
      </c>
      <c r="CL109" s="1700">
        <v>156.09</v>
      </c>
      <c r="CM109" s="1700">
        <v>158.78</v>
      </c>
      <c r="CN109" s="1700">
        <v>161.47999999999999</v>
      </c>
      <c r="CO109" s="1705">
        <v>164.18</v>
      </c>
      <c r="CP109" s="1706">
        <v>166.88</v>
      </c>
      <c r="CQ109" s="1701">
        <v>169.58</v>
      </c>
      <c r="CR109" s="1701">
        <v>172.28</v>
      </c>
      <c r="CS109" s="1707">
        <v>174.98</v>
      </c>
      <c r="CT109" s="1700">
        <v>177.67</v>
      </c>
      <c r="CU109" s="1700">
        <v>180.37</v>
      </c>
      <c r="CV109" s="1700">
        <v>183.07</v>
      </c>
      <c r="CW109" s="1700">
        <v>185.77</v>
      </c>
      <c r="CX109" s="1700">
        <v>188.47</v>
      </c>
      <c r="CY109" s="1700">
        <v>191.17</v>
      </c>
      <c r="CZ109" s="1700">
        <v>193.87</v>
      </c>
      <c r="DA109" s="1700">
        <v>196.56</v>
      </c>
      <c r="DB109" s="1700">
        <v>199.26</v>
      </c>
      <c r="DC109" s="1700">
        <v>201.96</v>
      </c>
      <c r="DD109" s="1700">
        <v>204.66</v>
      </c>
      <c r="DE109" s="1700">
        <v>207.36</v>
      </c>
      <c r="DF109" s="1700">
        <v>210.06</v>
      </c>
      <c r="DG109" s="1700">
        <v>212.75</v>
      </c>
      <c r="DH109" s="1700">
        <v>215.45</v>
      </c>
      <c r="DI109" s="1700">
        <v>218.15</v>
      </c>
      <c r="DJ109" s="1700">
        <v>220.85</v>
      </c>
      <c r="DK109" s="1700">
        <v>223.55</v>
      </c>
      <c r="DL109" s="1700">
        <v>226.25</v>
      </c>
      <c r="DM109" s="1700">
        <v>228.95</v>
      </c>
      <c r="DN109" s="1700">
        <v>231.64</v>
      </c>
      <c r="DO109" s="1700">
        <v>234.34</v>
      </c>
      <c r="DP109" s="1700">
        <v>237.04</v>
      </c>
      <c r="DQ109" s="1700">
        <v>239.74</v>
      </c>
      <c r="DR109" s="1700">
        <v>242.44</v>
      </c>
      <c r="DS109" s="1700"/>
      <c r="DT109" s="1700"/>
      <c r="DU109" s="1700"/>
      <c r="DV109" s="1700"/>
      <c r="DW109" s="1700"/>
      <c r="DX109" s="1700"/>
    </row>
    <row r="110" spans="1:128">
      <c r="A110" s="1622"/>
      <c r="B110" s="1691">
        <f t="shared" si="9"/>
        <v>106</v>
      </c>
      <c r="C110" s="1668" t="str">
        <f t="shared" si="6"/>
        <v>284.97</v>
      </c>
      <c r="D110" s="1672">
        <f t="shared" si="7"/>
        <v>398.96</v>
      </c>
      <c r="E110" s="1670"/>
      <c r="F110" s="1671" t="str">
        <f t="shared" si="8"/>
        <v>179.11</v>
      </c>
      <c r="G110" s="1672">
        <f t="shared" si="5"/>
        <v>250.75</v>
      </c>
      <c r="H110" s="1670"/>
      <c r="I110" s="1670"/>
      <c r="J110" s="1708">
        <v>106</v>
      </c>
      <c r="K110" s="1693">
        <v>207.8</v>
      </c>
      <c r="L110" s="1693">
        <v>211.66</v>
      </c>
      <c r="M110" s="1693">
        <v>215.52</v>
      </c>
      <c r="N110" s="1693">
        <v>219.38</v>
      </c>
      <c r="O110" s="1693">
        <v>223.24</v>
      </c>
      <c r="P110" s="1694">
        <v>227.1</v>
      </c>
      <c r="Q110" s="1694">
        <v>230.96</v>
      </c>
      <c r="R110" s="1694">
        <v>234.81</v>
      </c>
      <c r="S110" s="1695">
        <v>238.67</v>
      </c>
      <c r="T110" s="1696">
        <v>242.53</v>
      </c>
      <c r="U110" s="1696">
        <v>246.39</v>
      </c>
      <c r="V110" s="1695">
        <v>250.25</v>
      </c>
      <c r="W110" s="1695">
        <v>254.11</v>
      </c>
      <c r="X110" s="1695">
        <v>257.95999999999998</v>
      </c>
      <c r="Y110" s="1697">
        <v>261.82</v>
      </c>
      <c r="Z110" s="1698">
        <v>265.68</v>
      </c>
      <c r="AA110" s="1699">
        <v>269.54000000000002</v>
      </c>
      <c r="AB110" s="1699">
        <v>273.39999999999998</v>
      </c>
      <c r="AC110" s="1699">
        <v>277.26</v>
      </c>
      <c r="AD110" s="1699">
        <v>281.11</v>
      </c>
      <c r="AE110" s="1699">
        <v>284.97000000000003</v>
      </c>
      <c r="AF110" s="1683">
        <v>234.93</v>
      </c>
      <c r="AG110" s="1683">
        <v>238.79</v>
      </c>
      <c r="AH110" s="1683">
        <v>242.65</v>
      </c>
      <c r="AI110" s="1683">
        <v>246.51</v>
      </c>
      <c r="AJ110" s="1701">
        <v>250.37</v>
      </c>
      <c r="AK110" s="1701">
        <v>254.22</v>
      </c>
      <c r="AL110" s="1701">
        <v>258.08</v>
      </c>
      <c r="AM110" s="1701">
        <v>261.94</v>
      </c>
      <c r="AN110" s="1701">
        <v>265.8</v>
      </c>
      <c r="AO110" s="1702">
        <v>269.66000000000003</v>
      </c>
      <c r="AP110" s="1700">
        <v>273.52</v>
      </c>
      <c r="AQ110" s="1700">
        <v>277.37</v>
      </c>
      <c r="AR110" s="1700">
        <v>281.23</v>
      </c>
      <c r="AS110" s="1700">
        <v>285.08999999999997</v>
      </c>
      <c r="AT110" s="1683">
        <v>288.95</v>
      </c>
      <c r="AU110" s="1700">
        <v>292.81</v>
      </c>
      <c r="AV110" s="1683">
        <v>296.67</v>
      </c>
      <c r="AW110" s="1683">
        <v>300.52</v>
      </c>
      <c r="AX110" s="1683">
        <v>304.38</v>
      </c>
      <c r="AY110" s="1683">
        <v>308.24</v>
      </c>
      <c r="AZ110" s="1683">
        <v>312.10000000000002</v>
      </c>
      <c r="BA110" s="1683">
        <v>315.95999999999998</v>
      </c>
      <c r="BB110" s="1700">
        <v>319.82</v>
      </c>
      <c r="BC110" s="1683">
        <v>323.68</v>
      </c>
      <c r="BD110" s="1683">
        <v>327.52999999999997</v>
      </c>
      <c r="BE110" s="1683">
        <v>331.39</v>
      </c>
      <c r="BF110" s="1683">
        <v>335.25</v>
      </c>
      <c r="BG110" s="1683">
        <v>339.11</v>
      </c>
      <c r="BH110" s="1683">
        <v>342.97</v>
      </c>
      <c r="BI110" s="1683">
        <v>346.83</v>
      </c>
      <c r="BJ110" s="1683">
        <v>350.68</v>
      </c>
      <c r="BK110" s="1683">
        <v>354.54</v>
      </c>
      <c r="BL110" s="1683">
        <v>358.4</v>
      </c>
      <c r="BM110" s="1683">
        <v>362.26</v>
      </c>
      <c r="BN110" s="1683"/>
      <c r="BO110" s="1703">
        <v>106</v>
      </c>
      <c r="BP110" s="1693">
        <v>124.63</v>
      </c>
      <c r="BQ110" s="1693">
        <v>127.35</v>
      </c>
      <c r="BR110" s="1693">
        <v>130.08000000000001</v>
      </c>
      <c r="BS110" s="1693">
        <v>132.80000000000001</v>
      </c>
      <c r="BT110" s="1693">
        <v>135.52000000000001</v>
      </c>
      <c r="BU110" s="1694">
        <v>138.25</v>
      </c>
      <c r="BV110" s="1694">
        <v>140.97</v>
      </c>
      <c r="BW110" s="1694">
        <v>143.69999999999999</v>
      </c>
      <c r="BX110" s="1695">
        <v>146.41999999999999</v>
      </c>
      <c r="BY110" s="1696">
        <v>149.13999999999999</v>
      </c>
      <c r="BZ110" s="1696">
        <v>151.87</v>
      </c>
      <c r="CA110" s="1695">
        <v>154.59</v>
      </c>
      <c r="CB110" s="1695">
        <v>157.32</v>
      </c>
      <c r="CC110" s="1704">
        <v>160.04</v>
      </c>
      <c r="CD110" s="1697">
        <v>162.77000000000001</v>
      </c>
      <c r="CE110" s="1698">
        <v>165.49</v>
      </c>
      <c r="CF110" s="1699">
        <v>168.21</v>
      </c>
      <c r="CG110" s="1699">
        <v>170.94</v>
      </c>
      <c r="CH110" s="1699">
        <v>173.66</v>
      </c>
      <c r="CI110" s="1699">
        <v>176.39</v>
      </c>
      <c r="CJ110" s="1699">
        <v>179.11</v>
      </c>
      <c r="CK110" s="1700">
        <v>154.84</v>
      </c>
      <c r="CL110" s="1700">
        <v>157.56</v>
      </c>
      <c r="CM110" s="1700">
        <v>160.29</v>
      </c>
      <c r="CN110" s="1700">
        <v>163.01</v>
      </c>
      <c r="CO110" s="1705">
        <v>165.73</v>
      </c>
      <c r="CP110" s="1706">
        <v>168.46</v>
      </c>
      <c r="CQ110" s="1701">
        <v>171.18</v>
      </c>
      <c r="CR110" s="1701">
        <v>173.91</v>
      </c>
      <c r="CS110" s="1707">
        <v>176.63</v>
      </c>
      <c r="CT110" s="1700">
        <v>179.36</v>
      </c>
      <c r="CU110" s="1700">
        <v>182.08</v>
      </c>
      <c r="CV110" s="1700">
        <v>184.8</v>
      </c>
      <c r="CW110" s="1700">
        <v>187.53</v>
      </c>
      <c r="CX110" s="1700">
        <v>190.25</v>
      </c>
      <c r="CY110" s="1700">
        <v>192.98</v>
      </c>
      <c r="CZ110" s="1700">
        <v>195.7</v>
      </c>
      <c r="DA110" s="1700">
        <v>198.42</v>
      </c>
      <c r="DB110" s="1700">
        <v>201.15</v>
      </c>
      <c r="DC110" s="1700">
        <v>203.87</v>
      </c>
      <c r="DD110" s="1700">
        <v>206.6</v>
      </c>
      <c r="DE110" s="1700">
        <v>209.32</v>
      </c>
      <c r="DF110" s="1700">
        <v>212.05</v>
      </c>
      <c r="DG110" s="1700">
        <v>214.77</v>
      </c>
      <c r="DH110" s="1700">
        <v>217.49</v>
      </c>
      <c r="DI110" s="1700">
        <v>220.22</v>
      </c>
      <c r="DJ110" s="1700">
        <v>222.94</v>
      </c>
      <c r="DK110" s="1700">
        <v>225.67</v>
      </c>
      <c r="DL110" s="1700">
        <v>228.39</v>
      </c>
      <c r="DM110" s="1700">
        <v>231.12</v>
      </c>
      <c r="DN110" s="1700">
        <v>233.84</v>
      </c>
      <c r="DO110" s="1700">
        <v>236.56</v>
      </c>
      <c r="DP110" s="1700">
        <v>239.29</v>
      </c>
      <c r="DQ110" s="1700">
        <v>242.01</v>
      </c>
      <c r="DR110" s="1700">
        <v>244.74</v>
      </c>
      <c r="DS110" s="1700"/>
      <c r="DT110" s="1700"/>
      <c r="DU110" s="1700"/>
      <c r="DV110" s="1700"/>
      <c r="DW110" s="1700"/>
      <c r="DX110" s="1700"/>
    </row>
    <row r="111" spans="1:128">
      <c r="A111" s="1622"/>
      <c r="B111" s="1691">
        <f t="shared" si="9"/>
        <v>107</v>
      </c>
      <c r="C111" s="1668" t="str">
        <f t="shared" si="6"/>
        <v>287.59</v>
      </c>
      <c r="D111" s="1672">
        <f t="shared" si="7"/>
        <v>402.63</v>
      </c>
      <c r="E111" s="1670"/>
      <c r="F111" s="1671" t="str">
        <f t="shared" si="8"/>
        <v>180.79</v>
      </c>
      <c r="G111" s="1672">
        <f t="shared" si="5"/>
        <v>253.11</v>
      </c>
      <c r="H111" s="1670"/>
      <c r="I111" s="1670"/>
      <c r="J111" s="1708">
        <v>107</v>
      </c>
      <c r="K111" s="1693">
        <v>209.7</v>
      </c>
      <c r="L111" s="1693">
        <v>213.59</v>
      </c>
      <c r="M111" s="1693">
        <v>217.49</v>
      </c>
      <c r="N111" s="1693">
        <v>221.38</v>
      </c>
      <c r="O111" s="1693">
        <v>225.28</v>
      </c>
      <c r="P111" s="1694">
        <v>229.17</v>
      </c>
      <c r="Q111" s="1694">
        <v>233.06</v>
      </c>
      <c r="R111" s="1694">
        <v>236.96</v>
      </c>
      <c r="S111" s="1695">
        <v>240.85</v>
      </c>
      <c r="T111" s="1696">
        <v>244.75</v>
      </c>
      <c r="U111" s="1696">
        <v>248.64</v>
      </c>
      <c r="V111" s="1695">
        <v>252.54</v>
      </c>
      <c r="W111" s="1695">
        <v>256.43</v>
      </c>
      <c r="X111" s="1695">
        <v>260.33</v>
      </c>
      <c r="Y111" s="1697">
        <v>264.22000000000003</v>
      </c>
      <c r="Z111" s="1698">
        <v>268.12</v>
      </c>
      <c r="AA111" s="1699">
        <v>272.01</v>
      </c>
      <c r="AB111" s="1699">
        <v>275.91000000000003</v>
      </c>
      <c r="AC111" s="1699">
        <v>279.8</v>
      </c>
      <c r="AD111" s="1699">
        <v>283.7</v>
      </c>
      <c r="AE111" s="1699">
        <v>287.58999999999997</v>
      </c>
      <c r="AF111" s="1700">
        <v>237.11</v>
      </c>
      <c r="AG111" s="1700">
        <v>241</v>
      </c>
      <c r="AH111" s="1700">
        <v>244.9</v>
      </c>
      <c r="AI111" s="1700">
        <v>248.79</v>
      </c>
      <c r="AJ111" s="1701">
        <v>252.69</v>
      </c>
      <c r="AK111" s="1701">
        <v>256.58</v>
      </c>
      <c r="AL111" s="1701">
        <v>260.48</v>
      </c>
      <c r="AM111" s="1701">
        <v>264.37</v>
      </c>
      <c r="AN111" s="1701">
        <v>268.27</v>
      </c>
      <c r="AO111" s="1702">
        <v>272.16000000000003</v>
      </c>
      <c r="AP111" s="1700">
        <v>276.06</v>
      </c>
      <c r="AQ111" s="1700">
        <v>279.95</v>
      </c>
      <c r="AR111" s="1683">
        <v>283.85000000000002</v>
      </c>
      <c r="AS111" s="1700">
        <v>287.74</v>
      </c>
      <c r="AT111" s="1700">
        <v>291.64</v>
      </c>
      <c r="AU111" s="1700">
        <v>295.52999999999997</v>
      </c>
      <c r="AV111" s="1700">
        <v>299.42</v>
      </c>
      <c r="AW111" s="1700">
        <v>303.32</v>
      </c>
      <c r="AX111" s="1700">
        <v>307.20999999999998</v>
      </c>
      <c r="AY111" s="1700">
        <v>311.11</v>
      </c>
      <c r="AZ111" s="1700">
        <v>315</v>
      </c>
      <c r="BA111" s="1700">
        <v>318.89999999999998</v>
      </c>
      <c r="BB111" s="1700">
        <v>322.79000000000002</v>
      </c>
      <c r="BC111" s="1700">
        <v>326.69</v>
      </c>
      <c r="BD111" s="1700">
        <v>330.58</v>
      </c>
      <c r="BE111" s="1700">
        <v>334.48</v>
      </c>
      <c r="BF111" s="1700">
        <v>338.37</v>
      </c>
      <c r="BG111" s="1700">
        <v>342.27</v>
      </c>
      <c r="BH111" s="1700">
        <v>346.16</v>
      </c>
      <c r="BI111" s="1700">
        <v>350.06</v>
      </c>
      <c r="BJ111" s="1700">
        <v>353.95</v>
      </c>
      <c r="BK111" s="1700">
        <v>357.85</v>
      </c>
      <c r="BL111" s="1700">
        <v>361.74</v>
      </c>
      <c r="BM111" s="1700">
        <v>365.64</v>
      </c>
      <c r="BN111" s="1700"/>
      <c r="BO111" s="1703">
        <v>107</v>
      </c>
      <c r="BP111" s="1693">
        <v>125.79</v>
      </c>
      <c r="BQ111" s="1693">
        <v>128.54</v>
      </c>
      <c r="BR111" s="1693">
        <v>131.29</v>
      </c>
      <c r="BS111" s="1693">
        <v>134.04</v>
      </c>
      <c r="BT111" s="1693">
        <v>136.79</v>
      </c>
      <c r="BU111" s="1694">
        <v>139.54</v>
      </c>
      <c r="BV111" s="1694">
        <v>142.29</v>
      </c>
      <c r="BW111" s="1694">
        <v>145.04</v>
      </c>
      <c r="BX111" s="1695">
        <v>147.79</v>
      </c>
      <c r="BY111" s="1696">
        <v>150.54</v>
      </c>
      <c r="BZ111" s="1696">
        <v>153.29</v>
      </c>
      <c r="CA111" s="1695">
        <v>156.04</v>
      </c>
      <c r="CB111" s="1695">
        <v>158.79</v>
      </c>
      <c r="CC111" s="1704">
        <v>161.54</v>
      </c>
      <c r="CD111" s="1697">
        <v>164.29</v>
      </c>
      <c r="CE111" s="1698">
        <v>167.04</v>
      </c>
      <c r="CF111" s="1699">
        <v>169.79</v>
      </c>
      <c r="CG111" s="1699">
        <v>172.54</v>
      </c>
      <c r="CH111" s="1699">
        <v>175.29</v>
      </c>
      <c r="CI111" s="1699">
        <v>178.04</v>
      </c>
      <c r="CJ111" s="1699">
        <v>180.79</v>
      </c>
      <c r="CK111" s="1700">
        <v>156.29</v>
      </c>
      <c r="CL111" s="1700">
        <v>159.04</v>
      </c>
      <c r="CM111" s="1700">
        <v>161.79</v>
      </c>
      <c r="CN111" s="1700">
        <v>164.54</v>
      </c>
      <c r="CO111" s="1705">
        <v>167.29</v>
      </c>
      <c r="CP111" s="1706">
        <v>170.04</v>
      </c>
      <c r="CQ111" s="1701">
        <v>172.79</v>
      </c>
      <c r="CR111" s="1701">
        <v>175.54</v>
      </c>
      <c r="CS111" s="1707">
        <v>178.29</v>
      </c>
      <c r="CT111" s="1700">
        <v>181.04</v>
      </c>
      <c r="CU111" s="1700">
        <v>183.79</v>
      </c>
      <c r="CV111" s="1700">
        <v>186.54</v>
      </c>
      <c r="CW111" s="1700">
        <v>189.29</v>
      </c>
      <c r="CX111" s="1700">
        <v>109.04</v>
      </c>
      <c r="CY111" s="1700">
        <v>194.79</v>
      </c>
      <c r="CZ111" s="1700">
        <v>197.54</v>
      </c>
      <c r="DA111" s="1700">
        <v>200.29</v>
      </c>
      <c r="DB111" s="1700">
        <v>203.04</v>
      </c>
      <c r="DC111" s="1700">
        <v>205.79</v>
      </c>
      <c r="DD111" s="1700">
        <v>208.54</v>
      </c>
      <c r="DE111" s="1700">
        <v>211.29</v>
      </c>
      <c r="DF111" s="1700">
        <v>241.04</v>
      </c>
      <c r="DG111" s="1700">
        <v>216.79</v>
      </c>
      <c r="DH111" s="1700">
        <v>219.54</v>
      </c>
      <c r="DI111" s="1700">
        <v>222.29</v>
      </c>
      <c r="DJ111" s="1700">
        <v>225.04</v>
      </c>
      <c r="DK111" s="1700">
        <v>227.79</v>
      </c>
      <c r="DL111" s="1700">
        <v>230.54</v>
      </c>
      <c r="DM111" s="1700">
        <v>233.29</v>
      </c>
      <c r="DN111" s="1700">
        <v>236.04</v>
      </c>
      <c r="DO111" s="1700">
        <v>238.79</v>
      </c>
      <c r="DP111" s="1700">
        <v>241.54</v>
      </c>
      <c r="DQ111" s="1700">
        <v>244.29</v>
      </c>
      <c r="DR111" s="1700">
        <v>247.04</v>
      </c>
      <c r="DS111" s="1700"/>
      <c r="DT111" s="1700"/>
      <c r="DU111" s="1700"/>
      <c r="DV111" s="1700"/>
      <c r="DW111" s="1700"/>
      <c r="DX111" s="1700"/>
    </row>
    <row r="112" spans="1:128">
      <c r="A112" s="1622"/>
      <c r="B112" s="1691">
        <f t="shared" si="9"/>
        <v>108</v>
      </c>
      <c r="C112" s="1668" t="str">
        <f t="shared" si="6"/>
        <v>290.22</v>
      </c>
      <c r="D112" s="1672">
        <f t="shared" si="7"/>
        <v>406.31</v>
      </c>
      <c r="E112" s="1670"/>
      <c r="F112" s="1671" t="str">
        <f t="shared" si="8"/>
        <v>182.46</v>
      </c>
      <c r="G112" s="1672">
        <f t="shared" si="5"/>
        <v>255.44</v>
      </c>
      <c r="H112" s="1670"/>
      <c r="I112" s="1670"/>
      <c r="J112" s="1708">
        <v>108</v>
      </c>
      <c r="K112" s="1693">
        <v>211.59</v>
      </c>
      <c r="L112" s="1693">
        <v>215.53</v>
      </c>
      <c r="M112" s="1693">
        <v>219.46</v>
      </c>
      <c r="N112" s="1693">
        <v>223.39</v>
      </c>
      <c r="O112" s="1693">
        <v>227.32</v>
      </c>
      <c r="P112" s="1694">
        <v>231.25</v>
      </c>
      <c r="Q112" s="1694">
        <v>235.18</v>
      </c>
      <c r="R112" s="1694">
        <v>239.11</v>
      </c>
      <c r="S112" s="1695">
        <v>243.04</v>
      </c>
      <c r="T112" s="1696">
        <v>246.97</v>
      </c>
      <c r="U112" s="1696">
        <v>250.91</v>
      </c>
      <c r="V112" s="1695">
        <v>254.84</v>
      </c>
      <c r="W112" s="1695">
        <v>258.77</v>
      </c>
      <c r="X112" s="1695">
        <v>262.7</v>
      </c>
      <c r="Y112" s="1697">
        <v>266.63</v>
      </c>
      <c r="Z112" s="1698">
        <v>270.56</v>
      </c>
      <c r="AA112" s="1699">
        <v>274.49</v>
      </c>
      <c r="AB112" s="1699">
        <v>278.42</v>
      </c>
      <c r="AC112" s="1699">
        <v>282.36</v>
      </c>
      <c r="AD112" s="1699">
        <v>286.29000000000002</v>
      </c>
      <c r="AE112" s="1699">
        <v>290.22000000000003</v>
      </c>
      <c r="AF112" s="1700">
        <v>239.29</v>
      </c>
      <c r="AG112" s="1700">
        <v>243.22</v>
      </c>
      <c r="AH112" s="1700">
        <v>247.15</v>
      </c>
      <c r="AI112" s="1700">
        <v>251.08</v>
      </c>
      <c r="AJ112" s="1701">
        <v>255.01</v>
      </c>
      <c r="AK112" s="1701">
        <v>258.94</v>
      </c>
      <c r="AL112" s="1701">
        <v>262.88</v>
      </c>
      <c r="AM112" s="1701">
        <v>266.81</v>
      </c>
      <c r="AN112" s="1701">
        <v>270.74</v>
      </c>
      <c r="AO112" s="1702">
        <v>274.67</v>
      </c>
      <c r="AP112" s="1700">
        <v>278.60000000000002</v>
      </c>
      <c r="AQ112" s="1700">
        <v>282.52999999999997</v>
      </c>
      <c r="AR112" s="1700">
        <v>286.45999999999998</v>
      </c>
      <c r="AS112" s="1700">
        <v>290.39</v>
      </c>
      <c r="AT112" s="1700">
        <v>294.32</v>
      </c>
      <c r="AU112" s="1700">
        <v>298.26</v>
      </c>
      <c r="AV112" s="1700">
        <v>302.19</v>
      </c>
      <c r="AW112" s="1700">
        <v>306.12</v>
      </c>
      <c r="AX112" s="1700">
        <v>310.05</v>
      </c>
      <c r="AY112" s="1700">
        <v>313.98</v>
      </c>
      <c r="AZ112" s="1700">
        <v>317.91000000000003</v>
      </c>
      <c r="BA112" s="1700">
        <v>321.83999999999997</v>
      </c>
      <c r="BB112" s="1683">
        <v>325.77</v>
      </c>
      <c r="BC112" s="1700">
        <v>329.71</v>
      </c>
      <c r="BD112" s="1700">
        <v>333.64</v>
      </c>
      <c r="BE112" s="1700">
        <v>337.57</v>
      </c>
      <c r="BF112" s="1700">
        <v>341.5</v>
      </c>
      <c r="BG112" s="1700">
        <v>345.43</v>
      </c>
      <c r="BH112" s="1700">
        <v>349.36</v>
      </c>
      <c r="BI112" s="1700">
        <v>353.29</v>
      </c>
      <c r="BJ112" s="1700">
        <v>357.22</v>
      </c>
      <c r="BK112" s="1700">
        <v>361.16</v>
      </c>
      <c r="BL112" s="1700">
        <v>365.09</v>
      </c>
      <c r="BM112" s="1700">
        <v>369.02</v>
      </c>
      <c r="BN112" s="1700"/>
      <c r="BO112" s="1703">
        <v>108</v>
      </c>
      <c r="BP112" s="1693">
        <v>126.95</v>
      </c>
      <c r="BQ112" s="1693">
        <v>129.72</v>
      </c>
      <c r="BR112" s="1693">
        <v>132.5</v>
      </c>
      <c r="BS112" s="1693">
        <v>135.28</v>
      </c>
      <c r="BT112" s="1693">
        <v>138.05000000000001</v>
      </c>
      <c r="BU112" s="1694">
        <v>140.83000000000001</v>
      </c>
      <c r="BV112" s="1694">
        <v>143.6</v>
      </c>
      <c r="BW112" s="1694">
        <v>146.38</v>
      </c>
      <c r="BX112" s="1695">
        <v>149.15</v>
      </c>
      <c r="BY112" s="1696">
        <v>151.93</v>
      </c>
      <c r="BZ112" s="1696">
        <v>154.69999999999999</v>
      </c>
      <c r="CA112" s="1695">
        <v>157.47999999999999</v>
      </c>
      <c r="CB112" s="1695">
        <v>160.26</v>
      </c>
      <c r="CC112" s="1704">
        <v>163.03</v>
      </c>
      <c r="CD112" s="1697">
        <v>165.81</v>
      </c>
      <c r="CE112" s="1698">
        <v>168.58</v>
      </c>
      <c r="CF112" s="1699">
        <v>171.36</v>
      </c>
      <c r="CG112" s="1699">
        <v>174.13</v>
      </c>
      <c r="CH112" s="1699">
        <v>176.91</v>
      </c>
      <c r="CI112" s="1699">
        <v>179.69</v>
      </c>
      <c r="CJ112" s="1699">
        <v>182.46</v>
      </c>
      <c r="CK112" s="1700">
        <v>157.74</v>
      </c>
      <c r="CL112" s="1700">
        <v>160.52000000000001</v>
      </c>
      <c r="CM112" s="1700">
        <v>163.29</v>
      </c>
      <c r="CN112" s="1700">
        <v>166.07</v>
      </c>
      <c r="CO112" s="1705">
        <v>168.84</v>
      </c>
      <c r="CP112" s="1706">
        <v>171.62</v>
      </c>
      <c r="CQ112" s="1701">
        <v>174.39</v>
      </c>
      <c r="CR112" s="1701">
        <v>177.17</v>
      </c>
      <c r="CS112" s="1707">
        <v>179.95</v>
      </c>
      <c r="CT112" s="1700">
        <v>182.72</v>
      </c>
      <c r="CU112" s="1700">
        <v>185.5</v>
      </c>
      <c r="CV112" s="1700">
        <v>188.27</v>
      </c>
      <c r="CW112" s="1700">
        <v>191.05</v>
      </c>
      <c r="CX112" s="1700">
        <v>193.82</v>
      </c>
      <c r="CY112" s="1700">
        <v>196.6</v>
      </c>
      <c r="CZ112" s="1700">
        <v>199.37</v>
      </c>
      <c r="DA112" s="1700">
        <v>202.15</v>
      </c>
      <c r="DB112" s="1700">
        <v>204.93</v>
      </c>
      <c r="DC112" s="1700">
        <v>207.7</v>
      </c>
      <c r="DD112" s="1700">
        <v>210.48</v>
      </c>
      <c r="DE112" s="1700">
        <v>213.25</v>
      </c>
      <c r="DF112" s="1700">
        <v>216.03</v>
      </c>
      <c r="DG112" s="1700">
        <v>218.8</v>
      </c>
      <c r="DH112" s="1700">
        <v>221.58</v>
      </c>
      <c r="DI112" s="1700">
        <v>224.36</v>
      </c>
      <c r="DJ112" s="1700">
        <v>227.13</v>
      </c>
      <c r="DK112" s="1700">
        <v>229.91</v>
      </c>
      <c r="DL112" s="1700">
        <v>232.68</v>
      </c>
      <c r="DM112" s="1700">
        <v>235.46</v>
      </c>
      <c r="DN112" s="1700">
        <v>238.23</v>
      </c>
      <c r="DO112" s="1700">
        <v>241.01</v>
      </c>
      <c r="DP112" s="1700">
        <v>243.78</v>
      </c>
      <c r="DQ112" s="1700">
        <v>246.56</v>
      </c>
      <c r="DR112" s="1700">
        <v>249.34</v>
      </c>
      <c r="DS112" s="1700"/>
      <c r="DT112" s="1700"/>
      <c r="DU112" s="1700"/>
      <c r="DV112" s="1700"/>
      <c r="DW112" s="1700"/>
      <c r="DX112" s="1700"/>
    </row>
    <row r="113" spans="1:128">
      <c r="A113" s="1622"/>
      <c r="B113" s="1691">
        <f t="shared" si="9"/>
        <v>109</v>
      </c>
      <c r="C113" s="1668" t="str">
        <f t="shared" si="6"/>
        <v>293.05</v>
      </c>
      <c r="D113" s="1672">
        <f t="shared" si="7"/>
        <v>410.27</v>
      </c>
      <c r="E113" s="1670"/>
      <c r="F113" s="1671" t="str">
        <f t="shared" si="8"/>
        <v>184.14</v>
      </c>
      <c r="G113" s="1672">
        <f t="shared" si="5"/>
        <v>257.8</v>
      </c>
      <c r="H113" s="1670"/>
      <c r="I113" s="1670"/>
      <c r="J113" s="1708">
        <v>109</v>
      </c>
      <c r="K113" s="1693">
        <v>213.7</v>
      </c>
      <c r="L113" s="1693">
        <v>217.67</v>
      </c>
      <c r="M113" s="1693">
        <v>221.63</v>
      </c>
      <c r="N113" s="1693">
        <v>225.6</v>
      </c>
      <c r="O113" s="1693">
        <v>229.57</v>
      </c>
      <c r="P113" s="1694">
        <v>233.54</v>
      </c>
      <c r="Q113" s="1694">
        <v>237.5</v>
      </c>
      <c r="R113" s="1694">
        <v>241.47</v>
      </c>
      <c r="S113" s="1695">
        <v>245.44</v>
      </c>
      <c r="T113" s="1696">
        <v>249.41</v>
      </c>
      <c r="U113" s="1696">
        <v>253.37</v>
      </c>
      <c r="V113" s="1695">
        <v>257.33999999999997</v>
      </c>
      <c r="W113" s="1695">
        <v>261.31</v>
      </c>
      <c r="X113" s="1695">
        <v>265.27999999999997</v>
      </c>
      <c r="Y113" s="1697">
        <v>269.25</v>
      </c>
      <c r="Z113" s="1698">
        <v>273.20999999999998</v>
      </c>
      <c r="AA113" s="1699">
        <v>277.18</v>
      </c>
      <c r="AB113" s="1699">
        <v>281.14999999999998</v>
      </c>
      <c r="AC113" s="1699">
        <v>285.12</v>
      </c>
      <c r="AD113" s="1699">
        <v>289.08</v>
      </c>
      <c r="AE113" s="1699">
        <v>293.05</v>
      </c>
      <c r="AF113" s="1683">
        <v>241.59</v>
      </c>
      <c r="AG113" s="1683">
        <v>245.56</v>
      </c>
      <c r="AH113" s="1683">
        <v>249.52</v>
      </c>
      <c r="AI113" s="1683">
        <v>253.49</v>
      </c>
      <c r="AJ113" s="1701">
        <v>257.45999999999998</v>
      </c>
      <c r="AK113" s="1701">
        <v>261.43</v>
      </c>
      <c r="AL113" s="1701">
        <v>265.39</v>
      </c>
      <c r="AM113" s="1701">
        <v>269.36</v>
      </c>
      <c r="AN113" s="1701">
        <v>273.33</v>
      </c>
      <c r="AO113" s="1702">
        <v>277.3</v>
      </c>
      <c r="AP113" s="1700">
        <v>281.26</v>
      </c>
      <c r="AQ113" s="1700">
        <v>285.23</v>
      </c>
      <c r="AR113" s="1683">
        <v>289.2</v>
      </c>
      <c r="AS113" s="1700">
        <v>293.17</v>
      </c>
      <c r="AT113" s="1683">
        <v>297.14</v>
      </c>
      <c r="AU113" s="1700">
        <v>301.10000000000002</v>
      </c>
      <c r="AV113" s="1683">
        <v>305.07</v>
      </c>
      <c r="AW113" s="1683">
        <v>309.04000000000002</v>
      </c>
      <c r="AX113" s="1683">
        <v>313.01</v>
      </c>
      <c r="AY113" s="1683">
        <v>316.97000000000003</v>
      </c>
      <c r="AZ113" s="1683">
        <v>320.94</v>
      </c>
      <c r="BA113" s="1683">
        <v>324.91000000000003</v>
      </c>
      <c r="BB113" s="1700">
        <v>328.88</v>
      </c>
      <c r="BC113" s="1683">
        <v>332.84</v>
      </c>
      <c r="BD113" s="1683">
        <v>336.81</v>
      </c>
      <c r="BE113" s="1683">
        <v>340.78</v>
      </c>
      <c r="BF113" s="1683">
        <v>344.75</v>
      </c>
      <c r="BG113" s="1683">
        <v>348.71</v>
      </c>
      <c r="BH113" s="1683">
        <v>352.68</v>
      </c>
      <c r="BI113" s="1683">
        <v>356.65</v>
      </c>
      <c r="BJ113" s="1683">
        <v>360.62</v>
      </c>
      <c r="BK113" s="1683">
        <v>364.58</v>
      </c>
      <c r="BL113" s="1683">
        <v>368.55</v>
      </c>
      <c r="BM113" s="1683">
        <v>372.52</v>
      </c>
      <c r="BN113" s="1683"/>
      <c r="BO113" s="1703">
        <v>109</v>
      </c>
      <c r="BP113" s="1693">
        <v>128.11000000000001</v>
      </c>
      <c r="BQ113" s="1693">
        <v>130.91</v>
      </c>
      <c r="BR113" s="1693">
        <v>133.71</v>
      </c>
      <c r="BS113" s="1693">
        <v>136.52000000000001</v>
      </c>
      <c r="BT113" s="1693">
        <v>139.32</v>
      </c>
      <c r="BU113" s="1694">
        <v>142.12</v>
      </c>
      <c r="BV113" s="1694">
        <v>144.91999999999999</v>
      </c>
      <c r="BW113" s="1694">
        <v>147.72</v>
      </c>
      <c r="BX113" s="1695">
        <v>150.52000000000001</v>
      </c>
      <c r="BY113" s="1696">
        <v>153.32</v>
      </c>
      <c r="BZ113" s="1696">
        <v>156.13</v>
      </c>
      <c r="CA113" s="1695">
        <v>158.93</v>
      </c>
      <c r="CB113" s="1695">
        <v>161.72999999999999</v>
      </c>
      <c r="CC113" s="1704">
        <v>164.53</v>
      </c>
      <c r="CD113" s="1697">
        <v>167.33</v>
      </c>
      <c r="CE113" s="1698">
        <v>170.13</v>
      </c>
      <c r="CF113" s="1699">
        <v>172.93</v>
      </c>
      <c r="CG113" s="1699">
        <v>175.73</v>
      </c>
      <c r="CH113" s="1699">
        <v>178.54</v>
      </c>
      <c r="CI113" s="1699">
        <v>181.34</v>
      </c>
      <c r="CJ113" s="1699">
        <v>184.14</v>
      </c>
      <c r="CK113" s="1700">
        <v>159.19</v>
      </c>
      <c r="CL113" s="1700">
        <v>162</v>
      </c>
      <c r="CM113" s="1700">
        <v>164.8</v>
      </c>
      <c r="CN113" s="1700">
        <v>167.6</v>
      </c>
      <c r="CO113" s="1705">
        <v>170.4</v>
      </c>
      <c r="CP113" s="1706">
        <v>173.2</v>
      </c>
      <c r="CQ113" s="1701">
        <v>176</v>
      </c>
      <c r="CR113" s="1701">
        <v>178.8</v>
      </c>
      <c r="CS113" s="1707">
        <v>181.6</v>
      </c>
      <c r="CT113" s="1700">
        <v>184.41</v>
      </c>
      <c r="CU113" s="1700">
        <v>187.21</v>
      </c>
      <c r="CV113" s="1700">
        <v>190.01</v>
      </c>
      <c r="CW113" s="1700">
        <v>192.81</v>
      </c>
      <c r="CX113" s="1700">
        <v>195.61</v>
      </c>
      <c r="CY113" s="1700">
        <v>198.41</v>
      </c>
      <c r="CZ113" s="1700">
        <v>201.21</v>
      </c>
      <c r="DA113" s="1700">
        <v>204.01</v>
      </c>
      <c r="DB113" s="1700">
        <v>206.82</v>
      </c>
      <c r="DC113" s="1700">
        <v>209.62</v>
      </c>
      <c r="DD113" s="1700">
        <v>212.42</v>
      </c>
      <c r="DE113" s="1700">
        <v>215.22</v>
      </c>
      <c r="DF113" s="1700">
        <v>218.02</v>
      </c>
      <c r="DG113" s="1700">
        <v>220.82</v>
      </c>
      <c r="DH113" s="1700">
        <v>223.62</v>
      </c>
      <c r="DI113" s="1700">
        <v>226.42</v>
      </c>
      <c r="DJ113" s="1700">
        <v>229.23</v>
      </c>
      <c r="DK113" s="1700">
        <v>232.03</v>
      </c>
      <c r="DL113" s="1700">
        <v>234.83</v>
      </c>
      <c r="DM113" s="1700">
        <v>237.63</v>
      </c>
      <c r="DN113" s="1700">
        <v>240.43</v>
      </c>
      <c r="DO113" s="1700">
        <v>243.23</v>
      </c>
      <c r="DP113" s="1700">
        <v>246.03</v>
      </c>
      <c r="DQ113" s="1700">
        <v>248.84</v>
      </c>
      <c r="DR113" s="1700">
        <v>251.64</v>
      </c>
      <c r="DS113" s="1700"/>
      <c r="DT113" s="1700"/>
      <c r="DU113" s="1700"/>
      <c r="DV113" s="1700"/>
      <c r="DW113" s="1700"/>
      <c r="DX113" s="1700"/>
    </row>
    <row r="114" spans="1:128">
      <c r="A114" s="1622"/>
      <c r="B114" s="1691">
        <f t="shared" si="9"/>
        <v>110</v>
      </c>
      <c r="C114" s="1668" t="str">
        <f t="shared" si="6"/>
        <v>295.69</v>
      </c>
      <c r="D114" s="1672">
        <f t="shared" si="7"/>
        <v>413.97</v>
      </c>
      <c r="E114" s="1670"/>
      <c r="F114" s="1671" t="str">
        <f t="shared" si="8"/>
        <v>185.82</v>
      </c>
      <c r="G114" s="1672">
        <f t="shared" si="5"/>
        <v>260.14999999999998</v>
      </c>
      <c r="H114" s="1670"/>
      <c r="I114" s="1670"/>
      <c r="J114" s="1708">
        <v>110</v>
      </c>
      <c r="K114" s="1693">
        <v>215.61</v>
      </c>
      <c r="L114" s="1693">
        <v>219.62</v>
      </c>
      <c r="M114" s="1693">
        <v>223.62</v>
      </c>
      <c r="N114" s="1693">
        <v>227.62</v>
      </c>
      <c r="O114" s="1693">
        <v>231.63</v>
      </c>
      <c r="P114" s="1694">
        <v>235.63</v>
      </c>
      <c r="Q114" s="1694">
        <v>239.64</v>
      </c>
      <c r="R114" s="1694">
        <v>243.64</v>
      </c>
      <c r="S114" s="1695">
        <v>247.64</v>
      </c>
      <c r="T114" s="1696">
        <v>251.65</v>
      </c>
      <c r="U114" s="1696">
        <v>255.65</v>
      </c>
      <c r="V114" s="1695">
        <v>259.66000000000003</v>
      </c>
      <c r="W114" s="1695">
        <v>263.66000000000003</v>
      </c>
      <c r="X114" s="1695">
        <v>267.66000000000003</v>
      </c>
      <c r="Y114" s="1697">
        <v>271.67</v>
      </c>
      <c r="Z114" s="1698">
        <v>275.67</v>
      </c>
      <c r="AA114" s="1699">
        <v>279.68</v>
      </c>
      <c r="AB114" s="1699">
        <v>283.68</v>
      </c>
      <c r="AC114" s="1699">
        <v>287.68</v>
      </c>
      <c r="AD114" s="1699">
        <v>291.69</v>
      </c>
      <c r="AE114" s="1699">
        <v>295.69</v>
      </c>
      <c r="AF114" s="1700">
        <v>243.78</v>
      </c>
      <c r="AG114" s="1700">
        <v>247.78</v>
      </c>
      <c r="AH114" s="1700">
        <v>251.79</v>
      </c>
      <c r="AI114" s="1700">
        <v>255.79</v>
      </c>
      <c r="AJ114" s="1701">
        <v>259.79000000000002</v>
      </c>
      <c r="AK114" s="1701">
        <v>263.8</v>
      </c>
      <c r="AL114" s="1701">
        <v>267.8</v>
      </c>
      <c r="AM114" s="1701">
        <v>271.81</v>
      </c>
      <c r="AN114" s="1701">
        <v>275.81</v>
      </c>
      <c r="AO114" s="1702">
        <v>279.81</v>
      </c>
      <c r="AP114" s="1700">
        <v>283.82</v>
      </c>
      <c r="AQ114" s="1700">
        <v>287.82</v>
      </c>
      <c r="AR114" s="1700">
        <v>291.83</v>
      </c>
      <c r="AS114" s="1700">
        <v>295.83</v>
      </c>
      <c r="AT114" s="1700">
        <v>299.83</v>
      </c>
      <c r="AU114" s="1700">
        <v>303.83999999999997</v>
      </c>
      <c r="AV114" s="1700">
        <v>307.83999999999997</v>
      </c>
      <c r="AW114" s="1700">
        <v>311.85000000000002</v>
      </c>
      <c r="AX114" s="1700">
        <v>315.85000000000002</v>
      </c>
      <c r="AY114" s="1700">
        <v>319.85000000000002</v>
      </c>
      <c r="AZ114" s="1700">
        <v>323.86</v>
      </c>
      <c r="BA114" s="1700">
        <v>327.86</v>
      </c>
      <c r="BB114" s="1700">
        <v>331.87</v>
      </c>
      <c r="BC114" s="1700">
        <v>335.87</v>
      </c>
      <c r="BD114" s="1700">
        <v>339.87</v>
      </c>
      <c r="BE114" s="1700">
        <v>343.88</v>
      </c>
      <c r="BF114" s="1700">
        <v>347.88</v>
      </c>
      <c r="BG114" s="1700">
        <v>351.89</v>
      </c>
      <c r="BH114" s="1700">
        <v>355.89</v>
      </c>
      <c r="BI114" s="1700">
        <v>359.89</v>
      </c>
      <c r="BJ114" s="1700">
        <v>363.9</v>
      </c>
      <c r="BK114" s="1700">
        <v>367.9</v>
      </c>
      <c r="BL114" s="1700">
        <v>371.91</v>
      </c>
      <c r="BM114" s="1700">
        <v>375.91</v>
      </c>
      <c r="BN114" s="1700"/>
      <c r="BO114" s="1703">
        <v>110</v>
      </c>
      <c r="BP114" s="1693">
        <v>129.28</v>
      </c>
      <c r="BQ114" s="1693">
        <v>132.1</v>
      </c>
      <c r="BR114" s="1693">
        <v>134.93</v>
      </c>
      <c r="BS114" s="1693">
        <v>137.76</v>
      </c>
      <c r="BT114" s="1693">
        <v>140.59</v>
      </c>
      <c r="BU114" s="1694">
        <v>143.41</v>
      </c>
      <c r="BV114" s="1694">
        <v>146.24</v>
      </c>
      <c r="BW114" s="1694">
        <v>149.07</v>
      </c>
      <c r="BX114" s="1695">
        <v>151.88999999999999</v>
      </c>
      <c r="BY114" s="1696">
        <v>154.72</v>
      </c>
      <c r="BZ114" s="1696">
        <v>157.55000000000001</v>
      </c>
      <c r="CA114" s="1695">
        <v>160.37</v>
      </c>
      <c r="CB114" s="1695">
        <v>163.19999999999999</v>
      </c>
      <c r="CC114" s="1704">
        <v>166.03</v>
      </c>
      <c r="CD114" s="1697">
        <v>168.86</v>
      </c>
      <c r="CE114" s="1698">
        <v>171.68</v>
      </c>
      <c r="CF114" s="1699">
        <v>174.51</v>
      </c>
      <c r="CG114" s="1699">
        <v>177.34</v>
      </c>
      <c r="CH114" s="1699">
        <v>180.16</v>
      </c>
      <c r="CI114" s="1699">
        <v>182.99</v>
      </c>
      <c r="CJ114" s="1699">
        <v>185.82</v>
      </c>
      <c r="CK114" s="1700">
        <v>160.65</v>
      </c>
      <c r="CL114" s="1700">
        <v>163.47999999999999</v>
      </c>
      <c r="CM114" s="1700">
        <v>166.3</v>
      </c>
      <c r="CN114" s="1700">
        <v>169.13</v>
      </c>
      <c r="CO114" s="1705">
        <v>171.96</v>
      </c>
      <c r="CP114" s="1706">
        <v>174.78</v>
      </c>
      <c r="CQ114" s="1701">
        <v>177.61</v>
      </c>
      <c r="CR114" s="1701">
        <v>180.44</v>
      </c>
      <c r="CS114" s="1707">
        <v>183.26</v>
      </c>
      <c r="CT114" s="1700">
        <v>186.09</v>
      </c>
      <c r="CU114" s="1700">
        <v>188.92</v>
      </c>
      <c r="CV114" s="1700">
        <v>191.75</v>
      </c>
      <c r="CW114" s="1700">
        <v>194.57</v>
      </c>
      <c r="CX114" s="1700">
        <v>197.4</v>
      </c>
      <c r="CY114" s="1700">
        <v>200.23</v>
      </c>
      <c r="CZ114" s="1700">
        <v>203.05</v>
      </c>
      <c r="DA114" s="1700">
        <v>205.88</v>
      </c>
      <c r="DB114" s="1700">
        <v>208.71</v>
      </c>
      <c r="DC114" s="1700">
        <v>211.53</v>
      </c>
      <c r="DD114" s="1700">
        <v>214.36</v>
      </c>
      <c r="DE114" s="1700">
        <v>217.19</v>
      </c>
      <c r="DF114" s="1700">
        <v>220.02</v>
      </c>
      <c r="DG114" s="1700">
        <v>222.84</v>
      </c>
      <c r="DH114" s="1700">
        <v>225.67</v>
      </c>
      <c r="DI114" s="1700">
        <v>228.5</v>
      </c>
      <c r="DJ114" s="1700">
        <v>231.32</v>
      </c>
      <c r="DK114" s="1700">
        <v>234.15</v>
      </c>
      <c r="DL114" s="1700">
        <v>236.98</v>
      </c>
      <c r="DM114" s="1700">
        <v>239.8</v>
      </c>
      <c r="DN114" s="1700">
        <v>242.63</v>
      </c>
      <c r="DO114" s="1700">
        <v>245.46</v>
      </c>
      <c r="DP114" s="1700">
        <v>248.29</v>
      </c>
      <c r="DQ114" s="1700">
        <v>251.11</v>
      </c>
      <c r="DR114" s="1700">
        <v>253.94</v>
      </c>
      <c r="DS114" s="1700"/>
      <c r="DT114" s="1700"/>
      <c r="DU114" s="1700"/>
      <c r="DV114" s="1700"/>
      <c r="DW114" s="1700"/>
      <c r="DX114" s="1700"/>
    </row>
    <row r="115" spans="1:128">
      <c r="A115" s="1622"/>
      <c r="B115" s="1691">
        <f t="shared" si="9"/>
        <v>111</v>
      </c>
      <c r="C115" s="1668" t="str">
        <f t="shared" si="6"/>
        <v>298.34</v>
      </c>
      <c r="D115" s="1672">
        <f t="shared" si="7"/>
        <v>417.68</v>
      </c>
      <c r="E115" s="1670"/>
      <c r="F115" s="1671" t="str">
        <f t="shared" si="8"/>
        <v>187.5</v>
      </c>
      <c r="G115" s="1672">
        <f t="shared" si="5"/>
        <v>262.5</v>
      </c>
      <c r="H115" s="1670"/>
      <c r="I115" s="1670"/>
      <c r="J115" s="1708">
        <v>111</v>
      </c>
      <c r="K115" s="1693">
        <v>217.53</v>
      </c>
      <c r="L115" s="1693">
        <v>221.57</v>
      </c>
      <c r="M115" s="1693">
        <v>225.61</v>
      </c>
      <c r="N115" s="1693">
        <v>229.65</v>
      </c>
      <c r="O115" s="1693">
        <v>233.7</v>
      </c>
      <c r="P115" s="1694">
        <v>237.74</v>
      </c>
      <c r="Q115" s="1694">
        <v>241.78</v>
      </c>
      <c r="R115" s="1694">
        <v>245.82</v>
      </c>
      <c r="S115" s="1695">
        <v>249.86</v>
      </c>
      <c r="T115" s="1696">
        <v>253.9</v>
      </c>
      <c r="U115" s="1696">
        <v>257.94</v>
      </c>
      <c r="V115" s="1695">
        <v>261.98</v>
      </c>
      <c r="W115" s="1695">
        <v>266.02</v>
      </c>
      <c r="X115" s="1695">
        <v>270.06</v>
      </c>
      <c r="Y115" s="1697">
        <v>274.10000000000002</v>
      </c>
      <c r="Z115" s="1698">
        <v>278.14</v>
      </c>
      <c r="AA115" s="1699">
        <v>282.18</v>
      </c>
      <c r="AB115" s="1699">
        <v>286.22000000000003</v>
      </c>
      <c r="AC115" s="1699">
        <v>290.26</v>
      </c>
      <c r="AD115" s="1699">
        <v>294.3</v>
      </c>
      <c r="AE115" s="1699">
        <v>298.33999999999997</v>
      </c>
      <c r="AF115" s="1700">
        <v>245.97</v>
      </c>
      <c r="AG115" s="1700">
        <v>250.01</v>
      </c>
      <c r="AH115" s="1700">
        <v>254.05</v>
      </c>
      <c r="AI115" s="1700">
        <v>258.08999999999997</v>
      </c>
      <c r="AJ115" s="1701">
        <v>262.13</v>
      </c>
      <c r="AK115" s="1701">
        <v>266.17</v>
      </c>
      <c r="AL115" s="1701">
        <v>270.20999999999998</v>
      </c>
      <c r="AM115" s="1701">
        <v>274.25</v>
      </c>
      <c r="AN115" s="1701">
        <v>278.29000000000002</v>
      </c>
      <c r="AO115" s="1702">
        <v>282.33</v>
      </c>
      <c r="AP115" s="1700">
        <v>286.37</v>
      </c>
      <c r="AQ115" s="1700">
        <v>290.42</v>
      </c>
      <c r="AR115" s="1683">
        <v>294.45999999999998</v>
      </c>
      <c r="AS115" s="1700">
        <v>298.5</v>
      </c>
      <c r="AT115" s="1700">
        <v>302.54000000000002</v>
      </c>
      <c r="AU115" s="1700">
        <v>306.58</v>
      </c>
      <c r="AV115" s="1700">
        <v>310.62</v>
      </c>
      <c r="AW115" s="1700">
        <v>314.66000000000003</v>
      </c>
      <c r="AX115" s="1700">
        <v>318.7</v>
      </c>
      <c r="AY115" s="1700">
        <v>322.74</v>
      </c>
      <c r="AZ115" s="1700">
        <v>326.77999999999997</v>
      </c>
      <c r="BA115" s="1700">
        <v>330.82</v>
      </c>
      <c r="BB115" s="1683">
        <v>334.86</v>
      </c>
      <c r="BC115" s="1700">
        <v>338.9</v>
      </c>
      <c r="BD115" s="1700">
        <v>342.94</v>
      </c>
      <c r="BE115" s="1700">
        <v>346.98</v>
      </c>
      <c r="BF115" s="1700">
        <v>351.02</v>
      </c>
      <c r="BG115" s="1700">
        <v>355.06</v>
      </c>
      <c r="BH115" s="1700">
        <v>359.1</v>
      </c>
      <c r="BI115" s="1700">
        <v>363.14</v>
      </c>
      <c r="BJ115" s="1700">
        <v>367.18</v>
      </c>
      <c r="BK115" s="1700">
        <v>371.22</v>
      </c>
      <c r="BL115" s="1700">
        <v>375.26</v>
      </c>
      <c r="BM115" s="1700">
        <v>379.3</v>
      </c>
      <c r="BN115" s="1700"/>
      <c r="BO115" s="1703">
        <v>111</v>
      </c>
      <c r="BP115" s="1693">
        <v>130.44</v>
      </c>
      <c r="BQ115" s="1693">
        <v>133.30000000000001</v>
      </c>
      <c r="BR115" s="1693">
        <v>136.15</v>
      </c>
      <c r="BS115" s="1693">
        <v>139</v>
      </c>
      <c r="BT115" s="1693">
        <v>141.86000000000001</v>
      </c>
      <c r="BU115" s="1694">
        <v>144.71</v>
      </c>
      <c r="BV115" s="1694">
        <v>147.56</v>
      </c>
      <c r="BW115" s="1694">
        <v>150.41</v>
      </c>
      <c r="BX115" s="1695">
        <v>153.27000000000001</v>
      </c>
      <c r="BY115" s="1696">
        <v>156.12</v>
      </c>
      <c r="BZ115" s="1696">
        <v>158.97</v>
      </c>
      <c r="CA115" s="1695">
        <v>161.82</v>
      </c>
      <c r="CB115" s="1695">
        <v>164.68</v>
      </c>
      <c r="CC115" s="1704">
        <v>167.53</v>
      </c>
      <c r="CD115" s="1697">
        <v>170.38</v>
      </c>
      <c r="CE115" s="1698">
        <v>173.24</v>
      </c>
      <c r="CF115" s="1699">
        <v>176.09</v>
      </c>
      <c r="CG115" s="1699">
        <v>178.94</v>
      </c>
      <c r="CH115" s="1699">
        <v>181.79</v>
      </c>
      <c r="CI115" s="1699">
        <v>184.65</v>
      </c>
      <c r="CJ115" s="1699">
        <v>187.5</v>
      </c>
      <c r="CK115" s="1700">
        <v>162.1</v>
      </c>
      <c r="CL115" s="1700">
        <v>164.96</v>
      </c>
      <c r="CM115" s="1700">
        <v>167.81</v>
      </c>
      <c r="CN115" s="1700">
        <v>170.66</v>
      </c>
      <c r="CO115" s="1705">
        <v>173.51</v>
      </c>
      <c r="CP115" s="1706">
        <v>176.37</v>
      </c>
      <c r="CQ115" s="1701">
        <v>179.22</v>
      </c>
      <c r="CR115" s="1701">
        <v>182.07</v>
      </c>
      <c r="CS115" s="1707">
        <v>184.93</v>
      </c>
      <c r="CT115" s="1700">
        <v>187.78</v>
      </c>
      <c r="CU115" s="1700">
        <v>190.63</v>
      </c>
      <c r="CV115" s="1700">
        <v>193.48</v>
      </c>
      <c r="CW115" s="1700">
        <v>196.34</v>
      </c>
      <c r="CX115" s="1700">
        <v>199.19</v>
      </c>
      <c r="CY115" s="1700">
        <v>202.04</v>
      </c>
      <c r="CZ115" s="1700">
        <v>204.89</v>
      </c>
      <c r="DA115" s="1700">
        <v>207.75</v>
      </c>
      <c r="DB115" s="1700">
        <v>210.6</v>
      </c>
      <c r="DC115" s="1700">
        <v>213.45</v>
      </c>
      <c r="DD115" s="1700">
        <v>216.3</v>
      </c>
      <c r="DE115" s="1700">
        <v>219.16</v>
      </c>
      <c r="DF115" s="1700">
        <v>222.01</v>
      </c>
      <c r="DG115" s="1700">
        <v>224.68</v>
      </c>
      <c r="DH115" s="1700">
        <v>227.72</v>
      </c>
      <c r="DI115" s="1700">
        <v>230.57</v>
      </c>
      <c r="DJ115" s="1700">
        <v>233.42</v>
      </c>
      <c r="DK115" s="1700">
        <v>236.27</v>
      </c>
      <c r="DL115" s="1700">
        <v>239.13</v>
      </c>
      <c r="DM115" s="1700">
        <v>241.98</v>
      </c>
      <c r="DN115" s="1700">
        <v>244.83</v>
      </c>
      <c r="DO115" s="1700">
        <v>247.68</v>
      </c>
      <c r="DP115" s="1700">
        <v>250.54</v>
      </c>
      <c r="DQ115" s="1700">
        <v>253.39</v>
      </c>
      <c r="DR115" s="1700">
        <v>256.24</v>
      </c>
      <c r="DS115" s="1700"/>
      <c r="DT115" s="1700"/>
      <c r="DU115" s="1700"/>
      <c r="DV115" s="1700"/>
      <c r="DW115" s="1700"/>
      <c r="DX115" s="1700"/>
    </row>
    <row r="116" spans="1:128">
      <c r="A116" s="1622"/>
      <c r="B116" s="1691">
        <f t="shared" si="9"/>
        <v>112</v>
      </c>
      <c r="C116" s="1668" t="str">
        <f t="shared" si="6"/>
        <v>301</v>
      </c>
      <c r="D116" s="1672">
        <f t="shared" si="7"/>
        <v>421.4</v>
      </c>
      <c r="E116" s="1670"/>
      <c r="F116" s="1671" t="str">
        <f t="shared" si="8"/>
        <v>189.18</v>
      </c>
      <c r="G116" s="1672">
        <f t="shared" si="5"/>
        <v>264.85000000000002</v>
      </c>
      <c r="H116" s="1670"/>
      <c r="I116" s="1670"/>
      <c r="J116" s="1708">
        <v>112</v>
      </c>
      <c r="K116" s="1693">
        <v>219.46</v>
      </c>
      <c r="L116" s="1693">
        <v>223.54</v>
      </c>
      <c r="M116" s="1693">
        <v>227.61</v>
      </c>
      <c r="N116" s="1693">
        <v>231.69</v>
      </c>
      <c r="O116" s="1693">
        <v>235.77</v>
      </c>
      <c r="P116" s="1694">
        <v>239.84</v>
      </c>
      <c r="Q116" s="1694">
        <v>243.92</v>
      </c>
      <c r="R116" s="1694">
        <v>248</v>
      </c>
      <c r="S116" s="1695">
        <v>252.08</v>
      </c>
      <c r="T116" s="1696">
        <v>256.14999999999998</v>
      </c>
      <c r="U116" s="1696">
        <v>260.23</v>
      </c>
      <c r="V116" s="1695">
        <v>264.31</v>
      </c>
      <c r="W116" s="1695">
        <v>268.38</v>
      </c>
      <c r="X116" s="1695">
        <v>272.45999999999998</v>
      </c>
      <c r="Y116" s="1697">
        <v>276.54000000000002</v>
      </c>
      <c r="Z116" s="1698">
        <v>280.61</v>
      </c>
      <c r="AA116" s="1699">
        <v>284.69</v>
      </c>
      <c r="AB116" s="1699">
        <v>288.77</v>
      </c>
      <c r="AC116" s="1699">
        <v>292.83999999999997</v>
      </c>
      <c r="AD116" s="1699">
        <v>296.92</v>
      </c>
      <c r="AE116" s="1699">
        <v>301</v>
      </c>
      <c r="AF116" s="1683">
        <v>248.17</v>
      </c>
      <c r="AG116" s="1683">
        <v>252.24</v>
      </c>
      <c r="AH116" s="1683">
        <v>256.32</v>
      </c>
      <c r="AI116" s="1683">
        <v>260.39999999999998</v>
      </c>
      <c r="AJ116" s="1701">
        <v>264.48</v>
      </c>
      <c r="AK116" s="1701">
        <v>268.55</v>
      </c>
      <c r="AL116" s="1701">
        <v>272.63</v>
      </c>
      <c r="AM116" s="1701">
        <v>276.70999999999998</v>
      </c>
      <c r="AN116" s="1701">
        <v>280.77999999999997</v>
      </c>
      <c r="AO116" s="1702">
        <v>284.86</v>
      </c>
      <c r="AP116" s="1700">
        <v>288.94</v>
      </c>
      <c r="AQ116" s="1700">
        <v>293.01</v>
      </c>
      <c r="AR116" s="1700">
        <v>297.08999999999997</v>
      </c>
      <c r="AS116" s="1700">
        <v>301.17</v>
      </c>
      <c r="AT116" s="1683">
        <v>305.24</v>
      </c>
      <c r="AU116" s="1700">
        <v>309.32</v>
      </c>
      <c r="AV116" s="1683">
        <v>313.39999999999998</v>
      </c>
      <c r="AW116" s="1683">
        <v>317.47000000000003</v>
      </c>
      <c r="AX116" s="1683">
        <v>321.55</v>
      </c>
      <c r="AY116" s="1683">
        <v>325.63</v>
      </c>
      <c r="AZ116" s="1683">
        <v>329.7</v>
      </c>
      <c r="BA116" s="1683">
        <v>333.78</v>
      </c>
      <c r="BB116" s="1700">
        <v>337.86</v>
      </c>
      <c r="BC116" s="1683">
        <v>341.93</v>
      </c>
      <c r="BD116" s="1683">
        <v>346.01</v>
      </c>
      <c r="BE116" s="1683">
        <v>350.09</v>
      </c>
      <c r="BF116" s="1683">
        <v>354.16</v>
      </c>
      <c r="BG116" s="1683">
        <v>358.24</v>
      </c>
      <c r="BH116" s="1683">
        <v>362.32</v>
      </c>
      <c r="BI116" s="1683">
        <v>366.4</v>
      </c>
      <c r="BJ116" s="1683">
        <v>370.47</v>
      </c>
      <c r="BK116" s="1683">
        <v>374.55</v>
      </c>
      <c r="BL116" s="1683">
        <v>378.63</v>
      </c>
      <c r="BM116" s="1683">
        <v>382.7</v>
      </c>
      <c r="BN116" s="1683"/>
      <c r="BO116" s="1703">
        <v>112</v>
      </c>
      <c r="BP116" s="1693">
        <v>131.61000000000001</v>
      </c>
      <c r="BQ116" s="1693">
        <v>134.49</v>
      </c>
      <c r="BR116" s="1693">
        <v>137.37</v>
      </c>
      <c r="BS116" s="1693">
        <v>140.25</v>
      </c>
      <c r="BT116" s="1693">
        <v>143.13</v>
      </c>
      <c r="BU116" s="1694">
        <v>146.01</v>
      </c>
      <c r="BV116" s="1694">
        <v>148.88</v>
      </c>
      <c r="BW116" s="1694">
        <v>151.76</v>
      </c>
      <c r="BX116" s="1695">
        <v>154.63999999999999</v>
      </c>
      <c r="BY116" s="1696">
        <v>157.52000000000001</v>
      </c>
      <c r="BZ116" s="1696">
        <v>160.4</v>
      </c>
      <c r="CA116" s="1695">
        <v>163.28</v>
      </c>
      <c r="CB116" s="1695">
        <v>166.15</v>
      </c>
      <c r="CC116" s="1704">
        <v>169.03</v>
      </c>
      <c r="CD116" s="1697">
        <v>171.91</v>
      </c>
      <c r="CE116" s="1698">
        <v>174.79</v>
      </c>
      <c r="CF116" s="1699">
        <v>177.67</v>
      </c>
      <c r="CG116" s="1699">
        <v>180.55</v>
      </c>
      <c r="CH116" s="1699">
        <v>183.43</v>
      </c>
      <c r="CI116" s="1699">
        <v>186.3</v>
      </c>
      <c r="CJ116" s="1699">
        <v>189.18</v>
      </c>
      <c r="CK116" s="1700">
        <v>163.56</v>
      </c>
      <c r="CL116" s="1700">
        <v>166.44</v>
      </c>
      <c r="CM116" s="1700">
        <v>169.32</v>
      </c>
      <c r="CN116" s="1700">
        <v>172.2</v>
      </c>
      <c r="CO116" s="1705">
        <v>175.07</v>
      </c>
      <c r="CP116" s="1706">
        <v>177.95</v>
      </c>
      <c r="CQ116" s="1701">
        <v>180.83</v>
      </c>
      <c r="CR116" s="1701">
        <v>183.71</v>
      </c>
      <c r="CS116" s="1707">
        <v>186.59</v>
      </c>
      <c r="CT116" s="1700">
        <v>189.47</v>
      </c>
      <c r="CU116" s="1700">
        <v>192.34</v>
      </c>
      <c r="CV116" s="1700">
        <v>195.22</v>
      </c>
      <c r="CW116" s="1700">
        <v>198.1</v>
      </c>
      <c r="CX116" s="1700">
        <v>200.98</v>
      </c>
      <c r="CY116" s="1700">
        <v>203.86</v>
      </c>
      <c r="CZ116" s="1700">
        <v>206.74</v>
      </c>
      <c r="DA116" s="1700">
        <v>209.61</v>
      </c>
      <c r="DB116" s="1700">
        <v>212.49</v>
      </c>
      <c r="DC116" s="1700">
        <v>215.37</v>
      </c>
      <c r="DD116" s="1700">
        <v>218.25</v>
      </c>
      <c r="DE116" s="1700">
        <v>221.13</v>
      </c>
      <c r="DF116" s="1700">
        <v>224.01</v>
      </c>
      <c r="DG116" s="1700">
        <v>226.88</v>
      </c>
      <c r="DH116" s="1700">
        <v>229.76</v>
      </c>
      <c r="DI116" s="1700">
        <v>232.64</v>
      </c>
      <c r="DJ116" s="1700">
        <v>235.52</v>
      </c>
      <c r="DK116" s="1700">
        <v>238.4</v>
      </c>
      <c r="DL116" s="1700">
        <v>241.28</v>
      </c>
      <c r="DM116" s="1700">
        <v>244.16</v>
      </c>
      <c r="DN116" s="1700">
        <v>247.03</v>
      </c>
      <c r="DO116" s="1700">
        <v>249.91</v>
      </c>
      <c r="DP116" s="1700">
        <v>252.79</v>
      </c>
      <c r="DQ116" s="1700">
        <v>255.67</v>
      </c>
      <c r="DR116" s="1700">
        <v>258.55</v>
      </c>
      <c r="DS116" s="1700"/>
      <c r="DT116" s="1700"/>
      <c r="DU116" s="1700"/>
      <c r="DV116" s="1700"/>
      <c r="DW116" s="1700"/>
      <c r="DX116" s="1700"/>
    </row>
    <row r="117" spans="1:128">
      <c r="A117" s="1622"/>
      <c r="B117" s="1691">
        <f t="shared" si="9"/>
        <v>113</v>
      </c>
      <c r="C117" s="1668" t="str">
        <f t="shared" si="6"/>
        <v>303.66</v>
      </c>
      <c r="D117" s="1672">
        <f t="shared" si="7"/>
        <v>425.12</v>
      </c>
      <c r="E117" s="1670"/>
      <c r="F117" s="1671" t="str">
        <f t="shared" si="8"/>
        <v>190.87</v>
      </c>
      <c r="G117" s="1672">
        <f t="shared" si="5"/>
        <v>267.22000000000003</v>
      </c>
      <c r="H117" s="1670"/>
      <c r="I117" s="1670"/>
      <c r="J117" s="1708">
        <v>113</v>
      </c>
      <c r="K117" s="1693">
        <v>221.4</v>
      </c>
      <c r="L117" s="1693">
        <v>225.51</v>
      </c>
      <c r="M117" s="1693">
        <v>229.62</v>
      </c>
      <c r="N117" s="1693">
        <v>233.74</v>
      </c>
      <c r="O117" s="1693">
        <v>237.85</v>
      </c>
      <c r="P117" s="1694">
        <v>241.96</v>
      </c>
      <c r="Q117" s="1694">
        <v>246.07</v>
      </c>
      <c r="R117" s="1694">
        <v>250.19</v>
      </c>
      <c r="S117" s="1695">
        <v>254.3</v>
      </c>
      <c r="T117" s="1696">
        <v>258.41000000000003</v>
      </c>
      <c r="U117" s="1696">
        <v>262.52999999999997</v>
      </c>
      <c r="V117" s="1695">
        <v>266.64</v>
      </c>
      <c r="W117" s="1695">
        <v>270.75</v>
      </c>
      <c r="X117" s="1695">
        <v>274.87</v>
      </c>
      <c r="Y117" s="1697">
        <v>278.98</v>
      </c>
      <c r="Z117" s="1698">
        <v>283.08999999999997</v>
      </c>
      <c r="AA117" s="1699">
        <v>287.20999999999998</v>
      </c>
      <c r="AB117" s="1699">
        <v>291.32</v>
      </c>
      <c r="AC117" s="1699">
        <v>295.43</v>
      </c>
      <c r="AD117" s="1699">
        <v>299.55</v>
      </c>
      <c r="AE117" s="1699">
        <v>303.66000000000003</v>
      </c>
      <c r="AF117" s="1700">
        <v>250.37</v>
      </c>
      <c r="AG117" s="1700">
        <v>254.48</v>
      </c>
      <c r="AH117" s="1700">
        <v>258.60000000000002</v>
      </c>
      <c r="AI117" s="1700">
        <v>262.70999999999998</v>
      </c>
      <c r="AJ117" s="1701">
        <v>266.82</v>
      </c>
      <c r="AK117" s="1701">
        <v>270.94</v>
      </c>
      <c r="AL117" s="1701">
        <v>275.05</v>
      </c>
      <c r="AM117" s="1701">
        <v>279.16000000000003</v>
      </c>
      <c r="AN117" s="1701">
        <v>283.27999999999997</v>
      </c>
      <c r="AO117" s="1702">
        <v>287.39</v>
      </c>
      <c r="AP117" s="1700">
        <v>291.5</v>
      </c>
      <c r="AQ117" s="1700">
        <v>295.61</v>
      </c>
      <c r="AR117" s="1683">
        <v>299.73</v>
      </c>
      <c r="AS117" s="1700">
        <v>303.83999999999997</v>
      </c>
      <c r="AT117" s="1700">
        <v>307.95</v>
      </c>
      <c r="AU117" s="1700">
        <v>312.07</v>
      </c>
      <c r="AV117" s="1700">
        <v>316.18</v>
      </c>
      <c r="AW117" s="1700">
        <v>320.29000000000002</v>
      </c>
      <c r="AX117" s="1700">
        <v>324.41000000000003</v>
      </c>
      <c r="AY117" s="1700">
        <v>328.52</v>
      </c>
      <c r="AZ117" s="1700">
        <v>332.63</v>
      </c>
      <c r="BA117" s="1700">
        <v>336.75</v>
      </c>
      <c r="BB117" s="1700">
        <v>340.86</v>
      </c>
      <c r="BC117" s="1700">
        <v>344.97</v>
      </c>
      <c r="BD117" s="1700">
        <v>349.09</v>
      </c>
      <c r="BE117" s="1700">
        <v>353.2</v>
      </c>
      <c r="BF117" s="1700">
        <v>357.31</v>
      </c>
      <c r="BG117" s="1700">
        <v>361.43</v>
      </c>
      <c r="BH117" s="1700">
        <v>365.54</v>
      </c>
      <c r="BI117" s="1700">
        <v>369.65</v>
      </c>
      <c r="BJ117" s="1700">
        <v>373.77</v>
      </c>
      <c r="BK117" s="1700">
        <v>377.88</v>
      </c>
      <c r="BL117" s="1700">
        <v>381.99</v>
      </c>
      <c r="BM117" s="1700">
        <v>386.11</v>
      </c>
      <c r="BN117" s="1700"/>
      <c r="BO117" s="1703">
        <v>113</v>
      </c>
      <c r="BP117" s="1693">
        <v>132.78</v>
      </c>
      <c r="BQ117" s="1693">
        <v>135.69</v>
      </c>
      <c r="BR117" s="1693">
        <v>138.59</v>
      </c>
      <c r="BS117" s="1693">
        <v>141.5</v>
      </c>
      <c r="BT117" s="1693">
        <v>144.4</v>
      </c>
      <c r="BU117" s="1694">
        <v>147.31</v>
      </c>
      <c r="BV117" s="1694">
        <v>150.21</v>
      </c>
      <c r="BW117" s="1694">
        <v>153.11000000000001</v>
      </c>
      <c r="BX117" s="1695">
        <v>156.02000000000001</v>
      </c>
      <c r="BY117" s="1696">
        <v>158.91999999999999</v>
      </c>
      <c r="BZ117" s="1696">
        <v>161.83000000000001</v>
      </c>
      <c r="CA117" s="1695">
        <v>164.73</v>
      </c>
      <c r="CB117" s="1695">
        <v>167.63</v>
      </c>
      <c r="CC117" s="1704">
        <v>170.54</v>
      </c>
      <c r="CD117" s="1697">
        <v>173.44</v>
      </c>
      <c r="CE117" s="1698">
        <v>176.35</v>
      </c>
      <c r="CF117" s="1699">
        <v>179.25</v>
      </c>
      <c r="CG117" s="1699">
        <v>182.15</v>
      </c>
      <c r="CH117" s="1699">
        <v>185.06</v>
      </c>
      <c r="CI117" s="1699">
        <v>187.96</v>
      </c>
      <c r="CJ117" s="1699">
        <v>190.87</v>
      </c>
      <c r="CK117" s="1700">
        <v>165.02</v>
      </c>
      <c r="CL117" s="1700">
        <v>167.92</v>
      </c>
      <c r="CM117" s="1700">
        <v>170.83</v>
      </c>
      <c r="CN117" s="1700">
        <v>173.73</v>
      </c>
      <c r="CO117" s="1705">
        <v>176.63</v>
      </c>
      <c r="CP117" s="1706">
        <v>179.54</v>
      </c>
      <c r="CQ117" s="1701">
        <v>182.44</v>
      </c>
      <c r="CR117" s="1701">
        <v>185.35</v>
      </c>
      <c r="CS117" s="1707">
        <v>188.25</v>
      </c>
      <c r="CT117" s="1700">
        <v>191.15</v>
      </c>
      <c r="CU117" s="1700">
        <v>194.06</v>
      </c>
      <c r="CV117" s="1700">
        <v>196.96</v>
      </c>
      <c r="CW117" s="1700">
        <v>199.87</v>
      </c>
      <c r="CX117" s="1700">
        <v>202.77</v>
      </c>
      <c r="CY117" s="1700">
        <v>205.68</v>
      </c>
      <c r="CZ117" s="1700">
        <v>208.58</v>
      </c>
      <c r="DA117" s="1700">
        <v>211.48</v>
      </c>
      <c r="DB117" s="1700">
        <v>214.39</v>
      </c>
      <c r="DC117" s="1700">
        <v>217.29</v>
      </c>
      <c r="DD117" s="1700">
        <v>220.2</v>
      </c>
      <c r="DE117" s="1700">
        <v>223.1</v>
      </c>
      <c r="DF117" s="1700">
        <v>226</v>
      </c>
      <c r="DG117" s="1700">
        <v>228.91</v>
      </c>
      <c r="DH117" s="1700">
        <v>231.81</v>
      </c>
      <c r="DI117" s="1700">
        <v>234.72</v>
      </c>
      <c r="DJ117" s="1700">
        <v>237.62</v>
      </c>
      <c r="DK117" s="1700">
        <v>240.52</v>
      </c>
      <c r="DL117" s="1700">
        <v>243.43</v>
      </c>
      <c r="DM117" s="1700">
        <v>246.33</v>
      </c>
      <c r="DN117" s="1700">
        <v>249.24</v>
      </c>
      <c r="DO117" s="1700">
        <v>252.14</v>
      </c>
      <c r="DP117" s="1700">
        <v>255.04</v>
      </c>
      <c r="DQ117" s="1700">
        <v>257.95</v>
      </c>
      <c r="DR117" s="1700">
        <v>260.85000000000002</v>
      </c>
      <c r="DS117" s="1700"/>
      <c r="DT117" s="1700"/>
      <c r="DU117" s="1700"/>
      <c r="DV117" s="1700"/>
      <c r="DW117" s="1700"/>
      <c r="DX117" s="1700"/>
    </row>
    <row r="118" spans="1:128">
      <c r="A118" s="1622"/>
      <c r="B118" s="1691">
        <f t="shared" si="9"/>
        <v>114</v>
      </c>
      <c r="C118" s="1668" t="str">
        <f t="shared" si="6"/>
        <v>306.33</v>
      </c>
      <c r="D118" s="1672">
        <f t="shared" si="7"/>
        <v>428.86</v>
      </c>
      <c r="E118" s="1670"/>
      <c r="F118" s="1671" t="str">
        <f t="shared" si="8"/>
        <v>192.55</v>
      </c>
      <c r="G118" s="1672">
        <f t="shared" si="5"/>
        <v>269.57</v>
      </c>
      <c r="H118" s="1670"/>
      <c r="I118" s="1670"/>
      <c r="J118" s="1708">
        <v>114</v>
      </c>
      <c r="K118" s="1693">
        <v>223.34</v>
      </c>
      <c r="L118" s="1693">
        <v>227.49</v>
      </c>
      <c r="M118" s="1693">
        <v>231.64</v>
      </c>
      <c r="N118" s="1693">
        <v>235.79</v>
      </c>
      <c r="O118" s="1693">
        <v>239.94</v>
      </c>
      <c r="P118" s="1694">
        <v>244.09</v>
      </c>
      <c r="Q118" s="1694">
        <v>248.24</v>
      </c>
      <c r="R118" s="1694">
        <v>252.38</v>
      </c>
      <c r="S118" s="1695">
        <v>256.52999999999997</v>
      </c>
      <c r="T118" s="1696">
        <v>260.68</v>
      </c>
      <c r="U118" s="1696">
        <v>264.83</v>
      </c>
      <c r="V118" s="1695">
        <v>268.98</v>
      </c>
      <c r="W118" s="1695">
        <v>273.13</v>
      </c>
      <c r="X118" s="1695">
        <v>277.27999999999997</v>
      </c>
      <c r="Y118" s="1697">
        <v>281.43</v>
      </c>
      <c r="Z118" s="1698">
        <v>285.58</v>
      </c>
      <c r="AA118" s="1699">
        <v>289.73</v>
      </c>
      <c r="AB118" s="1699">
        <v>293.88</v>
      </c>
      <c r="AC118" s="1699">
        <v>298.02999999999997</v>
      </c>
      <c r="AD118" s="1699">
        <v>302.18</v>
      </c>
      <c r="AE118" s="1699">
        <v>306.33</v>
      </c>
      <c r="AF118" s="1700">
        <v>252.57</v>
      </c>
      <c r="AG118" s="1700">
        <v>256.72000000000003</v>
      </c>
      <c r="AH118" s="1700">
        <v>260.87</v>
      </c>
      <c r="AI118" s="1700">
        <v>265.02</v>
      </c>
      <c r="AJ118" s="1701">
        <v>269.17</v>
      </c>
      <c r="AK118" s="1701">
        <v>273.32</v>
      </c>
      <c r="AL118" s="1701">
        <v>277.47000000000003</v>
      </c>
      <c r="AM118" s="1701">
        <v>281.62</v>
      </c>
      <c r="AN118" s="1701">
        <v>285.77</v>
      </c>
      <c r="AO118" s="1702">
        <v>289.92</v>
      </c>
      <c r="AP118" s="1700">
        <v>294.07</v>
      </c>
      <c r="AQ118" s="1700">
        <v>298.22000000000003</v>
      </c>
      <c r="AR118" s="1700">
        <v>302.37</v>
      </c>
      <c r="AS118" s="1700">
        <v>306.52</v>
      </c>
      <c r="AT118" s="1700">
        <v>310.67</v>
      </c>
      <c r="AU118" s="1700">
        <v>314.82</v>
      </c>
      <c r="AV118" s="1700">
        <v>318.97000000000003</v>
      </c>
      <c r="AW118" s="1700">
        <v>323.12</v>
      </c>
      <c r="AX118" s="1700">
        <v>327.27</v>
      </c>
      <c r="AY118" s="1700">
        <v>331.42</v>
      </c>
      <c r="AZ118" s="1700">
        <v>335.57</v>
      </c>
      <c r="BA118" s="1700">
        <v>339.72</v>
      </c>
      <c r="BB118" s="1683">
        <v>343.87</v>
      </c>
      <c r="BC118" s="1700">
        <v>348.02</v>
      </c>
      <c r="BD118" s="1700">
        <v>352.17</v>
      </c>
      <c r="BE118" s="1700">
        <v>356.31</v>
      </c>
      <c r="BF118" s="1700">
        <v>360.46</v>
      </c>
      <c r="BG118" s="1700">
        <v>364.61</v>
      </c>
      <c r="BH118" s="1700">
        <v>368.76</v>
      </c>
      <c r="BI118" s="1700">
        <v>372.91</v>
      </c>
      <c r="BJ118" s="1700">
        <v>377.06</v>
      </c>
      <c r="BK118" s="1700">
        <v>381.21</v>
      </c>
      <c r="BL118" s="1700">
        <v>385.36</v>
      </c>
      <c r="BM118" s="1700">
        <v>389.51</v>
      </c>
      <c r="BN118" s="1700"/>
      <c r="BO118" s="1703">
        <v>114</v>
      </c>
      <c r="BP118" s="1693">
        <v>133.96</v>
      </c>
      <c r="BQ118" s="1693">
        <v>136.88999999999999</v>
      </c>
      <c r="BR118" s="1693">
        <v>139.82</v>
      </c>
      <c r="BS118" s="1693">
        <v>142.75</v>
      </c>
      <c r="BT118" s="1693">
        <v>145.68</v>
      </c>
      <c r="BU118" s="1694">
        <v>148.61000000000001</v>
      </c>
      <c r="BV118" s="1694">
        <v>151.54</v>
      </c>
      <c r="BW118" s="1694">
        <v>154.47</v>
      </c>
      <c r="BX118" s="1695">
        <v>157.4</v>
      </c>
      <c r="BY118" s="1696">
        <v>160.33000000000001</v>
      </c>
      <c r="BZ118" s="1696">
        <v>163.26</v>
      </c>
      <c r="CA118" s="1695">
        <v>166.19</v>
      </c>
      <c r="CB118" s="1695">
        <v>169.12</v>
      </c>
      <c r="CC118" s="1704">
        <v>172.05</v>
      </c>
      <c r="CD118" s="1697">
        <v>174.98</v>
      </c>
      <c r="CE118" s="1698">
        <v>177.91</v>
      </c>
      <c r="CF118" s="1699">
        <v>180.83</v>
      </c>
      <c r="CG118" s="1699">
        <v>183.76</v>
      </c>
      <c r="CH118" s="1699">
        <v>186.69</v>
      </c>
      <c r="CI118" s="1699">
        <v>189.62</v>
      </c>
      <c r="CJ118" s="1699">
        <v>192.55</v>
      </c>
      <c r="CK118" s="1700">
        <v>166.48</v>
      </c>
      <c r="CL118" s="1700">
        <v>169.41</v>
      </c>
      <c r="CM118" s="1700">
        <v>172.34</v>
      </c>
      <c r="CN118" s="1700">
        <v>175.27</v>
      </c>
      <c r="CO118" s="1705">
        <v>178.2</v>
      </c>
      <c r="CP118" s="1706">
        <v>181.13</v>
      </c>
      <c r="CQ118" s="1701">
        <v>184.06</v>
      </c>
      <c r="CR118" s="1701">
        <v>186.99</v>
      </c>
      <c r="CS118" s="1707">
        <v>189.92</v>
      </c>
      <c r="CT118" s="1700">
        <v>192.85</v>
      </c>
      <c r="CU118" s="1700">
        <v>195.77</v>
      </c>
      <c r="CV118" s="1700">
        <v>198.7</v>
      </c>
      <c r="CW118" s="1700">
        <v>201.63</v>
      </c>
      <c r="CX118" s="1700">
        <v>204.65</v>
      </c>
      <c r="CY118" s="1700">
        <v>207.49</v>
      </c>
      <c r="CZ118" s="1700">
        <v>210.42</v>
      </c>
      <c r="DA118" s="1700">
        <v>213.35</v>
      </c>
      <c r="DB118" s="1700">
        <v>216.28</v>
      </c>
      <c r="DC118" s="1700">
        <v>219.21</v>
      </c>
      <c r="DD118" s="1700">
        <v>222.14</v>
      </c>
      <c r="DE118" s="1700">
        <v>225.07</v>
      </c>
      <c r="DF118" s="1700">
        <v>228</v>
      </c>
      <c r="DG118" s="1700">
        <v>230.93</v>
      </c>
      <c r="DH118" s="1700">
        <v>233.86</v>
      </c>
      <c r="DI118" s="1700">
        <v>236.79</v>
      </c>
      <c r="DJ118" s="1700">
        <v>239.72</v>
      </c>
      <c r="DK118" s="1700">
        <v>242.65</v>
      </c>
      <c r="DL118" s="1700">
        <v>245.58</v>
      </c>
      <c r="DM118" s="1700">
        <v>248.51</v>
      </c>
      <c r="DN118" s="1700">
        <v>251.44</v>
      </c>
      <c r="DO118" s="1700">
        <v>254.37</v>
      </c>
      <c r="DP118" s="1700">
        <v>257.3</v>
      </c>
      <c r="DQ118" s="1700">
        <v>260.23</v>
      </c>
      <c r="DR118" s="1700">
        <v>263.16000000000003</v>
      </c>
      <c r="DS118" s="1700"/>
      <c r="DT118" s="1700"/>
      <c r="DU118" s="1700"/>
      <c r="DV118" s="1700"/>
      <c r="DW118" s="1700"/>
      <c r="DX118" s="1700"/>
    </row>
    <row r="119" spans="1:128">
      <c r="A119" s="1622"/>
      <c r="B119" s="1691">
        <f t="shared" si="9"/>
        <v>115</v>
      </c>
      <c r="C119" s="1668" t="str">
        <f t="shared" si="6"/>
        <v>309.01</v>
      </c>
      <c r="D119" s="1672">
        <f t="shared" si="7"/>
        <v>432.61</v>
      </c>
      <c r="E119" s="1670"/>
      <c r="F119" s="1671" t="str">
        <f t="shared" si="8"/>
        <v>194.24</v>
      </c>
      <c r="G119" s="1672">
        <f t="shared" si="5"/>
        <v>271.94</v>
      </c>
      <c r="H119" s="1670"/>
      <c r="I119" s="1670"/>
      <c r="J119" s="1708">
        <v>115</v>
      </c>
      <c r="K119" s="1693">
        <v>225.29</v>
      </c>
      <c r="L119" s="1693">
        <v>229.47</v>
      </c>
      <c r="M119" s="1693">
        <v>233.66</v>
      </c>
      <c r="N119" s="1693">
        <v>237.84</v>
      </c>
      <c r="O119" s="1693">
        <v>242.03</v>
      </c>
      <c r="P119" s="1694">
        <v>246.22</v>
      </c>
      <c r="Q119" s="1694">
        <v>250.4</v>
      </c>
      <c r="R119" s="1694">
        <v>254.59</v>
      </c>
      <c r="S119" s="1695">
        <v>258.77</v>
      </c>
      <c r="T119" s="1696">
        <v>262.95999999999998</v>
      </c>
      <c r="U119" s="1696">
        <v>267.14999999999998</v>
      </c>
      <c r="V119" s="1695">
        <v>271.33</v>
      </c>
      <c r="W119" s="1695">
        <v>275.52</v>
      </c>
      <c r="X119" s="1695">
        <v>279.7</v>
      </c>
      <c r="Y119" s="1697">
        <v>283.89</v>
      </c>
      <c r="Z119" s="1698">
        <v>288.08</v>
      </c>
      <c r="AA119" s="1699">
        <v>292.26</v>
      </c>
      <c r="AB119" s="1699">
        <v>296.45</v>
      </c>
      <c r="AC119" s="1699">
        <v>300.63</v>
      </c>
      <c r="AD119" s="1699">
        <v>304.82</v>
      </c>
      <c r="AE119" s="1699">
        <v>309.01</v>
      </c>
      <c r="AF119" s="1683">
        <v>254.78</v>
      </c>
      <c r="AG119" s="1683">
        <v>258.97000000000003</v>
      </c>
      <c r="AH119" s="1683">
        <v>263.16000000000003</v>
      </c>
      <c r="AI119" s="1683">
        <v>267.33999999999997</v>
      </c>
      <c r="AJ119" s="1701">
        <v>271.52999999999997</v>
      </c>
      <c r="AK119" s="1701">
        <v>275.70999999999998</v>
      </c>
      <c r="AL119" s="1701">
        <v>279.89999999999998</v>
      </c>
      <c r="AM119" s="1701">
        <v>284.08999999999997</v>
      </c>
      <c r="AN119" s="1701">
        <v>288.27</v>
      </c>
      <c r="AO119" s="1702">
        <v>292.45999999999998</v>
      </c>
      <c r="AP119" s="1700">
        <v>296.64</v>
      </c>
      <c r="AQ119" s="1700">
        <v>300.83</v>
      </c>
      <c r="AR119" s="1683">
        <v>305.02</v>
      </c>
      <c r="AS119" s="1700">
        <v>309.2</v>
      </c>
      <c r="AT119" s="1683">
        <v>313.39</v>
      </c>
      <c r="AU119" s="1700">
        <v>317.57</v>
      </c>
      <c r="AV119" s="1683">
        <v>321.76</v>
      </c>
      <c r="AW119" s="1683">
        <v>325.95</v>
      </c>
      <c r="AX119" s="1683">
        <v>330.13</v>
      </c>
      <c r="AY119" s="1683">
        <v>334.32</v>
      </c>
      <c r="AZ119" s="1683">
        <v>338.5</v>
      </c>
      <c r="BA119" s="1683">
        <v>342.69</v>
      </c>
      <c r="BB119" s="1700">
        <v>346.88</v>
      </c>
      <c r="BC119" s="1683">
        <v>351.06</v>
      </c>
      <c r="BD119" s="1683">
        <v>355.25</v>
      </c>
      <c r="BE119" s="1683">
        <v>359.43</v>
      </c>
      <c r="BF119" s="1683">
        <v>363.62</v>
      </c>
      <c r="BG119" s="1683">
        <v>367.81</v>
      </c>
      <c r="BH119" s="1683">
        <v>371.99</v>
      </c>
      <c r="BI119" s="1683">
        <v>376.18</v>
      </c>
      <c r="BJ119" s="1683">
        <v>380.36</v>
      </c>
      <c r="BK119" s="1683">
        <v>384.55</v>
      </c>
      <c r="BL119" s="1683">
        <v>388.74</v>
      </c>
      <c r="BM119" s="1683">
        <v>392.92</v>
      </c>
      <c r="BN119" s="1683"/>
      <c r="BO119" s="1703">
        <v>115</v>
      </c>
      <c r="BP119" s="1693">
        <v>135.13</v>
      </c>
      <c r="BQ119" s="1693">
        <v>138.09</v>
      </c>
      <c r="BR119" s="1693">
        <v>141.04</v>
      </c>
      <c r="BS119" s="1693">
        <v>144</v>
      </c>
      <c r="BT119" s="1693">
        <v>146.6</v>
      </c>
      <c r="BU119" s="1694">
        <v>149.91</v>
      </c>
      <c r="BV119" s="1694">
        <v>152.87</v>
      </c>
      <c r="BW119" s="1694">
        <v>155.82</v>
      </c>
      <c r="BX119" s="1695">
        <v>158.78</v>
      </c>
      <c r="BY119" s="1696">
        <v>161.72999999999999</v>
      </c>
      <c r="BZ119" s="1696">
        <v>164.69</v>
      </c>
      <c r="CA119" s="1695">
        <v>167.64</v>
      </c>
      <c r="CB119" s="1695">
        <v>170.6</v>
      </c>
      <c r="CC119" s="1704">
        <v>173.55</v>
      </c>
      <c r="CD119" s="1697">
        <v>176.51</v>
      </c>
      <c r="CE119" s="1698">
        <v>179.47</v>
      </c>
      <c r="CF119" s="1699">
        <v>182.42</v>
      </c>
      <c r="CG119" s="1699">
        <v>185.38</v>
      </c>
      <c r="CH119" s="1699">
        <v>188.33</v>
      </c>
      <c r="CI119" s="1699">
        <v>191.29</v>
      </c>
      <c r="CJ119" s="1699">
        <v>194.24</v>
      </c>
      <c r="CK119" s="1700">
        <v>167.94</v>
      </c>
      <c r="CL119" s="1700">
        <v>170.89</v>
      </c>
      <c r="CM119" s="1700">
        <v>173.85</v>
      </c>
      <c r="CN119" s="1700">
        <v>176.8</v>
      </c>
      <c r="CO119" s="1705">
        <v>179.76</v>
      </c>
      <c r="CP119" s="1706">
        <v>182.71</v>
      </c>
      <c r="CQ119" s="1701">
        <v>185.67</v>
      </c>
      <c r="CR119" s="1701">
        <v>188.63</v>
      </c>
      <c r="CS119" s="1707">
        <v>191.58</v>
      </c>
      <c r="CT119" s="1700">
        <v>194.54</v>
      </c>
      <c r="CU119" s="1700">
        <v>197.49</v>
      </c>
      <c r="CV119" s="1700">
        <v>200.45</v>
      </c>
      <c r="CW119" s="1700">
        <v>203.4</v>
      </c>
      <c r="CX119" s="1700">
        <v>206.36</v>
      </c>
      <c r="CY119" s="1700">
        <v>209.31</v>
      </c>
      <c r="CZ119" s="1700">
        <v>212.27</v>
      </c>
      <c r="DA119" s="1700">
        <v>215.23</v>
      </c>
      <c r="DB119" s="1700">
        <v>218.18</v>
      </c>
      <c r="DC119" s="1700">
        <v>221.14</v>
      </c>
      <c r="DD119" s="1700">
        <v>224.09</v>
      </c>
      <c r="DE119" s="1700">
        <v>227.05</v>
      </c>
      <c r="DF119" s="1700">
        <v>230</v>
      </c>
      <c r="DG119" s="1700">
        <v>232.96</v>
      </c>
      <c r="DH119" s="1700">
        <v>235.91</v>
      </c>
      <c r="DI119" s="1700">
        <v>238.87</v>
      </c>
      <c r="DJ119" s="1700">
        <v>241.82</v>
      </c>
      <c r="DK119" s="1700">
        <v>244.78</v>
      </c>
      <c r="DL119" s="1700">
        <v>247.74</v>
      </c>
      <c r="DM119" s="1700">
        <v>250.69</v>
      </c>
      <c r="DN119" s="1700">
        <v>253.65</v>
      </c>
      <c r="DO119" s="1700">
        <v>256.60000000000002</v>
      </c>
      <c r="DP119" s="1700">
        <v>259.56</v>
      </c>
      <c r="DQ119" s="1700">
        <v>262.51</v>
      </c>
      <c r="DR119" s="1700">
        <v>265.47000000000003</v>
      </c>
      <c r="DS119" s="1700"/>
      <c r="DT119" s="1700"/>
      <c r="DU119" s="1700"/>
      <c r="DV119" s="1700"/>
      <c r="DW119" s="1700"/>
      <c r="DX119" s="1700"/>
    </row>
    <row r="120" spans="1:128">
      <c r="A120" s="1622"/>
      <c r="B120" s="1691">
        <f t="shared" si="9"/>
        <v>116</v>
      </c>
      <c r="C120" s="1668" t="str">
        <f t="shared" si="6"/>
        <v>311.69</v>
      </c>
      <c r="D120" s="1672">
        <f t="shared" si="7"/>
        <v>436.37</v>
      </c>
      <c r="E120" s="1670"/>
      <c r="F120" s="1671" t="str">
        <f t="shared" si="8"/>
        <v>195.93</v>
      </c>
      <c r="G120" s="1672">
        <f t="shared" si="5"/>
        <v>274.3</v>
      </c>
      <c r="H120" s="1670"/>
      <c r="I120" s="1670"/>
      <c r="J120" s="1708">
        <v>116</v>
      </c>
      <c r="K120" s="1693">
        <v>227.24</v>
      </c>
      <c r="L120" s="1693">
        <v>231.47</v>
      </c>
      <c r="M120" s="1693">
        <v>235.69</v>
      </c>
      <c r="N120" s="1693">
        <v>239.91</v>
      </c>
      <c r="O120" s="1693">
        <v>244.13</v>
      </c>
      <c r="P120" s="1694">
        <v>248.36</v>
      </c>
      <c r="Q120" s="1694">
        <v>252.58</v>
      </c>
      <c r="R120" s="1694">
        <v>256.8</v>
      </c>
      <c r="S120" s="1695">
        <v>261.02</v>
      </c>
      <c r="T120" s="1696">
        <v>265.25</v>
      </c>
      <c r="U120" s="1696">
        <v>269.47000000000003</v>
      </c>
      <c r="V120" s="1695">
        <v>273.69</v>
      </c>
      <c r="W120" s="1695">
        <v>277.91000000000003</v>
      </c>
      <c r="X120" s="1695">
        <v>282.14</v>
      </c>
      <c r="Y120" s="1697">
        <v>286.36</v>
      </c>
      <c r="Z120" s="1698">
        <v>290.58</v>
      </c>
      <c r="AA120" s="1699">
        <v>294.8</v>
      </c>
      <c r="AB120" s="1699">
        <v>299.02</v>
      </c>
      <c r="AC120" s="1699">
        <v>303.25</v>
      </c>
      <c r="AD120" s="1699">
        <v>307.47000000000003</v>
      </c>
      <c r="AE120" s="1699">
        <v>311.69</v>
      </c>
      <c r="AF120" s="1700">
        <v>257</v>
      </c>
      <c r="AG120" s="1700">
        <v>261.22000000000003</v>
      </c>
      <c r="AH120" s="1700">
        <v>265.44</v>
      </c>
      <c r="AI120" s="1700">
        <v>269.67</v>
      </c>
      <c r="AJ120" s="1701">
        <v>273.89</v>
      </c>
      <c r="AK120" s="1701">
        <v>278.11</v>
      </c>
      <c r="AL120" s="1707">
        <v>282.33</v>
      </c>
      <c r="AM120" s="1701">
        <v>286.56</v>
      </c>
      <c r="AN120" s="1701">
        <v>290.77999999999997</v>
      </c>
      <c r="AO120" s="1702">
        <v>295</v>
      </c>
      <c r="AP120" s="1700">
        <v>299.22000000000003</v>
      </c>
      <c r="AQ120" s="1700">
        <v>303.45</v>
      </c>
      <c r="AR120" s="1700">
        <v>307.67</v>
      </c>
      <c r="AS120" s="1700">
        <v>311.89</v>
      </c>
      <c r="AT120" s="1700">
        <v>316.11</v>
      </c>
      <c r="AU120" s="1700">
        <v>320.33999999999997</v>
      </c>
      <c r="AV120" s="1700">
        <v>324.56</v>
      </c>
      <c r="AW120" s="1700">
        <v>328.78</v>
      </c>
      <c r="AX120" s="1700">
        <v>333</v>
      </c>
      <c r="AY120" s="1700">
        <v>337.22</v>
      </c>
      <c r="AZ120" s="1700">
        <v>341.45</v>
      </c>
      <c r="BA120" s="1700">
        <v>345.67</v>
      </c>
      <c r="BB120" s="1700">
        <v>349.89</v>
      </c>
      <c r="BC120" s="1700">
        <v>354.11</v>
      </c>
      <c r="BD120" s="1700">
        <v>358.34</v>
      </c>
      <c r="BE120" s="1700">
        <v>362.56</v>
      </c>
      <c r="BF120" s="1700">
        <v>366.78</v>
      </c>
      <c r="BG120" s="1700">
        <v>371</v>
      </c>
      <c r="BH120" s="1700">
        <v>375.23</v>
      </c>
      <c r="BI120" s="1700">
        <v>379.45</v>
      </c>
      <c r="BJ120" s="1700">
        <v>383.67</v>
      </c>
      <c r="BK120" s="1700">
        <v>387.89</v>
      </c>
      <c r="BL120" s="1700">
        <v>392.12</v>
      </c>
      <c r="BM120" s="1700">
        <v>396.34</v>
      </c>
      <c r="BN120" s="1700"/>
      <c r="BO120" s="1703">
        <v>116</v>
      </c>
      <c r="BP120" s="1693">
        <v>136.31</v>
      </c>
      <c r="BQ120" s="1693">
        <v>139.29</v>
      </c>
      <c r="BR120" s="1693">
        <v>142.27000000000001</v>
      </c>
      <c r="BS120" s="1693">
        <v>145.25</v>
      </c>
      <c r="BT120" s="1693">
        <v>148.24</v>
      </c>
      <c r="BU120" s="1694">
        <v>151.22</v>
      </c>
      <c r="BV120" s="1694">
        <v>154.19999999999999</v>
      </c>
      <c r="BW120" s="1694">
        <v>157.18</v>
      </c>
      <c r="BX120" s="1695">
        <v>160.16</v>
      </c>
      <c r="BY120" s="1696">
        <v>163.13999999999999</v>
      </c>
      <c r="BZ120" s="1696">
        <v>166.12</v>
      </c>
      <c r="CA120" s="1695">
        <v>169.1</v>
      </c>
      <c r="CB120" s="1695">
        <v>172.08</v>
      </c>
      <c r="CC120" s="1704">
        <v>175.07</v>
      </c>
      <c r="CD120" s="1697">
        <v>178.05</v>
      </c>
      <c r="CE120" s="1698">
        <v>181.03</v>
      </c>
      <c r="CF120" s="1699">
        <v>184.01</v>
      </c>
      <c r="CG120" s="1699">
        <v>186.99</v>
      </c>
      <c r="CH120" s="1699">
        <v>189.97</v>
      </c>
      <c r="CI120" s="1699">
        <v>192.95</v>
      </c>
      <c r="CJ120" s="1699">
        <v>195.93</v>
      </c>
      <c r="CK120" s="1700">
        <v>169.4</v>
      </c>
      <c r="CL120" s="1700">
        <v>172.38</v>
      </c>
      <c r="CM120" s="1700">
        <v>175.36</v>
      </c>
      <c r="CN120" s="1700">
        <v>178.34</v>
      </c>
      <c r="CO120" s="1705">
        <v>181.32</v>
      </c>
      <c r="CP120" s="1706">
        <v>184.3</v>
      </c>
      <c r="CQ120" s="1701">
        <v>187.29</v>
      </c>
      <c r="CR120" s="1701">
        <v>190.27</v>
      </c>
      <c r="CS120" s="1707">
        <v>193.25</v>
      </c>
      <c r="CT120" s="1700">
        <v>196.23</v>
      </c>
      <c r="CU120" s="1700">
        <v>199.21</v>
      </c>
      <c r="CV120" s="1700">
        <v>202.19</v>
      </c>
      <c r="CW120" s="1700">
        <v>205.17</v>
      </c>
      <c r="CX120" s="1700">
        <v>208.15</v>
      </c>
      <c r="CY120" s="1700">
        <v>211.14</v>
      </c>
      <c r="CZ120" s="1700">
        <v>214.12</v>
      </c>
      <c r="DA120" s="1700">
        <v>217.1</v>
      </c>
      <c r="DB120" s="1700">
        <v>220.08</v>
      </c>
      <c r="DC120" s="1700">
        <v>223.06</v>
      </c>
      <c r="DD120" s="1700">
        <v>226.04</v>
      </c>
      <c r="DE120" s="1700">
        <v>229.02</v>
      </c>
      <c r="DF120" s="1700">
        <v>232</v>
      </c>
      <c r="DG120" s="1700">
        <v>234.99</v>
      </c>
      <c r="DH120" s="1700">
        <v>237.97</v>
      </c>
      <c r="DI120" s="1700">
        <v>240.95</v>
      </c>
      <c r="DJ120" s="1700">
        <v>434.93</v>
      </c>
      <c r="DK120" s="1700">
        <v>246.91</v>
      </c>
      <c r="DL120" s="1700">
        <v>249.89</v>
      </c>
      <c r="DM120" s="1700">
        <v>252.87</v>
      </c>
      <c r="DN120" s="1700">
        <v>255.85</v>
      </c>
      <c r="DO120" s="1700">
        <v>258.83</v>
      </c>
      <c r="DP120" s="1700">
        <v>261.82</v>
      </c>
      <c r="DQ120" s="1700">
        <v>264.8</v>
      </c>
      <c r="DR120" s="1700">
        <v>267.77999999999997</v>
      </c>
      <c r="DS120" s="1700"/>
      <c r="DT120" s="1700"/>
      <c r="DU120" s="1700"/>
      <c r="DV120" s="1700"/>
      <c r="DW120" s="1700"/>
      <c r="DX120" s="1700"/>
    </row>
    <row r="121" spans="1:128">
      <c r="A121" s="1622"/>
      <c r="B121" s="1691">
        <f t="shared" si="9"/>
        <v>117</v>
      </c>
      <c r="C121" s="1668" t="str">
        <f t="shared" si="6"/>
        <v>314.38</v>
      </c>
      <c r="D121" s="1672">
        <f t="shared" si="7"/>
        <v>440.13</v>
      </c>
      <c r="E121" s="1670"/>
      <c r="F121" s="1671" t="str">
        <f t="shared" si="8"/>
        <v>197.63</v>
      </c>
      <c r="G121" s="1672">
        <f t="shared" si="5"/>
        <v>276.68</v>
      </c>
      <c r="H121" s="1670"/>
      <c r="I121" s="1670"/>
      <c r="J121" s="1708">
        <v>117</v>
      </c>
      <c r="K121" s="1693">
        <v>229.21</v>
      </c>
      <c r="L121" s="1693">
        <v>233.47</v>
      </c>
      <c r="M121" s="1693">
        <v>237.73</v>
      </c>
      <c r="N121" s="1693">
        <v>241.99</v>
      </c>
      <c r="O121" s="1693">
        <v>246.24</v>
      </c>
      <c r="P121" s="1694">
        <v>250.5</v>
      </c>
      <c r="Q121" s="1694">
        <v>254.76</v>
      </c>
      <c r="R121" s="1694">
        <v>259.02</v>
      </c>
      <c r="S121" s="1695">
        <v>263.27999999999997</v>
      </c>
      <c r="T121" s="1696">
        <v>267.54000000000002</v>
      </c>
      <c r="U121" s="1696">
        <v>271.8</v>
      </c>
      <c r="V121" s="1695">
        <v>276.06</v>
      </c>
      <c r="W121" s="1695">
        <v>280.31</v>
      </c>
      <c r="X121" s="1695">
        <v>284.57</v>
      </c>
      <c r="Y121" s="1697">
        <v>288.83</v>
      </c>
      <c r="Z121" s="1698">
        <v>293.08999999999997</v>
      </c>
      <c r="AA121" s="1699">
        <v>297.35000000000002</v>
      </c>
      <c r="AB121" s="1699">
        <v>301.61</v>
      </c>
      <c r="AC121" s="1699">
        <v>305.87</v>
      </c>
      <c r="AD121" s="1699">
        <v>310.13</v>
      </c>
      <c r="AE121" s="1699">
        <v>314.38</v>
      </c>
      <c r="AF121" s="1700">
        <v>259.22000000000003</v>
      </c>
      <c r="AG121" s="1700">
        <v>263.48</v>
      </c>
      <c r="AH121" s="1700">
        <v>267.74</v>
      </c>
      <c r="AI121" s="1700">
        <v>271.99</v>
      </c>
      <c r="AJ121" s="1701">
        <v>276.25</v>
      </c>
      <c r="AK121" s="1701">
        <v>280.51</v>
      </c>
      <c r="AL121" s="1701">
        <v>284.77</v>
      </c>
      <c r="AM121" s="1701">
        <v>289.02999999999997</v>
      </c>
      <c r="AN121" s="1701">
        <v>293.29000000000002</v>
      </c>
      <c r="AO121" s="1702">
        <v>297.55</v>
      </c>
      <c r="AP121" s="1700">
        <v>301.81</v>
      </c>
      <c r="AQ121" s="1700">
        <v>306.07</v>
      </c>
      <c r="AR121" s="1683">
        <v>310.32</v>
      </c>
      <c r="AS121" s="1700">
        <v>314.58</v>
      </c>
      <c r="AT121" s="1700">
        <v>318.83999999999997</v>
      </c>
      <c r="AU121" s="1700">
        <v>323.10000000000002</v>
      </c>
      <c r="AV121" s="1700">
        <v>327.36</v>
      </c>
      <c r="AW121" s="1700">
        <v>331.62</v>
      </c>
      <c r="AX121" s="1700">
        <v>335.88</v>
      </c>
      <c r="AY121" s="1700">
        <v>340.14</v>
      </c>
      <c r="AZ121" s="1700">
        <v>344.39</v>
      </c>
      <c r="BA121" s="1700">
        <v>348.65</v>
      </c>
      <c r="BB121" s="1683">
        <v>352.91</v>
      </c>
      <c r="BC121" s="1700">
        <v>357.17</v>
      </c>
      <c r="BD121" s="1700">
        <v>361.43</v>
      </c>
      <c r="BE121" s="1700">
        <v>365.69</v>
      </c>
      <c r="BF121" s="1700">
        <v>369.95</v>
      </c>
      <c r="BG121" s="1700">
        <v>374.21</v>
      </c>
      <c r="BH121" s="1700">
        <v>378.46</v>
      </c>
      <c r="BI121" s="1700">
        <v>382.72</v>
      </c>
      <c r="BJ121" s="1700">
        <v>386.98</v>
      </c>
      <c r="BK121" s="1700">
        <v>391.24</v>
      </c>
      <c r="BL121" s="1700">
        <v>395.5</v>
      </c>
      <c r="BM121" s="1700">
        <v>399.76</v>
      </c>
      <c r="BN121" s="1700"/>
      <c r="BO121" s="1703">
        <v>117</v>
      </c>
      <c r="BP121" s="1693">
        <v>137.49</v>
      </c>
      <c r="BQ121" s="1693">
        <v>140.5</v>
      </c>
      <c r="BR121" s="1693">
        <v>143.5</v>
      </c>
      <c r="BS121" s="1693">
        <v>146.51</v>
      </c>
      <c r="BT121" s="1693">
        <v>149.52000000000001</v>
      </c>
      <c r="BU121" s="1694">
        <v>152.52000000000001</v>
      </c>
      <c r="BV121" s="1694">
        <v>155.53</v>
      </c>
      <c r="BW121" s="1694">
        <v>158.54</v>
      </c>
      <c r="BX121" s="1695">
        <v>161.54</v>
      </c>
      <c r="BY121" s="1696">
        <v>164.55</v>
      </c>
      <c r="BZ121" s="1696">
        <v>167.56</v>
      </c>
      <c r="CA121" s="1695">
        <v>170.57</v>
      </c>
      <c r="CB121" s="1695">
        <v>173.57</v>
      </c>
      <c r="CC121" s="1704">
        <v>176.58</v>
      </c>
      <c r="CD121" s="1697">
        <v>179.59</v>
      </c>
      <c r="CE121" s="1698">
        <v>182.59</v>
      </c>
      <c r="CF121" s="1699">
        <v>185.6</v>
      </c>
      <c r="CG121" s="1699">
        <v>188.61</v>
      </c>
      <c r="CH121" s="1699">
        <v>191.61</v>
      </c>
      <c r="CI121" s="1699">
        <v>194.62</v>
      </c>
      <c r="CJ121" s="1699">
        <v>197.63</v>
      </c>
      <c r="CK121" s="1700">
        <v>170.86</v>
      </c>
      <c r="CL121" s="1700">
        <v>173.87</v>
      </c>
      <c r="CM121" s="1700">
        <v>176.88</v>
      </c>
      <c r="CN121" s="1700">
        <v>179.88</v>
      </c>
      <c r="CO121" s="1705">
        <v>182.89</v>
      </c>
      <c r="CP121" s="1706">
        <v>185.9</v>
      </c>
      <c r="CQ121" s="1701">
        <v>188.9</v>
      </c>
      <c r="CR121" s="1701">
        <v>191.91</v>
      </c>
      <c r="CS121" s="1707">
        <v>194.92</v>
      </c>
      <c r="CT121" s="1700">
        <v>197.92</v>
      </c>
      <c r="CU121" s="1700">
        <v>200.93</v>
      </c>
      <c r="CV121" s="1700">
        <v>203.94</v>
      </c>
      <c r="CW121" s="1700">
        <v>206.94</v>
      </c>
      <c r="CX121" s="1700">
        <v>209.95</v>
      </c>
      <c r="CY121" s="1700">
        <v>212.96</v>
      </c>
      <c r="CZ121" s="1700">
        <v>215.97</v>
      </c>
      <c r="DA121" s="1700">
        <v>218.97</v>
      </c>
      <c r="DB121" s="1700">
        <v>221.98</v>
      </c>
      <c r="DC121" s="1700">
        <v>224.99</v>
      </c>
      <c r="DD121" s="1700">
        <v>227.99</v>
      </c>
      <c r="DE121" s="1700">
        <v>231</v>
      </c>
      <c r="DF121" s="1700">
        <v>234.01</v>
      </c>
      <c r="DG121" s="1700">
        <v>237.01</v>
      </c>
      <c r="DH121" s="1700">
        <v>240.02</v>
      </c>
      <c r="DI121" s="1700">
        <v>243.03</v>
      </c>
      <c r="DJ121" s="1700">
        <v>246.03</v>
      </c>
      <c r="DK121" s="1700">
        <v>249.04</v>
      </c>
      <c r="DL121" s="1700">
        <v>252.05</v>
      </c>
      <c r="DM121" s="1700">
        <v>255.06</v>
      </c>
      <c r="DN121" s="1700">
        <v>258.06</v>
      </c>
      <c r="DO121" s="1700">
        <v>261.07</v>
      </c>
      <c r="DP121" s="1700">
        <v>264.08</v>
      </c>
      <c r="DQ121" s="1700">
        <v>267.08</v>
      </c>
      <c r="DR121" s="1700">
        <v>270.08999999999997</v>
      </c>
      <c r="DS121" s="1700"/>
      <c r="DT121" s="1700"/>
      <c r="DU121" s="1700"/>
      <c r="DV121" s="1700"/>
      <c r="DW121" s="1700"/>
      <c r="DX121" s="1700"/>
    </row>
    <row r="122" spans="1:128">
      <c r="A122" s="1622"/>
      <c r="B122" s="1691">
        <f t="shared" si="9"/>
        <v>118</v>
      </c>
      <c r="C122" s="1668" t="str">
        <f t="shared" si="6"/>
        <v>317.09</v>
      </c>
      <c r="D122" s="1672">
        <f t="shared" si="7"/>
        <v>443.93</v>
      </c>
      <c r="E122" s="1670"/>
      <c r="F122" s="1671" t="str">
        <f t="shared" si="8"/>
        <v>199.22</v>
      </c>
      <c r="G122" s="1672">
        <f t="shared" si="5"/>
        <v>278.91000000000003</v>
      </c>
      <c r="H122" s="1670"/>
      <c r="I122" s="1670"/>
      <c r="J122" s="1708">
        <v>118</v>
      </c>
      <c r="K122" s="1693">
        <v>231.18</v>
      </c>
      <c r="L122" s="1693">
        <v>235.48</v>
      </c>
      <c r="M122" s="1693">
        <v>239.77</v>
      </c>
      <c r="N122" s="1693">
        <v>244.07</v>
      </c>
      <c r="O122" s="1693">
        <v>248.36</v>
      </c>
      <c r="P122" s="1694">
        <v>252.66</v>
      </c>
      <c r="Q122" s="1694">
        <v>256.95</v>
      </c>
      <c r="R122" s="1694">
        <v>261.25</v>
      </c>
      <c r="S122" s="1695">
        <v>265.54000000000002</v>
      </c>
      <c r="T122" s="1696">
        <v>269.83999999999997</v>
      </c>
      <c r="U122" s="1696">
        <v>274.13</v>
      </c>
      <c r="V122" s="1695">
        <v>278.43</v>
      </c>
      <c r="W122" s="1695">
        <v>282.72000000000003</v>
      </c>
      <c r="X122" s="1695">
        <v>287.02</v>
      </c>
      <c r="Y122" s="1697">
        <v>291.31</v>
      </c>
      <c r="Z122" s="1698">
        <v>295.61</v>
      </c>
      <c r="AA122" s="1699">
        <v>299.91000000000003</v>
      </c>
      <c r="AB122" s="1699">
        <v>304.2</v>
      </c>
      <c r="AC122" s="1699">
        <v>308.5</v>
      </c>
      <c r="AD122" s="1699">
        <v>312.79000000000002</v>
      </c>
      <c r="AE122" s="1699">
        <v>317.08999999999997</v>
      </c>
      <c r="AF122" s="1683">
        <v>261.44</v>
      </c>
      <c r="AG122" s="1683">
        <v>265.74</v>
      </c>
      <c r="AH122" s="1683">
        <v>270.02999999999997</v>
      </c>
      <c r="AI122" s="1683">
        <v>274.33</v>
      </c>
      <c r="AJ122" s="1701">
        <v>278.62</v>
      </c>
      <c r="AK122" s="1701">
        <v>282.92</v>
      </c>
      <c r="AL122" s="1701">
        <v>287.20999999999998</v>
      </c>
      <c r="AM122" s="1701">
        <v>291.51</v>
      </c>
      <c r="AN122" s="1701">
        <v>295.8</v>
      </c>
      <c r="AO122" s="1702">
        <v>300.10000000000002</v>
      </c>
      <c r="AP122" s="1700">
        <v>304.39</v>
      </c>
      <c r="AQ122" s="1700">
        <v>308.69</v>
      </c>
      <c r="AR122" s="1700">
        <v>312.98</v>
      </c>
      <c r="AS122" s="1700">
        <v>317.27999999999997</v>
      </c>
      <c r="AT122" s="1683">
        <v>321.57</v>
      </c>
      <c r="AU122" s="1700">
        <v>325.87</v>
      </c>
      <c r="AV122" s="1683">
        <v>330.17</v>
      </c>
      <c r="AW122" s="1683">
        <v>334.46</v>
      </c>
      <c r="AX122" s="1683">
        <v>338.76</v>
      </c>
      <c r="AY122" s="1683">
        <v>343.05</v>
      </c>
      <c r="AZ122" s="1683">
        <v>347.35</v>
      </c>
      <c r="BA122" s="1683">
        <v>351.64</v>
      </c>
      <c r="BB122" s="1700">
        <v>355.94</v>
      </c>
      <c r="BC122" s="1683">
        <v>360.23</v>
      </c>
      <c r="BD122" s="1683">
        <v>364.53</v>
      </c>
      <c r="BE122" s="1683">
        <v>368.82</v>
      </c>
      <c r="BF122" s="1683">
        <v>373.12</v>
      </c>
      <c r="BG122" s="1683">
        <v>377.41</v>
      </c>
      <c r="BH122" s="1683">
        <v>381.71</v>
      </c>
      <c r="BI122" s="1683">
        <v>386</v>
      </c>
      <c r="BJ122" s="1683">
        <v>390.3</v>
      </c>
      <c r="BK122" s="1683">
        <v>394.59</v>
      </c>
      <c r="BL122" s="1683">
        <v>398.89</v>
      </c>
      <c r="BM122" s="1683">
        <v>403.18</v>
      </c>
      <c r="BN122" s="1683"/>
      <c r="BO122" s="1703">
        <v>118</v>
      </c>
      <c r="BP122" s="1693">
        <v>138.66999999999999</v>
      </c>
      <c r="BQ122" s="1693">
        <v>141.69999999999999</v>
      </c>
      <c r="BR122" s="1693">
        <v>144.74</v>
      </c>
      <c r="BS122" s="1693">
        <v>147.77000000000001</v>
      </c>
      <c r="BT122" s="1693">
        <v>150.80000000000001</v>
      </c>
      <c r="BU122" s="1694">
        <v>153.83000000000001</v>
      </c>
      <c r="BV122" s="1694">
        <v>156.87</v>
      </c>
      <c r="BW122" s="1694">
        <v>159.9</v>
      </c>
      <c r="BX122" s="1695">
        <v>162.93</v>
      </c>
      <c r="BY122" s="1711">
        <v>165.96</v>
      </c>
      <c r="BZ122" s="1696">
        <v>169</v>
      </c>
      <c r="CA122" s="1695">
        <v>172.01</v>
      </c>
      <c r="CB122" s="1695">
        <v>175.06</v>
      </c>
      <c r="CC122" s="1704">
        <v>178.09</v>
      </c>
      <c r="CD122" s="1697">
        <v>181.13</v>
      </c>
      <c r="CE122" s="1698">
        <v>184.16</v>
      </c>
      <c r="CF122" s="1699">
        <v>187.19</v>
      </c>
      <c r="CG122" s="1699">
        <v>190.23</v>
      </c>
      <c r="CH122" s="1699">
        <v>193.26</v>
      </c>
      <c r="CI122" s="1699">
        <v>196.29</v>
      </c>
      <c r="CJ122" s="1699">
        <v>199.22</v>
      </c>
      <c r="CK122" s="1700">
        <v>172.33</v>
      </c>
      <c r="CL122" s="1700">
        <v>175.36</v>
      </c>
      <c r="CM122" s="1700">
        <v>178.39</v>
      </c>
      <c r="CN122" s="1700">
        <v>181.42</v>
      </c>
      <c r="CO122" s="1705">
        <v>184.46</v>
      </c>
      <c r="CP122" s="1706">
        <v>187.49</v>
      </c>
      <c r="CQ122" s="1701">
        <v>190.52</v>
      </c>
      <c r="CR122" s="1701">
        <v>193.55</v>
      </c>
      <c r="CS122" s="1707">
        <v>196.59</v>
      </c>
      <c r="CT122" s="1700">
        <v>199.62</v>
      </c>
      <c r="CU122" s="1700">
        <v>202.65</v>
      </c>
      <c r="CV122" s="1700">
        <v>205.68</v>
      </c>
      <c r="CW122" s="1700">
        <v>208.72</v>
      </c>
      <c r="CX122" s="1700">
        <v>211.75</v>
      </c>
      <c r="CY122" s="1700">
        <v>214.78</v>
      </c>
      <c r="CZ122" s="1700">
        <v>217.82</v>
      </c>
      <c r="DA122" s="1700">
        <v>220.85</v>
      </c>
      <c r="DB122" s="1700">
        <v>223.88</v>
      </c>
      <c r="DC122" s="1700">
        <v>226.91</v>
      </c>
      <c r="DD122" s="1700">
        <v>229.95</v>
      </c>
      <c r="DE122" s="1700">
        <v>232.98</v>
      </c>
      <c r="DF122" s="1700">
        <v>236.01</v>
      </c>
      <c r="DG122" s="1700">
        <v>239.04</v>
      </c>
      <c r="DH122" s="1700">
        <v>242.08</v>
      </c>
      <c r="DI122" s="1700">
        <v>245.11</v>
      </c>
      <c r="DJ122" s="1700">
        <v>248.14</v>
      </c>
      <c r="DK122" s="1700">
        <v>251.17</v>
      </c>
      <c r="DL122" s="1700">
        <v>254.21</v>
      </c>
      <c r="DM122" s="1700">
        <v>257.24</v>
      </c>
      <c r="DN122" s="1700">
        <v>260.27</v>
      </c>
      <c r="DO122" s="1700">
        <v>263.3</v>
      </c>
      <c r="DP122" s="1700">
        <v>266.33999999999997</v>
      </c>
      <c r="DQ122" s="1700">
        <v>269.37</v>
      </c>
      <c r="DR122" s="1700">
        <v>272.39999999999998</v>
      </c>
      <c r="DS122" s="1700"/>
      <c r="DT122" s="1700"/>
      <c r="DU122" s="1700"/>
      <c r="DV122" s="1700"/>
      <c r="DW122" s="1700"/>
      <c r="DX122" s="1700"/>
    </row>
    <row r="123" spans="1:128">
      <c r="A123" s="1622"/>
      <c r="B123" s="1691">
        <f t="shared" si="9"/>
        <v>119</v>
      </c>
      <c r="C123" s="1668" t="str">
        <f t="shared" si="6"/>
        <v>319.8</v>
      </c>
      <c r="D123" s="1672">
        <f t="shared" si="7"/>
        <v>447.72</v>
      </c>
      <c r="E123" s="1670"/>
      <c r="F123" s="1671" t="str">
        <f t="shared" si="8"/>
        <v>201</v>
      </c>
      <c r="G123" s="1672">
        <f t="shared" si="5"/>
        <v>281.39999999999998</v>
      </c>
      <c r="H123" s="1670"/>
      <c r="I123" s="1670"/>
      <c r="J123" s="1708">
        <v>119</v>
      </c>
      <c r="K123" s="1693">
        <v>233.16</v>
      </c>
      <c r="L123" s="1693">
        <v>237.49</v>
      </c>
      <c r="M123" s="1693">
        <v>241.83</v>
      </c>
      <c r="N123" s="1693">
        <v>246.16</v>
      </c>
      <c r="O123" s="1693">
        <v>250.49</v>
      </c>
      <c r="P123" s="1694">
        <v>254.82</v>
      </c>
      <c r="Q123" s="1694">
        <v>259.14999999999998</v>
      </c>
      <c r="R123" s="1694">
        <v>263.48</v>
      </c>
      <c r="S123" s="1695">
        <v>267.82</v>
      </c>
      <c r="T123" s="1696">
        <v>272.14999999999998</v>
      </c>
      <c r="U123" s="1696">
        <v>276.48</v>
      </c>
      <c r="V123" s="1695">
        <v>280.81</v>
      </c>
      <c r="W123" s="1695">
        <v>285.14</v>
      </c>
      <c r="X123" s="1695">
        <v>289.47000000000003</v>
      </c>
      <c r="Y123" s="1697">
        <v>293.81</v>
      </c>
      <c r="Z123" s="1698">
        <v>298.14</v>
      </c>
      <c r="AA123" s="1699">
        <v>302</v>
      </c>
      <c r="AB123" s="1699">
        <v>306.8</v>
      </c>
      <c r="AC123" s="1699">
        <v>311.13</v>
      </c>
      <c r="AD123" s="1699">
        <v>315.45999999999998</v>
      </c>
      <c r="AE123" s="1699">
        <v>319.8</v>
      </c>
      <c r="AF123" s="1700">
        <v>263.67</v>
      </c>
      <c r="AG123" s="1700">
        <v>268</v>
      </c>
      <c r="AH123" s="1700">
        <v>272.33</v>
      </c>
      <c r="AI123" s="1700">
        <v>276.67</v>
      </c>
      <c r="AJ123" s="1701">
        <v>281</v>
      </c>
      <c r="AK123" s="1701">
        <v>285.33</v>
      </c>
      <c r="AL123" s="1701">
        <v>289.66000000000003</v>
      </c>
      <c r="AM123" s="1701">
        <v>293.99</v>
      </c>
      <c r="AN123" s="1701">
        <v>298.32</v>
      </c>
      <c r="AO123" s="1702">
        <v>302.64999999999998</v>
      </c>
      <c r="AP123" s="1700">
        <v>306.99</v>
      </c>
      <c r="AQ123" s="1700">
        <v>311.32</v>
      </c>
      <c r="AR123" s="1683">
        <v>315.64999999999998</v>
      </c>
      <c r="AS123" s="1700">
        <v>319.98</v>
      </c>
      <c r="AT123" s="1700">
        <v>324.31</v>
      </c>
      <c r="AU123" s="1700">
        <v>328.64</v>
      </c>
      <c r="AV123" s="1700">
        <v>332.98</v>
      </c>
      <c r="AW123" s="1700">
        <v>337.31</v>
      </c>
      <c r="AX123" s="1700">
        <v>341.64</v>
      </c>
      <c r="AY123" s="1700">
        <v>345.97</v>
      </c>
      <c r="AZ123" s="1700">
        <v>350.3</v>
      </c>
      <c r="BA123" s="1700">
        <v>354.63</v>
      </c>
      <c r="BB123" s="1700">
        <v>358.97</v>
      </c>
      <c r="BC123" s="1700">
        <v>363.3</v>
      </c>
      <c r="BD123" s="1700">
        <v>367.63</v>
      </c>
      <c r="BE123" s="1700">
        <v>371.69</v>
      </c>
      <c r="BF123" s="1700">
        <v>376.29</v>
      </c>
      <c r="BG123" s="1700">
        <v>380.62</v>
      </c>
      <c r="BH123" s="1700">
        <v>384.96</v>
      </c>
      <c r="BI123" s="1700">
        <v>389.29</v>
      </c>
      <c r="BJ123" s="1700">
        <v>393.62</v>
      </c>
      <c r="BK123" s="1700">
        <v>397.95</v>
      </c>
      <c r="BL123" s="1700">
        <v>402.28</v>
      </c>
      <c r="BM123" s="1700">
        <v>406.61</v>
      </c>
      <c r="BN123" s="1700"/>
      <c r="BO123" s="1703">
        <v>119</v>
      </c>
      <c r="BP123" s="1693">
        <v>139.85</v>
      </c>
      <c r="BQ123" s="1693">
        <v>142.91</v>
      </c>
      <c r="BR123" s="1693">
        <v>145.97</v>
      </c>
      <c r="BS123" s="1693">
        <v>149.03</v>
      </c>
      <c r="BT123" s="1693">
        <v>152.09</v>
      </c>
      <c r="BU123" s="1694">
        <v>155.15</v>
      </c>
      <c r="BV123" s="1694">
        <v>158.19999999999999</v>
      </c>
      <c r="BW123" s="1694">
        <v>161.26</v>
      </c>
      <c r="BX123" s="1695">
        <v>164.32</v>
      </c>
      <c r="BY123" s="1711">
        <v>167.38</v>
      </c>
      <c r="BZ123" s="1696">
        <v>170.44</v>
      </c>
      <c r="CA123" s="1695">
        <v>173.5</v>
      </c>
      <c r="CB123" s="1695">
        <v>176.55</v>
      </c>
      <c r="CC123" s="1704">
        <v>179.61</v>
      </c>
      <c r="CD123" s="1697">
        <v>182.67</v>
      </c>
      <c r="CE123" s="1698">
        <v>185.23</v>
      </c>
      <c r="CF123" s="1699">
        <v>188.79</v>
      </c>
      <c r="CG123" s="1699">
        <v>191.83</v>
      </c>
      <c r="CH123" s="1699">
        <v>194.4</v>
      </c>
      <c r="CI123" s="1699">
        <v>197.96</v>
      </c>
      <c r="CJ123" s="1699">
        <v>201</v>
      </c>
      <c r="CK123" s="1700">
        <v>173.79</v>
      </c>
      <c r="CL123" s="1700">
        <v>176.85</v>
      </c>
      <c r="CM123" s="1700">
        <v>179.91</v>
      </c>
      <c r="CN123" s="1700">
        <v>182.97</v>
      </c>
      <c r="CO123" s="1705">
        <v>186.03</v>
      </c>
      <c r="CP123" s="1706">
        <v>189.08</v>
      </c>
      <c r="CQ123" s="1701">
        <v>192.14</v>
      </c>
      <c r="CR123" s="1701">
        <v>195.2</v>
      </c>
      <c r="CS123" s="1707">
        <v>198.26</v>
      </c>
      <c r="CT123" s="1700">
        <v>201.32</v>
      </c>
      <c r="CU123" s="1700">
        <v>204.37</v>
      </c>
      <c r="CV123" s="1700">
        <v>207.43</v>
      </c>
      <c r="CW123" s="1700">
        <v>210.49</v>
      </c>
      <c r="CX123" s="1700">
        <v>213.55</v>
      </c>
      <c r="CY123" s="1700">
        <v>216.61</v>
      </c>
      <c r="CZ123" s="1700">
        <v>219.67</v>
      </c>
      <c r="DA123" s="1700">
        <v>222.72</v>
      </c>
      <c r="DB123" s="1700">
        <v>225.78</v>
      </c>
      <c r="DC123" s="1700">
        <v>228.84</v>
      </c>
      <c r="DD123" s="1700">
        <v>231.9</v>
      </c>
      <c r="DE123" s="1700">
        <v>234.96</v>
      </c>
      <c r="DF123" s="1700">
        <v>238.02</v>
      </c>
      <c r="DG123" s="1700">
        <v>241.07</v>
      </c>
      <c r="DH123" s="1700">
        <v>244.13</v>
      </c>
      <c r="DI123" s="1700">
        <v>247.19</v>
      </c>
      <c r="DJ123" s="1700">
        <v>250.25</v>
      </c>
      <c r="DK123" s="1700">
        <v>253.31</v>
      </c>
      <c r="DL123" s="1700">
        <v>256.37</v>
      </c>
      <c r="DM123" s="1700">
        <v>259.42</v>
      </c>
      <c r="DN123" s="1700">
        <v>262.48</v>
      </c>
      <c r="DO123" s="1700">
        <v>265.54000000000002</v>
      </c>
      <c r="DP123" s="1700">
        <v>268.60000000000002</v>
      </c>
      <c r="DQ123" s="1700">
        <v>271.66000000000003</v>
      </c>
      <c r="DR123" s="1700">
        <v>274.72000000000003</v>
      </c>
      <c r="DS123" s="1700"/>
      <c r="DT123" s="1700"/>
      <c r="DU123" s="1700"/>
      <c r="DV123" s="1700"/>
      <c r="DW123" s="1700"/>
      <c r="DX123" s="1700"/>
    </row>
    <row r="124" spans="1:128">
      <c r="A124" s="1622"/>
      <c r="B124" s="1691">
        <f t="shared" si="9"/>
        <v>120</v>
      </c>
      <c r="C124" s="1668" t="str">
        <f t="shared" si="6"/>
        <v>322.51</v>
      </c>
      <c r="D124" s="1672">
        <f t="shared" si="7"/>
        <v>451.51</v>
      </c>
      <c r="E124" s="1670"/>
      <c r="F124" s="1671" t="str">
        <f t="shared" si="8"/>
        <v>202.66</v>
      </c>
      <c r="G124" s="1672">
        <f t="shared" si="5"/>
        <v>283.72000000000003</v>
      </c>
      <c r="H124" s="1670"/>
      <c r="I124" s="1670"/>
      <c r="J124" s="1708">
        <v>120</v>
      </c>
      <c r="K124" s="1693">
        <v>235.15</v>
      </c>
      <c r="L124" s="1693">
        <v>239.52</v>
      </c>
      <c r="M124" s="1693">
        <v>243.89</v>
      </c>
      <c r="N124" s="1693">
        <v>248.26</v>
      </c>
      <c r="O124" s="1693">
        <v>252.62</v>
      </c>
      <c r="P124" s="1694">
        <v>256.99</v>
      </c>
      <c r="Q124" s="1694">
        <v>261.36</v>
      </c>
      <c r="R124" s="1694">
        <v>265.73</v>
      </c>
      <c r="S124" s="1695">
        <v>270.10000000000002</v>
      </c>
      <c r="T124" s="1696">
        <v>274.42</v>
      </c>
      <c r="U124" s="1696">
        <v>278.83</v>
      </c>
      <c r="V124" s="1695">
        <v>283.2</v>
      </c>
      <c r="W124" s="1695">
        <v>287.57</v>
      </c>
      <c r="X124" s="1695">
        <v>291.94</v>
      </c>
      <c r="Y124" s="1697">
        <v>296.3</v>
      </c>
      <c r="Z124" s="1698">
        <v>300.67</v>
      </c>
      <c r="AA124" s="1699">
        <v>305.04000000000002</v>
      </c>
      <c r="AB124" s="1699">
        <v>309.41000000000003</v>
      </c>
      <c r="AC124" s="1699">
        <v>313.77999999999997</v>
      </c>
      <c r="AD124" s="1699">
        <v>318.14</v>
      </c>
      <c r="AE124" s="1699">
        <v>322.51</v>
      </c>
      <c r="AF124" s="1700">
        <v>265.89999999999998</v>
      </c>
      <c r="AG124" s="1700">
        <v>270.27</v>
      </c>
      <c r="AH124" s="1700">
        <v>274.64</v>
      </c>
      <c r="AI124" s="1700">
        <v>279.01</v>
      </c>
      <c r="AJ124" s="1701">
        <v>283.38</v>
      </c>
      <c r="AK124" s="1701">
        <v>287.74</v>
      </c>
      <c r="AL124" s="1701">
        <v>292.11</v>
      </c>
      <c r="AM124" s="1701">
        <v>296.48</v>
      </c>
      <c r="AN124" s="1701">
        <v>300.85000000000002</v>
      </c>
      <c r="AO124" s="1702">
        <v>305.22000000000003</v>
      </c>
      <c r="AP124" s="1700">
        <v>309.58</v>
      </c>
      <c r="AQ124" s="1700">
        <v>313.95</v>
      </c>
      <c r="AR124" s="1700">
        <v>318.32</v>
      </c>
      <c r="AS124" s="1700">
        <v>322.69</v>
      </c>
      <c r="AT124" s="1700">
        <v>327.06</v>
      </c>
      <c r="AU124" s="1700">
        <v>331.42</v>
      </c>
      <c r="AV124" s="1700">
        <v>335.79</v>
      </c>
      <c r="AW124" s="1700">
        <v>340.16</v>
      </c>
      <c r="AX124" s="1700">
        <v>344.53</v>
      </c>
      <c r="AY124" s="1700">
        <v>348.9</v>
      </c>
      <c r="AZ124" s="1700">
        <v>353.26</v>
      </c>
      <c r="BA124" s="1700">
        <v>357.63</v>
      </c>
      <c r="BB124" s="1683">
        <v>362</v>
      </c>
      <c r="BC124" s="1700">
        <v>366.37</v>
      </c>
      <c r="BD124" s="1461">
        <v>370.74</v>
      </c>
      <c r="BE124" s="1700">
        <v>375.1</v>
      </c>
      <c r="BF124" s="1700">
        <v>379.47</v>
      </c>
      <c r="BG124" s="1700">
        <v>383.84</v>
      </c>
      <c r="BH124" s="1700">
        <v>388.21</v>
      </c>
      <c r="BI124" s="1700">
        <v>392.58</v>
      </c>
      <c r="BJ124" s="1700">
        <v>396.94</v>
      </c>
      <c r="BK124" s="1700">
        <v>401.31</v>
      </c>
      <c r="BL124" s="1700">
        <v>405.68</v>
      </c>
      <c r="BM124" s="1700">
        <v>410.05</v>
      </c>
      <c r="BN124" s="1700"/>
      <c r="BO124" s="1703">
        <v>120</v>
      </c>
      <c r="BP124" s="1693">
        <v>140.97999999999999</v>
      </c>
      <c r="BQ124" s="1693">
        <v>144.06</v>
      </c>
      <c r="BR124" s="1693">
        <v>147.13999999999999</v>
      </c>
      <c r="BS124" s="1693">
        <v>150.22999999999999</v>
      </c>
      <c r="BT124" s="1693">
        <v>153.31</v>
      </c>
      <c r="BU124" s="1694">
        <v>156.4</v>
      </c>
      <c r="BV124" s="1694">
        <v>159.47999999999999</v>
      </c>
      <c r="BW124" s="1694">
        <v>162.56</v>
      </c>
      <c r="BX124" s="1695">
        <v>165.65</v>
      </c>
      <c r="BY124" s="1696">
        <v>168.73</v>
      </c>
      <c r="BZ124" s="1696">
        <v>171.82</v>
      </c>
      <c r="CA124" s="1695">
        <v>174.9</v>
      </c>
      <c r="CB124" s="1695">
        <v>177.98</v>
      </c>
      <c r="CC124" s="1704">
        <v>181.07</v>
      </c>
      <c r="CD124" s="1697">
        <v>184.15</v>
      </c>
      <c r="CE124" s="1698">
        <v>187.24</v>
      </c>
      <c r="CF124" s="1699">
        <v>190.32</v>
      </c>
      <c r="CG124" s="1699">
        <v>193.4</v>
      </c>
      <c r="CH124" s="1699">
        <v>196.4</v>
      </c>
      <c r="CI124" s="1699">
        <v>199.57</v>
      </c>
      <c r="CJ124" s="1699">
        <v>202.66</v>
      </c>
      <c r="CK124" s="1700">
        <v>175.22</v>
      </c>
      <c r="CL124" s="1700">
        <v>178.3</v>
      </c>
      <c r="CM124" s="1700">
        <v>181.39</v>
      </c>
      <c r="CN124" s="1700">
        <v>184.47</v>
      </c>
      <c r="CO124" s="1705">
        <v>187.55</v>
      </c>
      <c r="CP124" s="1706">
        <v>190.64</v>
      </c>
      <c r="CQ124" s="1701">
        <v>193.72</v>
      </c>
      <c r="CR124" s="1701">
        <v>196.81</v>
      </c>
      <c r="CS124" s="1707">
        <v>199.89</v>
      </c>
      <c r="CT124" s="1700">
        <v>202.97</v>
      </c>
      <c r="CU124" s="1700">
        <v>206.06</v>
      </c>
      <c r="CV124" s="1700">
        <v>209.14</v>
      </c>
      <c r="CW124" s="1700">
        <v>212.23</v>
      </c>
      <c r="CX124" s="1700">
        <v>215.31</v>
      </c>
      <c r="CY124" s="1700">
        <v>218.39</v>
      </c>
      <c r="CZ124" s="1700">
        <v>221.48</v>
      </c>
      <c r="DA124" s="1700">
        <v>224.56</v>
      </c>
      <c r="DB124" s="1700">
        <v>227.65</v>
      </c>
      <c r="DC124" s="1700">
        <v>230.73</v>
      </c>
      <c r="DD124" s="1700">
        <v>233.81</v>
      </c>
      <c r="DE124" s="1700">
        <v>236.9</v>
      </c>
      <c r="DF124" s="1700">
        <v>239.98</v>
      </c>
      <c r="DG124" s="1700">
        <v>243.07</v>
      </c>
      <c r="DH124" s="1700">
        <v>246.15</v>
      </c>
      <c r="DI124" s="1700">
        <v>249.23</v>
      </c>
      <c r="DJ124" s="1700">
        <v>252.32</v>
      </c>
      <c r="DK124" s="1700">
        <v>255.4</v>
      </c>
      <c r="DL124" s="1700">
        <v>258.49</v>
      </c>
      <c r="DM124" s="1700">
        <v>261.57</v>
      </c>
      <c r="DN124" s="1700">
        <v>264.05</v>
      </c>
      <c r="DO124" s="1700">
        <v>267.74</v>
      </c>
      <c r="DP124" s="1700">
        <v>270.82</v>
      </c>
      <c r="DQ124" s="1700">
        <v>273.91000000000003</v>
      </c>
      <c r="DR124" s="1700">
        <v>276.99</v>
      </c>
      <c r="DS124" s="1700"/>
      <c r="DT124" s="1700"/>
      <c r="DU124" s="1700"/>
      <c r="DV124" s="1700"/>
      <c r="DW124" s="1700"/>
      <c r="DX124" s="1700"/>
    </row>
    <row r="125" spans="1:128">
      <c r="A125" s="1622"/>
      <c r="B125" s="1691">
        <f t="shared" si="9"/>
        <v>121</v>
      </c>
      <c r="C125" s="1668" t="str">
        <f t="shared" si="6"/>
        <v>324.99</v>
      </c>
      <c r="D125" s="1672">
        <f t="shared" si="7"/>
        <v>454.99</v>
      </c>
      <c r="E125" s="1670"/>
      <c r="F125" s="1671" t="str">
        <f t="shared" si="8"/>
        <v>204.36</v>
      </c>
      <c r="G125" s="1672">
        <f t="shared" si="5"/>
        <v>286.10000000000002</v>
      </c>
      <c r="H125" s="1670"/>
      <c r="I125" s="1670"/>
      <c r="J125" s="1708">
        <v>121</v>
      </c>
      <c r="K125" s="1693">
        <v>236.9</v>
      </c>
      <c r="L125" s="1693">
        <v>241.31</v>
      </c>
      <c r="M125" s="1693">
        <v>245.71</v>
      </c>
      <c r="N125" s="1693">
        <v>250.12</v>
      </c>
      <c r="O125" s="1693">
        <v>254.52</v>
      </c>
      <c r="P125" s="1694">
        <v>258.93</v>
      </c>
      <c r="Q125" s="1694">
        <v>263.33</v>
      </c>
      <c r="R125" s="1694">
        <v>267.74</v>
      </c>
      <c r="S125" s="1695">
        <v>272.14</v>
      </c>
      <c r="T125" s="1696">
        <v>276.54000000000002</v>
      </c>
      <c r="U125" s="1696">
        <v>280.95</v>
      </c>
      <c r="V125" s="1695">
        <v>285.35000000000002</v>
      </c>
      <c r="W125" s="1695">
        <v>289.76</v>
      </c>
      <c r="X125" s="1695">
        <v>294.16000000000003</v>
      </c>
      <c r="Y125" s="1697">
        <v>298.57</v>
      </c>
      <c r="Z125" s="1698">
        <v>302.97000000000003</v>
      </c>
      <c r="AA125" s="1699">
        <v>307.38</v>
      </c>
      <c r="AB125" s="1699">
        <v>311.77999999999997</v>
      </c>
      <c r="AC125" s="1699">
        <v>316.18</v>
      </c>
      <c r="AD125" s="1699">
        <v>320.58999999999997</v>
      </c>
      <c r="AE125" s="1699">
        <v>324.99</v>
      </c>
      <c r="AF125" s="1683">
        <v>268</v>
      </c>
      <c r="AG125" s="1683">
        <v>272.39999999999998</v>
      </c>
      <c r="AH125" s="1683">
        <v>276.81</v>
      </c>
      <c r="AI125" s="1683">
        <v>281.20999999999998</v>
      </c>
      <c r="AJ125" s="1701">
        <v>285.62</v>
      </c>
      <c r="AK125" s="1701">
        <v>290.02</v>
      </c>
      <c r="AL125" s="1701">
        <v>294.42</v>
      </c>
      <c r="AM125" s="1701">
        <v>298.83</v>
      </c>
      <c r="AN125" s="1701">
        <v>303.23</v>
      </c>
      <c r="AO125" s="1702">
        <v>307.64</v>
      </c>
      <c r="AP125" s="1700">
        <v>312.04000000000002</v>
      </c>
      <c r="AQ125" s="1700">
        <v>316.45</v>
      </c>
      <c r="AR125" s="1683">
        <v>320.85000000000002</v>
      </c>
      <c r="AS125" s="1700">
        <v>325.26</v>
      </c>
      <c r="AT125" s="1683">
        <v>329.66</v>
      </c>
      <c r="AU125" s="1700">
        <v>334.06</v>
      </c>
      <c r="AV125" s="1700">
        <v>338.47</v>
      </c>
      <c r="AW125" s="1683">
        <v>342.87</v>
      </c>
      <c r="AX125" s="1683">
        <v>347.28</v>
      </c>
      <c r="AY125" s="1683">
        <v>351.68</v>
      </c>
      <c r="AZ125" s="1683">
        <v>356.09</v>
      </c>
      <c r="BA125" s="1683">
        <v>360.49</v>
      </c>
      <c r="BB125" s="1700">
        <v>364.9</v>
      </c>
      <c r="BC125" s="1683">
        <v>369.3</v>
      </c>
      <c r="BD125" s="1700">
        <v>373.7</v>
      </c>
      <c r="BE125" s="1683">
        <v>378.11</v>
      </c>
      <c r="BF125" s="1683">
        <v>382.51</v>
      </c>
      <c r="BG125" s="1683">
        <v>386.92</v>
      </c>
      <c r="BH125" s="1683">
        <v>391.32</v>
      </c>
      <c r="BI125" s="1683">
        <v>395.73</v>
      </c>
      <c r="BJ125" s="1683">
        <v>400.13</v>
      </c>
      <c r="BK125" s="1683">
        <v>404.53</v>
      </c>
      <c r="BL125" s="1683">
        <v>408.94</v>
      </c>
      <c r="BM125" s="1683">
        <v>413.34</v>
      </c>
      <c r="BN125" s="1683"/>
      <c r="BO125" s="1703">
        <v>121</v>
      </c>
      <c r="BP125" s="1693">
        <v>142.16</v>
      </c>
      <c r="BQ125" s="1693">
        <v>145.27000000000001</v>
      </c>
      <c r="BR125" s="1693">
        <v>148.38</v>
      </c>
      <c r="BS125" s="1693">
        <v>151.49</v>
      </c>
      <c r="BT125" s="1693">
        <v>154.6</v>
      </c>
      <c r="BU125" s="1694">
        <v>157.71</v>
      </c>
      <c r="BV125" s="1694">
        <v>160.82</v>
      </c>
      <c r="BW125" s="1694">
        <v>163.93</v>
      </c>
      <c r="BX125" s="1695">
        <v>167.04</v>
      </c>
      <c r="BY125" s="1696">
        <v>170.15</v>
      </c>
      <c r="BZ125" s="1696">
        <v>173.26</v>
      </c>
      <c r="CA125" s="1695">
        <v>176.37</v>
      </c>
      <c r="CB125" s="1695">
        <v>179.48</v>
      </c>
      <c r="CC125" s="1704">
        <v>182.59</v>
      </c>
      <c r="CD125" s="1697">
        <v>185.7</v>
      </c>
      <c r="CE125" s="1698">
        <v>188.81</v>
      </c>
      <c r="CF125" s="1699">
        <v>191.92</v>
      </c>
      <c r="CG125" s="1699">
        <v>195.03</v>
      </c>
      <c r="CH125" s="1699">
        <v>198.14</v>
      </c>
      <c r="CI125" s="1699">
        <v>201.25</v>
      </c>
      <c r="CJ125" s="1699">
        <v>204.36</v>
      </c>
      <c r="CK125" s="1700">
        <v>176.69</v>
      </c>
      <c r="CL125" s="1700">
        <v>179.8</v>
      </c>
      <c r="CM125" s="1700">
        <v>182.91</v>
      </c>
      <c r="CN125" s="1700">
        <v>186.02</v>
      </c>
      <c r="CO125" s="1705">
        <v>189.13</v>
      </c>
      <c r="CP125" s="1706">
        <v>192.24</v>
      </c>
      <c r="CQ125" s="1701">
        <v>195.34</v>
      </c>
      <c r="CR125" s="1701">
        <v>198.45</v>
      </c>
      <c r="CS125" s="1707">
        <v>201.56</v>
      </c>
      <c r="CT125" s="1700">
        <v>204.67</v>
      </c>
      <c r="CU125" s="1700">
        <v>207.78</v>
      </c>
      <c r="CV125" s="1700">
        <v>210.89</v>
      </c>
      <c r="CW125" s="1700">
        <v>214</v>
      </c>
      <c r="CX125" s="1700">
        <v>217.11</v>
      </c>
      <c r="CY125" s="1700">
        <v>220.2</v>
      </c>
      <c r="CZ125" s="1700">
        <v>223.33</v>
      </c>
      <c r="DA125" s="1700">
        <v>226.44</v>
      </c>
      <c r="DB125" s="1700">
        <v>229.55</v>
      </c>
      <c r="DC125" s="1700">
        <v>232.66</v>
      </c>
      <c r="DD125" s="1700">
        <v>235.77</v>
      </c>
      <c r="DE125" s="1700">
        <v>238.88</v>
      </c>
      <c r="DF125" s="1700">
        <v>241.99</v>
      </c>
      <c r="DG125" s="1700">
        <v>245.1</v>
      </c>
      <c r="DH125" s="1700">
        <v>248.21</v>
      </c>
      <c r="DI125" s="1700">
        <v>251.32</v>
      </c>
      <c r="DJ125" s="1700">
        <v>254.43</v>
      </c>
      <c r="DK125" s="1700">
        <v>257.54000000000002</v>
      </c>
      <c r="DL125" s="1700">
        <v>260.64999999999998</v>
      </c>
      <c r="DM125" s="1700">
        <v>263.76</v>
      </c>
      <c r="DN125" s="1700">
        <v>266.87</v>
      </c>
      <c r="DO125" s="1700">
        <v>269.98</v>
      </c>
      <c r="DP125" s="1700">
        <v>273.08999999999997</v>
      </c>
      <c r="DQ125" s="1700">
        <v>276.2</v>
      </c>
      <c r="DR125" s="1700">
        <v>279.31</v>
      </c>
      <c r="DS125" s="1700"/>
      <c r="DT125" s="1700"/>
      <c r="DU125" s="1700"/>
      <c r="DV125" s="1700"/>
      <c r="DW125" s="1700"/>
      <c r="DX125" s="1700"/>
    </row>
    <row r="126" spans="1:128">
      <c r="A126" s="1622"/>
      <c r="B126" s="1691">
        <f t="shared" si="9"/>
        <v>122</v>
      </c>
      <c r="C126" s="1668" t="str">
        <f t="shared" si="6"/>
        <v>327.72</v>
      </c>
      <c r="D126" s="1672">
        <f t="shared" si="7"/>
        <v>458.81</v>
      </c>
      <c r="E126" s="1670"/>
      <c r="F126" s="1671" t="str">
        <f t="shared" si="8"/>
        <v>206.06</v>
      </c>
      <c r="G126" s="1672">
        <f t="shared" si="5"/>
        <v>288.48</v>
      </c>
      <c r="H126" s="1670"/>
      <c r="I126" s="1670"/>
      <c r="J126" s="1708">
        <v>122</v>
      </c>
      <c r="K126" s="1693">
        <v>238.91</v>
      </c>
      <c r="L126" s="1693">
        <v>243.35</v>
      </c>
      <c r="M126" s="1693">
        <v>247.79</v>
      </c>
      <c r="N126" s="1693">
        <v>252.3</v>
      </c>
      <c r="O126" s="1693">
        <v>256.67</v>
      </c>
      <c r="P126" s="1694">
        <v>261.11</v>
      </c>
      <c r="Q126" s="1694">
        <v>265.55</v>
      </c>
      <c r="R126" s="1694">
        <v>269.99</v>
      </c>
      <c r="S126" s="1695">
        <v>274.43</v>
      </c>
      <c r="T126" s="1696">
        <v>278.87</v>
      </c>
      <c r="U126" s="1696">
        <v>283.32</v>
      </c>
      <c r="V126" s="1695">
        <v>287.76</v>
      </c>
      <c r="W126" s="1695">
        <v>292.2</v>
      </c>
      <c r="X126" s="1695">
        <v>296.64</v>
      </c>
      <c r="Y126" s="1697">
        <v>301.08</v>
      </c>
      <c r="Z126" s="1698">
        <v>305.52</v>
      </c>
      <c r="AA126" s="1699">
        <v>309.95999999999998</v>
      </c>
      <c r="AB126" s="1699">
        <v>314.39999999999998</v>
      </c>
      <c r="AC126" s="1699">
        <v>318.83999999999997</v>
      </c>
      <c r="AD126" s="1699">
        <v>323.27999999999997</v>
      </c>
      <c r="AE126" s="1699">
        <v>327.72</v>
      </c>
      <c r="AF126" s="1700">
        <v>270.24</v>
      </c>
      <c r="AG126" s="1700">
        <v>274.68</v>
      </c>
      <c r="AH126" s="1700">
        <v>279.12</v>
      </c>
      <c r="AI126" s="1700">
        <v>283.56</v>
      </c>
      <c r="AJ126" s="1701">
        <v>288</v>
      </c>
      <c r="AK126" s="1701">
        <v>292.44</v>
      </c>
      <c r="AL126" s="1701">
        <v>296.88</v>
      </c>
      <c r="AM126" s="1701">
        <v>301.33</v>
      </c>
      <c r="AN126" s="1701">
        <v>305.77</v>
      </c>
      <c r="AO126" s="1702">
        <v>310.20999999999998</v>
      </c>
      <c r="AP126" s="1700">
        <v>314.64999999999998</v>
      </c>
      <c r="AQ126" s="1700">
        <v>319.08999999999997</v>
      </c>
      <c r="AR126" s="1700">
        <v>323.52999999999997</v>
      </c>
      <c r="AS126" s="1700">
        <v>327.97</v>
      </c>
      <c r="AT126" s="1700">
        <v>332.41</v>
      </c>
      <c r="AU126" s="1700">
        <v>336.85</v>
      </c>
      <c r="AV126" s="1683">
        <v>341.29</v>
      </c>
      <c r="AW126" s="1700">
        <v>345.73</v>
      </c>
      <c r="AX126" s="1700">
        <v>350.17</v>
      </c>
      <c r="AY126" s="1683">
        <v>354.61</v>
      </c>
      <c r="AZ126" s="1700">
        <v>359.06</v>
      </c>
      <c r="BA126" s="1700">
        <v>363.5</v>
      </c>
      <c r="BB126" s="1700">
        <v>367.94</v>
      </c>
      <c r="BC126" s="1700">
        <v>372.38</v>
      </c>
      <c r="BD126" s="1683">
        <v>376.82</v>
      </c>
      <c r="BE126" s="1700">
        <v>381.26</v>
      </c>
      <c r="BF126" s="1700">
        <v>385.7</v>
      </c>
      <c r="BG126" s="1700">
        <v>390.14</v>
      </c>
      <c r="BH126" s="1700">
        <v>394.58</v>
      </c>
      <c r="BI126" s="1700">
        <v>399.02</v>
      </c>
      <c r="BJ126" s="1700">
        <v>403.46</v>
      </c>
      <c r="BK126" s="1700">
        <v>407.9</v>
      </c>
      <c r="BL126" s="1700">
        <v>412.35</v>
      </c>
      <c r="BM126" s="1700">
        <v>416.79</v>
      </c>
      <c r="BN126" s="1700"/>
      <c r="BO126" s="1703">
        <v>122</v>
      </c>
      <c r="BP126" s="1693">
        <v>143.35</v>
      </c>
      <c r="BQ126" s="1693">
        <v>146.49</v>
      </c>
      <c r="BR126" s="1693">
        <v>149.62</v>
      </c>
      <c r="BS126" s="1693">
        <v>152.76</v>
      </c>
      <c r="BT126" s="1693">
        <v>155.88999999999999</v>
      </c>
      <c r="BU126" s="1694">
        <v>159.03</v>
      </c>
      <c r="BV126" s="1694">
        <v>162.16999999999999</v>
      </c>
      <c r="BW126" s="1694">
        <v>165.3</v>
      </c>
      <c r="BX126" s="1695">
        <v>168.44</v>
      </c>
      <c r="BY126" s="1696">
        <v>171.57</v>
      </c>
      <c r="BZ126" s="1696">
        <v>174.71</v>
      </c>
      <c r="CA126" s="1695">
        <v>177.84</v>
      </c>
      <c r="CB126" s="1695">
        <v>180.98</v>
      </c>
      <c r="CC126" s="1704">
        <v>154.11000000000001</v>
      </c>
      <c r="CD126" s="1697">
        <v>187.25</v>
      </c>
      <c r="CE126" s="1698">
        <v>190.38</v>
      </c>
      <c r="CF126" s="1699">
        <v>193.52</v>
      </c>
      <c r="CG126" s="1699">
        <v>196.65</v>
      </c>
      <c r="CH126" s="1699">
        <v>199.79</v>
      </c>
      <c r="CI126" s="1699">
        <v>202.93</v>
      </c>
      <c r="CJ126" s="1699">
        <v>206.06</v>
      </c>
      <c r="CK126" s="1700">
        <v>178.16</v>
      </c>
      <c r="CL126" s="1700">
        <v>181.29</v>
      </c>
      <c r="CM126" s="1700">
        <v>184.43</v>
      </c>
      <c r="CN126" s="1700">
        <v>187.56</v>
      </c>
      <c r="CO126" s="1705">
        <v>190.7</v>
      </c>
      <c r="CP126" s="1706">
        <v>193.83</v>
      </c>
      <c r="CQ126" s="1701">
        <v>196.97</v>
      </c>
      <c r="CR126" s="1701">
        <v>200.1</v>
      </c>
      <c r="CS126" s="1707">
        <v>203.24</v>
      </c>
      <c r="CT126" s="1700">
        <v>206.37</v>
      </c>
      <c r="CU126" s="1700">
        <v>209.51</v>
      </c>
      <c r="CV126" s="1700">
        <v>212.65</v>
      </c>
      <c r="CW126" s="1700">
        <v>215.78</v>
      </c>
      <c r="CX126" s="1700">
        <v>218.92</v>
      </c>
      <c r="CY126" s="1700">
        <v>222.05</v>
      </c>
      <c r="CZ126" s="1700">
        <v>225.19</v>
      </c>
      <c r="DA126" s="1700">
        <v>228.32</v>
      </c>
      <c r="DB126" s="1700">
        <v>231.46</v>
      </c>
      <c r="DC126" s="1700">
        <v>234.59</v>
      </c>
      <c r="DD126" s="1700">
        <v>237.73</v>
      </c>
      <c r="DE126" s="1700">
        <v>240.86</v>
      </c>
      <c r="DF126" s="1700">
        <v>244</v>
      </c>
      <c r="DG126" s="1700">
        <v>247.13</v>
      </c>
      <c r="DH126" s="1700">
        <v>250.27</v>
      </c>
      <c r="DI126" s="1700">
        <v>253.41</v>
      </c>
      <c r="DJ126" s="1700">
        <v>256.54000000000002</v>
      </c>
      <c r="DK126" s="1700">
        <v>259.68</v>
      </c>
      <c r="DL126" s="1700">
        <v>262.81</v>
      </c>
      <c r="DM126" s="1700">
        <v>265.95</v>
      </c>
      <c r="DN126" s="1700">
        <v>269.08</v>
      </c>
      <c r="DO126" s="1700">
        <v>272.22000000000003</v>
      </c>
      <c r="DP126" s="1700">
        <v>275.35000000000002</v>
      </c>
      <c r="DQ126" s="1700">
        <v>278.49</v>
      </c>
      <c r="DR126" s="1700">
        <v>281.62</v>
      </c>
      <c r="DS126" s="1700"/>
      <c r="DT126" s="1700"/>
      <c r="DU126" s="1700"/>
      <c r="DV126" s="1700"/>
      <c r="DW126" s="1700"/>
      <c r="DX126" s="1700"/>
    </row>
    <row r="127" spans="1:128">
      <c r="A127" s="1622"/>
      <c r="B127" s="1691">
        <f t="shared" si="9"/>
        <v>123</v>
      </c>
      <c r="C127" s="1668" t="str">
        <f t="shared" si="6"/>
        <v>330.46</v>
      </c>
      <c r="D127" s="1672">
        <f t="shared" si="7"/>
        <v>462.64</v>
      </c>
      <c r="E127" s="1670"/>
      <c r="F127" s="1671" t="str">
        <f t="shared" si="8"/>
        <v>207.7</v>
      </c>
      <c r="G127" s="1672">
        <f t="shared" si="5"/>
        <v>290.77999999999997</v>
      </c>
      <c r="H127" s="1670"/>
      <c r="I127" s="1670"/>
      <c r="J127" s="1708">
        <v>123</v>
      </c>
      <c r="K127" s="1693">
        <v>240.92</v>
      </c>
      <c r="L127" s="1693">
        <v>245.4</v>
      </c>
      <c r="M127" s="1693">
        <v>249.87</v>
      </c>
      <c r="N127" s="1693">
        <v>254.35</v>
      </c>
      <c r="O127" s="1693">
        <v>258.83</v>
      </c>
      <c r="P127" s="1694">
        <v>263.31</v>
      </c>
      <c r="Q127" s="1694">
        <v>267.77999999999997</v>
      </c>
      <c r="R127" s="1694">
        <v>272.26</v>
      </c>
      <c r="S127" s="1695">
        <v>276.74</v>
      </c>
      <c r="T127" s="1696">
        <v>281.20999999999998</v>
      </c>
      <c r="U127" s="1696">
        <v>285.69</v>
      </c>
      <c r="V127" s="1695">
        <v>290.17</v>
      </c>
      <c r="W127" s="1695">
        <v>294.64999999999998</v>
      </c>
      <c r="X127" s="1695">
        <v>299.12</v>
      </c>
      <c r="Y127" s="1697">
        <v>303.60000000000002</v>
      </c>
      <c r="Z127" s="1698">
        <v>308.08</v>
      </c>
      <c r="AA127" s="1699">
        <v>312.55</v>
      </c>
      <c r="AB127" s="1699">
        <v>317.02999999999997</v>
      </c>
      <c r="AC127" s="1699">
        <v>321.51</v>
      </c>
      <c r="AD127" s="1699">
        <v>325.99</v>
      </c>
      <c r="AE127" s="1699">
        <v>330.46</v>
      </c>
      <c r="AF127" s="1700">
        <v>272.49</v>
      </c>
      <c r="AG127" s="1700">
        <v>276.95999999999998</v>
      </c>
      <c r="AH127" s="1700">
        <v>281.44</v>
      </c>
      <c r="AI127" s="1700">
        <v>285.92</v>
      </c>
      <c r="AJ127" s="1701">
        <v>290.39</v>
      </c>
      <c r="AK127" s="1701">
        <v>294.87</v>
      </c>
      <c r="AL127" s="1701">
        <v>299.35000000000002</v>
      </c>
      <c r="AM127" s="1701">
        <v>303.83</v>
      </c>
      <c r="AN127" s="1701">
        <v>308.3</v>
      </c>
      <c r="AO127" s="1702">
        <v>312.77999999999997</v>
      </c>
      <c r="AP127" s="1700">
        <v>317.26</v>
      </c>
      <c r="AQ127" s="1700">
        <v>321.74</v>
      </c>
      <c r="AR127" s="1683">
        <v>326.20999999999998</v>
      </c>
      <c r="AS127" s="1700">
        <v>330.69</v>
      </c>
      <c r="AT127" s="1700">
        <v>335.17</v>
      </c>
      <c r="AU127" s="1700">
        <v>339.64</v>
      </c>
      <c r="AV127" s="1700">
        <v>344.12</v>
      </c>
      <c r="AW127" s="1700">
        <v>348.6</v>
      </c>
      <c r="AX127" s="1700">
        <v>353.08</v>
      </c>
      <c r="AY127" s="1683">
        <v>357.55</v>
      </c>
      <c r="AZ127" s="1700">
        <v>362.03</v>
      </c>
      <c r="BA127" s="1700">
        <v>366.51</v>
      </c>
      <c r="BB127" s="1683">
        <v>370.98</v>
      </c>
      <c r="BC127" s="1700">
        <v>375.46</v>
      </c>
      <c r="BD127" s="1700">
        <v>379.94</v>
      </c>
      <c r="BE127" s="1700">
        <v>384.42</v>
      </c>
      <c r="BF127" s="1700">
        <v>388.89</v>
      </c>
      <c r="BG127" s="1700">
        <v>393.37</v>
      </c>
      <c r="BH127" s="1700">
        <v>397.85</v>
      </c>
      <c r="BI127" s="1700">
        <v>402.32</v>
      </c>
      <c r="BJ127" s="1700">
        <v>406.8</v>
      </c>
      <c r="BK127" s="1700">
        <v>411.28</v>
      </c>
      <c r="BL127" s="1700">
        <v>415.76</v>
      </c>
      <c r="BM127" s="1700">
        <v>420.23</v>
      </c>
      <c r="BN127" s="1700"/>
      <c r="BO127" s="1703">
        <v>123</v>
      </c>
      <c r="BP127" s="1693">
        <v>144.47999999999999</v>
      </c>
      <c r="BQ127" s="1693">
        <v>147.63999999999999</v>
      </c>
      <c r="BR127" s="1693">
        <v>150.80000000000001</v>
      </c>
      <c r="BS127" s="1693">
        <v>153.96</v>
      </c>
      <c r="BT127" s="1693">
        <v>157.12</v>
      </c>
      <c r="BU127" s="1694">
        <v>160.28</v>
      </c>
      <c r="BV127" s="1694">
        <v>163.44</v>
      </c>
      <c r="BW127" s="1694">
        <v>166.6</v>
      </c>
      <c r="BX127" s="1695">
        <v>169.77</v>
      </c>
      <c r="BY127" s="1696">
        <v>172.93</v>
      </c>
      <c r="BZ127" s="1696">
        <v>176.09</v>
      </c>
      <c r="CA127" s="1695">
        <v>179.25</v>
      </c>
      <c r="CB127" s="1695">
        <v>182.41</v>
      </c>
      <c r="CC127" s="1704">
        <v>185.57</v>
      </c>
      <c r="CD127" s="1697">
        <v>188.73</v>
      </c>
      <c r="CE127" s="1698">
        <v>191.89</v>
      </c>
      <c r="CF127" s="1699">
        <v>195.05</v>
      </c>
      <c r="CG127" s="1699">
        <v>198.22</v>
      </c>
      <c r="CH127" s="1699">
        <v>201.38</v>
      </c>
      <c r="CI127" s="1699">
        <v>204.54</v>
      </c>
      <c r="CJ127" s="1699">
        <v>207.7</v>
      </c>
      <c r="CK127" s="1700">
        <v>179.58</v>
      </c>
      <c r="CL127" s="1700">
        <v>182.75</v>
      </c>
      <c r="CM127" s="1700">
        <v>185.91</v>
      </c>
      <c r="CN127" s="1700">
        <v>189.07</v>
      </c>
      <c r="CO127" s="1705">
        <v>192.23</v>
      </c>
      <c r="CP127" s="1706">
        <v>195.39</v>
      </c>
      <c r="CQ127" s="1701">
        <v>198.55</v>
      </c>
      <c r="CR127" s="1701">
        <v>201.71</v>
      </c>
      <c r="CS127" s="1707">
        <v>204.87</v>
      </c>
      <c r="CT127" s="1700">
        <v>208.03</v>
      </c>
      <c r="CU127" s="1700">
        <v>211.2</v>
      </c>
      <c r="CV127" s="1700">
        <v>214.36</v>
      </c>
      <c r="CW127" s="1700">
        <v>217.52</v>
      </c>
      <c r="CX127" s="1700">
        <v>220.68</v>
      </c>
      <c r="CY127" s="1700">
        <v>223.84</v>
      </c>
      <c r="CZ127" s="1700">
        <v>227</v>
      </c>
      <c r="DA127" s="1700">
        <v>230.16</v>
      </c>
      <c r="DB127" s="1700">
        <v>233.32</v>
      </c>
      <c r="DC127" s="1700">
        <v>236.48</v>
      </c>
      <c r="DD127" s="1700">
        <v>239.65</v>
      </c>
      <c r="DE127" s="1700">
        <v>242.81</v>
      </c>
      <c r="DF127" s="1700">
        <v>245.97</v>
      </c>
      <c r="DG127" s="1700">
        <v>249.13</v>
      </c>
      <c r="DH127" s="1700">
        <v>252.29</v>
      </c>
      <c r="DI127" s="1700">
        <v>255.45</v>
      </c>
      <c r="DJ127" s="1700">
        <v>258.61</v>
      </c>
      <c r="DK127" s="1700">
        <v>261.77</v>
      </c>
      <c r="DL127" s="1700">
        <v>264.93</v>
      </c>
      <c r="DM127" s="1700">
        <v>268.10000000000002</v>
      </c>
      <c r="DN127" s="1700">
        <v>271.26</v>
      </c>
      <c r="DO127" s="1700">
        <v>274.42</v>
      </c>
      <c r="DP127" s="1700">
        <v>277.58</v>
      </c>
      <c r="DQ127" s="1700">
        <v>280.74</v>
      </c>
      <c r="DR127" s="1700">
        <v>283.89999999999998</v>
      </c>
      <c r="DS127" s="1700"/>
      <c r="DT127" s="1700"/>
      <c r="DU127" s="1700"/>
      <c r="DV127" s="1700"/>
      <c r="DW127" s="1700"/>
      <c r="DX127" s="1700"/>
    </row>
    <row r="128" spans="1:128">
      <c r="A128" s="1622"/>
      <c r="B128" s="1691">
        <f t="shared" si="9"/>
        <v>124</v>
      </c>
      <c r="C128" s="1668" t="str">
        <f t="shared" si="6"/>
        <v>333.21</v>
      </c>
      <c r="D128" s="1672">
        <f t="shared" si="7"/>
        <v>466.49</v>
      </c>
      <c r="E128" s="1670"/>
      <c r="F128" s="1671" t="str">
        <f t="shared" si="8"/>
        <v>209.41</v>
      </c>
      <c r="G128" s="1672">
        <f t="shared" si="5"/>
        <v>293.17</v>
      </c>
      <c r="H128" s="1670"/>
      <c r="I128" s="1670"/>
      <c r="J128" s="1708">
        <v>124</v>
      </c>
      <c r="K128" s="1693">
        <v>242.94</v>
      </c>
      <c r="L128" s="1693">
        <v>247.45</v>
      </c>
      <c r="M128" s="1693">
        <v>251.97</v>
      </c>
      <c r="N128" s="1693">
        <v>256.48</v>
      </c>
      <c r="O128" s="1693">
        <v>261</v>
      </c>
      <c r="P128" s="1694">
        <v>265.51</v>
      </c>
      <c r="Q128" s="1694">
        <v>270.02</v>
      </c>
      <c r="R128" s="1694">
        <v>274.54000000000002</v>
      </c>
      <c r="S128" s="1695">
        <v>279.05</v>
      </c>
      <c r="T128" s="1696">
        <v>283.56</v>
      </c>
      <c r="U128" s="1696">
        <v>288.08</v>
      </c>
      <c r="V128" s="1695">
        <v>292.58999999999997</v>
      </c>
      <c r="W128" s="1695">
        <v>297.10000000000002</v>
      </c>
      <c r="X128" s="1695">
        <v>301.62</v>
      </c>
      <c r="Y128" s="1697">
        <v>306.13</v>
      </c>
      <c r="Z128" s="1698">
        <v>310.64999999999998</v>
      </c>
      <c r="AA128" s="1699">
        <v>315.16000000000003</v>
      </c>
      <c r="AB128" s="1699">
        <v>319.67</v>
      </c>
      <c r="AC128" s="1699">
        <v>324.19</v>
      </c>
      <c r="AD128" s="1699">
        <v>328.7</v>
      </c>
      <c r="AE128" s="1699">
        <v>333.21</v>
      </c>
      <c r="AF128" s="1683">
        <v>274.74</v>
      </c>
      <c r="AG128" s="1683">
        <v>279.25</v>
      </c>
      <c r="AH128" s="1683">
        <v>283.77</v>
      </c>
      <c r="AI128" s="1683">
        <v>288.27999999999997</v>
      </c>
      <c r="AJ128" s="1701">
        <v>292.79000000000002</v>
      </c>
      <c r="AK128" s="1701">
        <v>297.31</v>
      </c>
      <c r="AL128" s="1701">
        <v>301.82</v>
      </c>
      <c r="AM128" s="1701">
        <v>306.33</v>
      </c>
      <c r="AN128" s="1701">
        <v>310.85000000000002</v>
      </c>
      <c r="AO128" s="1702">
        <v>315.36</v>
      </c>
      <c r="AP128" s="1700">
        <v>319.87</v>
      </c>
      <c r="AQ128" s="1700">
        <v>324.39</v>
      </c>
      <c r="AR128" s="1700">
        <v>328.9</v>
      </c>
      <c r="AS128" s="1700">
        <v>333.41</v>
      </c>
      <c r="AT128" s="1683">
        <v>337.93</v>
      </c>
      <c r="AU128" s="1700">
        <v>342.44</v>
      </c>
      <c r="AV128" s="1700">
        <v>346.96</v>
      </c>
      <c r="AW128" s="1683">
        <v>351.47</v>
      </c>
      <c r="AX128" s="1683">
        <v>355.98</v>
      </c>
      <c r="AY128" s="1683">
        <v>360.5</v>
      </c>
      <c r="AZ128" s="1683">
        <v>365.01</v>
      </c>
      <c r="BA128" s="1683">
        <v>396.52</v>
      </c>
      <c r="BB128" s="1700">
        <v>374.04</v>
      </c>
      <c r="BC128" s="1683">
        <v>378.55</v>
      </c>
      <c r="BD128" s="1700">
        <v>383.06</v>
      </c>
      <c r="BE128" s="1683">
        <v>387.58</v>
      </c>
      <c r="BF128" s="1683">
        <v>392.09</v>
      </c>
      <c r="BG128" s="1683">
        <v>396.61</v>
      </c>
      <c r="BH128" s="1683">
        <v>401.12</v>
      </c>
      <c r="BI128" s="1683">
        <v>405.63</v>
      </c>
      <c r="BJ128" s="1683">
        <v>410.15</v>
      </c>
      <c r="BK128" s="1683">
        <v>414.66</v>
      </c>
      <c r="BL128" s="1683">
        <v>419.17</v>
      </c>
      <c r="BM128" s="1683">
        <v>423.69</v>
      </c>
      <c r="BN128" s="1683"/>
      <c r="BO128" s="1703">
        <v>124</v>
      </c>
      <c r="BP128" s="1693">
        <v>145.66999999999999</v>
      </c>
      <c r="BQ128" s="1693">
        <v>148.86000000000001</v>
      </c>
      <c r="BR128" s="1693">
        <v>152.04</v>
      </c>
      <c r="BS128" s="1693">
        <v>155.22999999999999</v>
      </c>
      <c r="BT128" s="1693">
        <v>158.41999999999999</v>
      </c>
      <c r="BU128" s="1694">
        <v>161.6</v>
      </c>
      <c r="BV128" s="1694">
        <v>164.79</v>
      </c>
      <c r="BW128" s="1694">
        <v>167.98</v>
      </c>
      <c r="BX128" s="1695">
        <v>171.17</v>
      </c>
      <c r="BY128" s="1696">
        <v>174.35</v>
      </c>
      <c r="BZ128" s="1696">
        <v>177.54</v>
      </c>
      <c r="CA128" s="1695">
        <v>180.73</v>
      </c>
      <c r="CB128" s="1695">
        <v>183.91</v>
      </c>
      <c r="CC128" s="1704">
        <v>187.1</v>
      </c>
      <c r="CD128" s="1697">
        <v>190.29</v>
      </c>
      <c r="CE128" s="1698">
        <v>193.47</v>
      </c>
      <c r="CF128" s="1699">
        <v>196.66</v>
      </c>
      <c r="CG128" s="1699">
        <v>199.85</v>
      </c>
      <c r="CH128" s="1699">
        <v>203.03</v>
      </c>
      <c r="CI128" s="1699">
        <v>206.22</v>
      </c>
      <c r="CJ128" s="1699">
        <v>209.41</v>
      </c>
      <c r="CK128" s="1700">
        <v>181.06</v>
      </c>
      <c r="CL128" s="1700">
        <v>184.24</v>
      </c>
      <c r="CM128" s="1700">
        <v>187.43</v>
      </c>
      <c r="CN128" s="1700">
        <v>190.62</v>
      </c>
      <c r="CO128" s="1705">
        <v>193.8</v>
      </c>
      <c r="CP128" s="1706">
        <v>196.99</v>
      </c>
      <c r="CQ128" s="1701">
        <v>200.18</v>
      </c>
      <c r="CR128" s="1701">
        <v>203.36</v>
      </c>
      <c r="CS128" s="1707">
        <v>206.55</v>
      </c>
      <c r="CT128" s="1700">
        <v>209.74</v>
      </c>
      <c r="CU128" s="1700">
        <v>212.92</v>
      </c>
      <c r="CV128" s="1700">
        <v>216.11</v>
      </c>
      <c r="CW128" s="1700">
        <v>219.3</v>
      </c>
      <c r="CX128" s="1700">
        <v>222.48</v>
      </c>
      <c r="CY128" s="1700">
        <v>225.67</v>
      </c>
      <c r="CZ128" s="1700">
        <v>228.86</v>
      </c>
      <c r="DA128" s="1700">
        <v>232.05</v>
      </c>
      <c r="DB128" s="1700">
        <v>235.23</v>
      </c>
      <c r="DC128" s="1700">
        <v>238.42</v>
      </c>
      <c r="DD128" s="1700">
        <v>241.61</v>
      </c>
      <c r="DE128" s="1700">
        <v>244.79</v>
      </c>
      <c r="DF128" s="1700">
        <v>247.98</v>
      </c>
      <c r="DG128" s="1700">
        <v>251.17</v>
      </c>
      <c r="DH128" s="1700">
        <v>254.35</v>
      </c>
      <c r="DI128" s="1700">
        <v>257.54000000000002</v>
      </c>
      <c r="DJ128" s="1700">
        <v>260.73</v>
      </c>
      <c r="DK128" s="1700">
        <v>263.91000000000003</v>
      </c>
      <c r="DL128" s="1700">
        <v>267.10000000000002</v>
      </c>
      <c r="DM128" s="1700">
        <v>270.29000000000002</v>
      </c>
      <c r="DN128" s="1700">
        <v>273.47000000000003</v>
      </c>
      <c r="DO128" s="1700">
        <v>276.66000000000003</v>
      </c>
      <c r="DP128" s="1700">
        <v>279.85000000000002</v>
      </c>
      <c r="DQ128" s="1700">
        <v>283.02999999999997</v>
      </c>
      <c r="DR128" s="1700">
        <v>286.22000000000003</v>
      </c>
      <c r="DS128" s="1700"/>
      <c r="DT128" s="1700"/>
      <c r="DU128" s="1700"/>
      <c r="DV128" s="1700"/>
      <c r="DW128" s="1700"/>
      <c r="DX128" s="1700"/>
    </row>
    <row r="129" spans="1:128">
      <c r="A129" s="1622"/>
      <c r="B129" s="1691">
        <f t="shared" si="9"/>
        <v>125</v>
      </c>
      <c r="C129" s="1668" t="str">
        <f t="shared" si="6"/>
        <v>335.71</v>
      </c>
      <c r="D129" s="1672">
        <f t="shared" si="7"/>
        <v>469.99</v>
      </c>
      <c r="E129" s="1670"/>
      <c r="F129" s="1671" t="str">
        <f t="shared" si="8"/>
        <v>211.12</v>
      </c>
      <c r="G129" s="1672">
        <f t="shared" si="5"/>
        <v>295.57</v>
      </c>
      <c r="H129" s="1670"/>
      <c r="I129" s="1670"/>
      <c r="J129" s="1708">
        <v>125</v>
      </c>
      <c r="K129" s="1693">
        <v>244.71</v>
      </c>
      <c r="L129" s="1693">
        <v>249.26</v>
      </c>
      <c r="M129" s="1693">
        <v>253.81</v>
      </c>
      <c r="N129" s="1693">
        <v>258.36</v>
      </c>
      <c r="O129" s="1693">
        <v>262.91000000000003</v>
      </c>
      <c r="P129" s="1694">
        <v>267.45999999999998</v>
      </c>
      <c r="Q129" s="1694">
        <v>272.01</v>
      </c>
      <c r="R129" s="1694">
        <v>276.56</v>
      </c>
      <c r="S129" s="1695">
        <v>281.11</v>
      </c>
      <c r="T129" s="1696">
        <v>285.66000000000003</v>
      </c>
      <c r="U129" s="1696">
        <v>290.20999999999998</v>
      </c>
      <c r="V129" s="1695">
        <v>294.76</v>
      </c>
      <c r="W129" s="1695">
        <v>299.31</v>
      </c>
      <c r="X129" s="1695">
        <v>303.86</v>
      </c>
      <c r="Y129" s="1697">
        <v>308.41000000000003</v>
      </c>
      <c r="Z129" s="1698">
        <v>312.95999999999998</v>
      </c>
      <c r="AA129" s="1699">
        <v>317.51</v>
      </c>
      <c r="AB129" s="1699">
        <v>322.06</v>
      </c>
      <c r="AC129" s="1699">
        <v>326.61</v>
      </c>
      <c r="AD129" s="1699">
        <v>331.16</v>
      </c>
      <c r="AE129" s="1699">
        <v>335.71</v>
      </c>
      <c r="AF129" s="1700">
        <v>276.83999999999997</v>
      </c>
      <c r="AG129" s="1700">
        <v>281.39</v>
      </c>
      <c r="AH129" s="1700">
        <v>285.94</v>
      </c>
      <c r="AI129" s="1700">
        <v>290.49</v>
      </c>
      <c r="AJ129" s="1701">
        <v>295.04000000000002</v>
      </c>
      <c r="AK129" s="1701">
        <v>299.58999999999997</v>
      </c>
      <c r="AL129" s="1701">
        <v>304.14</v>
      </c>
      <c r="AM129" s="1701">
        <v>308.69</v>
      </c>
      <c r="AN129" s="1701">
        <v>313.24</v>
      </c>
      <c r="AO129" s="1702">
        <v>317.79000000000002</v>
      </c>
      <c r="AP129" s="1700">
        <v>322.33999999999997</v>
      </c>
      <c r="AQ129" s="1700">
        <v>326.89</v>
      </c>
      <c r="AR129" s="1683">
        <v>331.44</v>
      </c>
      <c r="AS129" s="1700">
        <v>335.99</v>
      </c>
      <c r="AT129" s="1700">
        <v>340.54</v>
      </c>
      <c r="AU129" s="1700">
        <v>345.09</v>
      </c>
      <c r="AV129" s="1683">
        <v>349.64</v>
      </c>
      <c r="AW129" s="1700">
        <v>354.19</v>
      </c>
      <c r="AX129" s="1700">
        <v>358.74</v>
      </c>
      <c r="AY129" s="1683">
        <v>363.29</v>
      </c>
      <c r="AZ129" s="1700">
        <v>367.84</v>
      </c>
      <c r="BA129" s="1700">
        <v>372.39</v>
      </c>
      <c r="BB129" s="1700">
        <v>376.94</v>
      </c>
      <c r="BC129" s="1700">
        <v>381.49</v>
      </c>
      <c r="BD129" s="1683">
        <v>386.04</v>
      </c>
      <c r="BE129" s="1700">
        <v>390.59</v>
      </c>
      <c r="BF129" s="1700">
        <v>395.14</v>
      </c>
      <c r="BG129" s="1700">
        <v>399.69</v>
      </c>
      <c r="BH129" s="1700">
        <v>404.24</v>
      </c>
      <c r="BI129" s="1700">
        <v>408.79</v>
      </c>
      <c r="BJ129" s="1700">
        <v>413.34</v>
      </c>
      <c r="BK129" s="1700">
        <v>417.89</v>
      </c>
      <c r="BL129" s="1700">
        <v>422.44</v>
      </c>
      <c r="BM129" s="1700">
        <v>426.99</v>
      </c>
      <c r="BN129" s="1700"/>
      <c r="BO129" s="1703">
        <v>125</v>
      </c>
      <c r="BP129" s="1693">
        <v>146.87</v>
      </c>
      <c r="BQ129" s="1693">
        <v>150.08000000000001</v>
      </c>
      <c r="BR129" s="1693">
        <v>153.29</v>
      </c>
      <c r="BS129" s="1693">
        <v>156.5</v>
      </c>
      <c r="BT129" s="1693">
        <v>159.72</v>
      </c>
      <c r="BU129" s="1694">
        <v>162.93</v>
      </c>
      <c r="BV129" s="1694">
        <v>166.14</v>
      </c>
      <c r="BW129" s="1694">
        <v>169.35</v>
      </c>
      <c r="BX129" s="1695">
        <v>172.57</v>
      </c>
      <c r="BY129" s="1696">
        <v>175.78</v>
      </c>
      <c r="BZ129" s="1696">
        <v>178.99</v>
      </c>
      <c r="CA129" s="1695">
        <v>182.2</v>
      </c>
      <c r="CB129" s="1695">
        <v>185.42</v>
      </c>
      <c r="CC129" s="1704">
        <v>188.63</v>
      </c>
      <c r="CD129" s="1697">
        <v>191.84</v>
      </c>
      <c r="CE129" s="1698">
        <v>195.05</v>
      </c>
      <c r="CF129" s="1699">
        <v>198.27</v>
      </c>
      <c r="CG129" s="1699">
        <v>201.48</v>
      </c>
      <c r="CH129" s="1699">
        <v>204.69</v>
      </c>
      <c r="CI129" s="1699">
        <v>207.9</v>
      </c>
      <c r="CJ129" s="1699">
        <v>211.12</v>
      </c>
      <c r="CK129" s="1700">
        <v>182.53</v>
      </c>
      <c r="CL129" s="1700">
        <v>185.74</v>
      </c>
      <c r="CM129" s="1700">
        <v>188.95</v>
      </c>
      <c r="CN129" s="1700">
        <v>192.17</v>
      </c>
      <c r="CO129" s="1705">
        <v>195.38</v>
      </c>
      <c r="CP129" s="1706">
        <v>198.59</v>
      </c>
      <c r="CQ129" s="1701">
        <v>201.8</v>
      </c>
      <c r="CR129" s="1701">
        <v>205.02</v>
      </c>
      <c r="CS129" s="1707">
        <v>208.23</v>
      </c>
      <c r="CT129" s="1700">
        <v>211.44</v>
      </c>
      <c r="CU129" s="1700">
        <v>214.65</v>
      </c>
      <c r="CV129" s="1700">
        <v>217.87</v>
      </c>
      <c r="CW129" s="1700">
        <v>221.08</v>
      </c>
      <c r="CX129" s="1700">
        <v>224.29</v>
      </c>
      <c r="CY129" s="1700">
        <v>227.5</v>
      </c>
      <c r="CZ129" s="1700">
        <v>230.72</v>
      </c>
      <c r="DA129" s="1700">
        <v>233.93</v>
      </c>
      <c r="DB129" s="1700">
        <v>237.14</v>
      </c>
      <c r="DC129" s="1700">
        <v>240.35</v>
      </c>
      <c r="DD129" s="1700">
        <v>243.57</v>
      </c>
      <c r="DE129" s="1700">
        <v>246.78</v>
      </c>
      <c r="DF129" s="1700">
        <v>249.99</v>
      </c>
      <c r="DG129" s="1700">
        <v>253.2</v>
      </c>
      <c r="DH129" s="1700">
        <v>256.42</v>
      </c>
      <c r="DI129" s="1700">
        <v>259.63</v>
      </c>
      <c r="DJ129" s="1700">
        <v>262.83999999999997</v>
      </c>
      <c r="DK129" s="1700">
        <v>266.05</v>
      </c>
      <c r="DL129" s="1700">
        <v>269.27</v>
      </c>
      <c r="DM129" s="1700">
        <v>272.48</v>
      </c>
      <c r="DN129" s="1700">
        <v>275.69</v>
      </c>
      <c r="DO129" s="1700">
        <v>278.89999999999998</v>
      </c>
      <c r="DP129" s="1700">
        <v>282.12</v>
      </c>
      <c r="DQ129" s="1700">
        <v>285.33</v>
      </c>
      <c r="DR129" s="1700">
        <v>288.54000000000002</v>
      </c>
      <c r="DS129" s="1700"/>
      <c r="DT129" s="1700"/>
      <c r="DU129" s="1700"/>
      <c r="DV129" s="1700"/>
      <c r="DW129" s="1700"/>
      <c r="DX129" s="1700"/>
    </row>
    <row r="130" spans="1:128">
      <c r="A130" s="1622"/>
      <c r="B130" s="1691">
        <f t="shared" si="9"/>
        <v>126</v>
      </c>
      <c r="C130" s="1668" t="str">
        <f t="shared" si="6"/>
        <v>338.47</v>
      </c>
      <c r="D130" s="1672">
        <f t="shared" si="7"/>
        <v>473.86</v>
      </c>
      <c r="E130" s="1670"/>
      <c r="F130" s="1671" t="str">
        <f t="shared" si="8"/>
        <v>212.76</v>
      </c>
      <c r="G130" s="1672">
        <f t="shared" si="5"/>
        <v>297.86</v>
      </c>
      <c r="H130" s="1670"/>
      <c r="I130" s="1670"/>
      <c r="J130" s="1708">
        <v>126</v>
      </c>
      <c r="K130" s="1693">
        <v>246.74</v>
      </c>
      <c r="L130" s="1693">
        <v>251.33</v>
      </c>
      <c r="M130" s="1693">
        <v>255.92</v>
      </c>
      <c r="N130" s="1693">
        <v>260.5</v>
      </c>
      <c r="O130" s="1693">
        <v>265.08999999999997</v>
      </c>
      <c r="P130" s="1694">
        <v>269.68</v>
      </c>
      <c r="Q130" s="1694">
        <v>274.26</v>
      </c>
      <c r="R130" s="1694">
        <v>278.85000000000002</v>
      </c>
      <c r="S130" s="1695">
        <v>283.44</v>
      </c>
      <c r="T130" s="1696">
        <v>288.02</v>
      </c>
      <c r="U130" s="1696">
        <v>292.61</v>
      </c>
      <c r="V130" s="1695">
        <v>297.2</v>
      </c>
      <c r="W130" s="1695">
        <v>301.77999999999997</v>
      </c>
      <c r="X130" s="1695">
        <v>306.37</v>
      </c>
      <c r="Y130" s="1697">
        <v>310.95</v>
      </c>
      <c r="Z130" s="1698">
        <v>315.54000000000002</v>
      </c>
      <c r="AA130" s="1699">
        <v>320.13</v>
      </c>
      <c r="AB130" s="1699">
        <v>324.70999999999998</v>
      </c>
      <c r="AC130" s="1699">
        <v>329.3</v>
      </c>
      <c r="AD130" s="1699">
        <v>333.89</v>
      </c>
      <c r="AE130" s="1699">
        <v>338.47</v>
      </c>
      <c r="AF130" s="1700">
        <v>279.10000000000002</v>
      </c>
      <c r="AG130" s="1700">
        <v>283.69</v>
      </c>
      <c r="AH130" s="1700">
        <v>288.27999999999997</v>
      </c>
      <c r="AI130" s="1700">
        <v>292.86</v>
      </c>
      <c r="AJ130" s="1701">
        <v>297.45</v>
      </c>
      <c r="AK130" s="1701">
        <v>302.02999999999997</v>
      </c>
      <c r="AL130" s="1701">
        <v>306.62</v>
      </c>
      <c r="AM130" s="1701">
        <v>311.20999999999998</v>
      </c>
      <c r="AN130" s="1701">
        <v>315.79000000000002</v>
      </c>
      <c r="AO130" s="1702">
        <v>320.38</v>
      </c>
      <c r="AP130" s="1700">
        <v>324.97000000000003</v>
      </c>
      <c r="AQ130" s="1700">
        <v>329.55</v>
      </c>
      <c r="AR130" s="1700">
        <v>334.14</v>
      </c>
      <c r="AS130" s="1700">
        <v>338.73</v>
      </c>
      <c r="AT130" s="1700">
        <v>343.31</v>
      </c>
      <c r="AU130" s="1700">
        <v>347.9</v>
      </c>
      <c r="AV130" s="1700">
        <v>352.48</v>
      </c>
      <c r="AW130" s="1700">
        <v>357.07</v>
      </c>
      <c r="AX130" s="1700">
        <v>361.66</v>
      </c>
      <c r="AY130" s="1683">
        <v>366.24</v>
      </c>
      <c r="AZ130" s="1700">
        <v>370.83</v>
      </c>
      <c r="BA130" s="1700">
        <v>375.42</v>
      </c>
      <c r="BB130" s="1683">
        <v>380</v>
      </c>
      <c r="BC130" s="1700">
        <v>384.59</v>
      </c>
      <c r="BD130" s="1700">
        <v>389.18</v>
      </c>
      <c r="BE130" s="1700">
        <v>393.76</v>
      </c>
      <c r="BF130" s="1700">
        <v>398.35</v>
      </c>
      <c r="BG130" s="1700">
        <v>402.94</v>
      </c>
      <c r="BH130" s="1700">
        <v>407.52</v>
      </c>
      <c r="BI130" s="1700">
        <v>412.11</v>
      </c>
      <c r="BJ130" s="1700">
        <v>416.69</v>
      </c>
      <c r="BK130" s="1700">
        <v>421.28</v>
      </c>
      <c r="BL130" s="1700">
        <v>428.87</v>
      </c>
      <c r="BM130" s="1700">
        <v>430.45</v>
      </c>
      <c r="BN130" s="1700"/>
      <c r="BO130" s="1703">
        <v>126</v>
      </c>
      <c r="BP130" s="1693">
        <v>147.99</v>
      </c>
      <c r="BQ130" s="1693">
        <v>151.22999999999999</v>
      </c>
      <c r="BR130" s="1693">
        <v>154.47</v>
      </c>
      <c r="BS130" s="1693">
        <v>157.71</v>
      </c>
      <c r="BT130" s="1693">
        <v>160.94999999999999</v>
      </c>
      <c r="BU130" s="1694">
        <v>164.19</v>
      </c>
      <c r="BV130" s="1694">
        <v>167.42</v>
      </c>
      <c r="BW130" s="1694">
        <v>170.66</v>
      </c>
      <c r="BX130" s="1695">
        <v>173.9</v>
      </c>
      <c r="BY130" s="1696">
        <v>177.14</v>
      </c>
      <c r="BZ130" s="1696">
        <v>180.38</v>
      </c>
      <c r="CA130" s="1695">
        <v>183.61</v>
      </c>
      <c r="CB130" s="1695">
        <v>186.85</v>
      </c>
      <c r="CC130" s="1704">
        <v>190.09</v>
      </c>
      <c r="CD130" s="1697">
        <v>193.33</v>
      </c>
      <c r="CE130" s="1698">
        <v>196.57</v>
      </c>
      <c r="CF130" s="1699">
        <v>199.81</v>
      </c>
      <c r="CG130" s="1699">
        <v>203.04</v>
      </c>
      <c r="CH130" s="1699">
        <v>206.28</v>
      </c>
      <c r="CI130" s="1699">
        <v>209.52</v>
      </c>
      <c r="CJ130" s="1699">
        <v>212.76</v>
      </c>
      <c r="CK130" s="1700">
        <v>183.96</v>
      </c>
      <c r="CL130" s="1700">
        <v>187.2</v>
      </c>
      <c r="CM130" s="1700">
        <v>190.44</v>
      </c>
      <c r="CN130" s="1700">
        <v>193.67</v>
      </c>
      <c r="CO130" s="1705">
        <v>196.91</v>
      </c>
      <c r="CP130" s="1706">
        <v>200.15</v>
      </c>
      <c r="CQ130" s="1701">
        <v>203.39</v>
      </c>
      <c r="CR130" s="1701">
        <v>206.63</v>
      </c>
      <c r="CS130" s="1707">
        <v>209.87</v>
      </c>
      <c r="CT130" s="1700">
        <v>213.1</v>
      </c>
      <c r="CU130" s="1700">
        <v>216.34</v>
      </c>
      <c r="CV130" s="1700">
        <v>219.58</v>
      </c>
      <c r="CW130" s="1700">
        <v>222.82</v>
      </c>
      <c r="CX130" s="1700">
        <v>226.06</v>
      </c>
      <c r="CY130" s="1700">
        <v>229.3</v>
      </c>
      <c r="CZ130" s="1700">
        <v>232.53</v>
      </c>
      <c r="DA130" s="1700">
        <v>235.77</v>
      </c>
      <c r="DB130" s="1700">
        <v>239.01</v>
      </c>
      <c r="DC130" s="1700">
        <v>242.25</v>
      </c>
      <c r="DD130" s="1700">
        <v>245.49</v>
      </c>
      <c r="DE130" s="1700">
        <v>248.72</v>
      </c>
      <c r="DF130" s="1700">
        <v>251.96</v>
      </c>
      <c r="DG130" s="1700">
        <v>255.2</v>
      </c>
      <c r="DH130" s="1700">
        <v>258.44</v>
      </c>
      <c r="DI130" s="1700">
        <v>261.68</v>
      </c>
      <c r="DJ130" s="1700">
        <v>264.92</v>
      </c>
      <c r="DK130" s="1700">
        <v>268.14999999999998</v>
      </c>
      <c r="DL130" s="1700">
        <v>271.39</v>
      </c>
      <c r="DM130" s="1700">
        <v>274.63</v>
      </c>
      <c r="DN130" s="1700">
        <v>277.87</v>
      </c>
      <c r="DO130" s="1700">
        <v>281.11</v>
      </c>
      <c r="DP130" s="1700">
        <v>284.33999999999997</v>
      </c>
      <c r="DQ130" s="1700">
        <v>287.58</v>
      </c>
      <c r="DR130" s="1700">
        <v>290.82</v>
      </c>
      <c r="DS130" s="1700"/>
      <c r="DT130" s="1700"/>
      <c r="DU130" s="1700"/>
      <c r="DV130" s="1700"/>
      <c r="DW130" s="1700"/>
      <c r="DX130" s="1700"/>
    </row>
    <row r="131" spans="1:128">
      <c r="A131" s="1622"/>
      <c r="B131" s="1691">
        <f t="shared" si="9"/>
        <v>127</v>
      </c>
      <c r="C131" s="1668" t="str">
        <f t="shared" si="6"/>
        <v>341.25</v>
      </c>
      <c r="D131" s="1672">
        <f t="shared" si="7"/>
        <v>477.75</v>
      </c>
      <c r="E131" s="1670"/>
      <c r="F131" s="1671" t="str">
        <f t="shared" si="8"/>
        <v>214.47</v>
      </c>
      <c r="G131" s="1672">
        <f t="shared" si="5"/>
        <v>300.26</v>
      </c>
      <c r="H131" s="1670"/>
      <c r="I131" s="1670"/>
      <c r="J131" s="1708">
        <v>127</v>
      </c>
      <c r="K131" s="1693">
        <v>248.79</v>
      </c>
      <c r="L131" s="1693">
        <v>253.41</v>
      </c>
      <c r="M131" s="1693">
        <v>258.04000000000002</v>
      </c>
      <c r="N131" s="1693">
        <v>262.66000000000003</v>
      </c>
      <c r="O131" s="1693">
        <v>267.27999999999997</v>
      </c>
      <c r="P131" s="1694">
        <v>271.89999999999998</v>
      </c>
      <c r="Q131" s="1694">
        <v>276.52999999999997</v>
      </c>
      <c r="R131" s="1694">
        <v>281.14999999999998</v>
      </c>
      <c r="S131" s="1695">
        <v>285.77</v>
      </c>
      <c r="T131" s="1696">
        <v>290.39999999999998</v>
      </c>
      <c r="U131" s="1696">
        <v>295.02</v>
      </c>
      <c r="V131" s="1695">
        <v>299.64</v>
      </c>
      <c r="W131" s="1695">
        <v>304.26</v>
      </c>
      <c r="X131" s="1695">
        <v>308.89</v>
      </c>
      <c r="Y131" s="1697">
        <v>313.51</v>
      </c>
      <c r="Z131" s="1698">
        <v>318.13</v>
      </c>
      <c r="AA131" s="1699">
        <v>322.76</v>
      </c>
      <c r="AB131" s="1699">
        <v>327.38</v>
      </c>
      <c r="AC131" s="1699">
        <v>332</v>
      </c>
      <c r="AD131" s="1699">
        <v>336.62</v>
      </c>
      <c r="AE131" s="1699">
        <v>341.25</v>
      </c>
      <c r="AF131" s="1683">
        <v>281.37</v>
      </c>
      <c r="AG131" s="1683">
        <v>285.99</v>
      </c>
      <c r="AH131" s="1683">
        <v>290.61</v>
      </c>
      <c r="AI131" s="1683">
        <v>295.24</v>
      </c>
      <c r="AJ131" s="1701">
        <v>299.86</v>
      </c>
      <c r="AK131" s="1701">
        <v>304.48</v>
      </c>
      <c r="AL131" s="1701">
        <v>309.11</v>
      </c>
      <c r="AM131" s="1701">
        <v>313.73</v>
      </c>
      <c r="AN131" s="1701">
        <v>318.35000000000002</v>
      </c>
      <c r="AO131" s="1702">
        <v>322.97000000000003</v>
      </c>
      <c r="AP131" s="1700">
        <v>327.60000000000002</v>
      </c>
      <c r="AQ131" s="1700">
        <v>332.22</v>
      </c>
      <c r="AR131" s="1683">
        <v>336.84</v>
      </c>
      <c r="AS131" s="1700">
        <v>341.47</v>
      </c>
      <c r="AT131" s="1683">
        <v>346.09</v>
      </c>
      <c r="AU131" s="1700">
        <v>350.71</v>
      </c>
      <c r="AV131" s="1700">
        <v>355.33</v>
      </c>
      <c r="AW131" s="1683">
        <v>359.96</v>
      </c>
      <c r="AX131" s="1683">
        <v>364.58</v>
      </c>
      <c r="AY131" s="1683">
        <v>369.2</v>
      </c>
      <c r="AZ131" s="1683">
        <v>373.82</v>
      </c>
      <c r="BA131" s="1683">
        <v>378.45</v>
      </c>
      <c r="BB131" s="1700">
        <v>383.07</v>
      </c>
      <c r="BC131" s="1683">
        <v>387.69</v>
      </c>
      <c r="BD131" s="1700">
        <v>392.32</v>
      </c>
      <c r="BE131" s="1683">
        <v>396.94</v>
      </c>
      <c r="BF131" s="1683">
        <v>401.56</v>
      </c>
      <c r="BG131" s="1683">
        <v>406.18</v>
      </c>
      <c r="BH131" s="1683">
        <v>410.81</v>
      </c>
      <c r="BI131" s="1683">
        <v>415.43</v>
      </c>
      <c r="BJ131" s="1683">
        <v>420.05</v>
      </c>
      <c r="BK131" s="1683">
        <v>424.68</v>
      </c>
      <c r="BL131" s="1683">
        <v>429.3</v>
      </c>
      <c r="BM131" s="1683">
        <v>433.92</v>
      </c>
      <c r="BN131" s="1683"/>
      <c r="BO131" s="1703">
        <v>127</v>
      </c>
      <c r="BP131" s="1693">
        <v>149.19</v>
      </c>
      <c r="BQ131" s="1693">
        <v>152.46</v>
      </c>
      <c r="BR131" s="1693">
        <v>155.72</v>
      </c>
      <c r="BS131" s="1693">
        <v>158.99</v>
      </c>
      <c r="BT131" s="1693">
        <v>162.25</v>
      </c>
      <c r="BU131" s="1694">
        <v>165.51</v>
      </c>
      <c r="BV131" s="1694">
        <v>168.78</v>
      </c>
      <c r="BW131" s="1694">
        <v>172.04</v>
      </c>
      <c r="BX131" s="1695">
        <v>175.31</v>
      </c>
      <c r="BY131" s="1696">
        <v>178.57</v>
      </c>
      <c r="BZ131" s="1696">
        <v>181.83</v>
      </c>
      <c r="CA131" s="1695">
        <v>185.1</v>
      </c>
      <c r="CB131" s="1695">
        <v>188.36</v>
      </c>
      <c r="CC131" s="1704">
        <v>191.63</v>
      </c>
      <c r="CD131" s="1697">
        <v>194.89</v>
      </c>
      <c r="CE131" s="1698">
        <v>198.15</v>
      </c>
      <c r="CF131" s="1699">
        <v>201.42</v>
      </c>
      <c r="CG131" s="1699">
        <v>204.68</v>
      </c>
      <c r="CH131" s="1699">
        <v>207.94</v>
      </c>
      <c r="CI131" s="1699">
        <v>211.21</v>
      </c>
      <c r="CJ131" s="1699">
        <v>214.47</v>
      </c>
      <c r="CK131" s="1700">
        <v>185.44</v>
      </c>
      <c r="CL131" s="1700">
        <v>188.7</v>
      </c>
      <c r="CM131" s="1700">
        <v>191.96</v>
      </c>
      <c r="CN131" s="1700">
        <v>195.23</v>
      </c>
      <c r="CO131" s="1705">
        <v>198.49</v>
      </c>
      <c r="CP131" s="1706">
        <v>201.76</v>
      </c>
      <c r="CQ131" s="1701">
        <v>205.02</v>
      </c>
      <c r="CR131" s="1701">
        <v>208.28</v>
      </c>
      <c r="CS131" s="1707">
        <v>211.55</v>
      </c>
      <c r="CT131" s="1700">
        <v>214.81</v>
      </c>
      <c r="CU131" s="1700">
        <v>218.08</v>
      </c>
      <c r="CV131" s="1700">
        <v>221.34</v>
      </c>
      <c r="CW131" s="1700">
        <v>224.6</v>
      </c>
      <c r="CX131" s="1700">
        <v>227.87</v>
      </c>
      <c r="CY131" s="1700">
        <v>231.13</v>
      </c>
      <c r="CZ131" s="1700">
        <v>234.39</v>
      </c>
      <c r="DA131" s="1700">
        <v>237.66</v>
      </c>
      <c r="DB131" s="1700">
        <v>240.92</v>
      </c>
      <c r="DC131" s="1700">
        <v>244.19</v>
      </c>
      <c r="DD131" s="1700">
        <v>247.45</v>
      </c>
      <c r="DE131" s="1700">
        <v>250.71</v>
      </c>
      <c r="DF131" s="1700">
        <v>253.98</v>
      </c>
      <c r="DG131" s="1700">
        <v>257.24</v>
      </c>
      <c r="DH131" s="1700">
        <v>260.51</v>
      </c>
      <c r="DI131" s="1700">
        <v>263.77</v>
      </c>
      <c r="DJ131" s="1700">
        <v>267.02999999999997</v>
      </c>
      <c r="DK131" s="1700">
        <v>270.3</v>
      </c>
      <c r="DL131" s="1700">
        <v>273.56</v>
      </c>
      <c r="DM131" s="1700">
        <v>276.83</v>
      </c>
      <c r="DN131" s="1700">
        <v>280.08999999999997</v>
      </c>
      <c r="DO131" s="1700">
        <v>283.35000000000002</v>
      </c>
      <c r="DP131" s="1700">
        <v>286.62</v>
      </c>
      <c r="DQ131" s="1700">
        <v>289.88</v>
      </c>
      <c r="DR131" s="1700">
        <v>293.14999999999998</v>
      </c>
      <c r="DS131" s="1700"/>
      <c r="DT131" s="1700"/>
      <c r="DU131" s="1700"/>
      <c r="DV131" s="1700"/>
      <c r="DW131" s="1700"/>
      <c r="DX131" s="1700"/>
    </row>
    <row r="132" spans="1:128">
      <c r="A132" s="1622"/>
      <c r="B132" s="1691">
        <f t="shared" si="9"/>
        <v>128</v>
      </c>
      <c r="C132" s="1668" t="str">
        <f t="shared" si="6"/>
        <v>343.76</v>
      </c>
      <c r="D132" s="1672">
        <f t="shared" si="7"/>
        <v>481.26</v>
      </c>
      <c r="E132" s="1670"/>
      <c r="F132" s="1671" t="str">
        <f t="shared" si="8"/>
        <v>216.19</v>
      </c>
      <c r="G132" s="1672">
        <f t="shared" si="5"/>
        <v>302.67</v>
      </c>
      <c r="H132" s="1670"/>
      <c r="I132" s="1670"/>
      <c r="J132" s="1708">
        <v>128</v>
      </c>
      <c r="K132" s="1693">
        <v>250.57</v>
      </c>
      <c r="L132" s="1693">
        <v>255.23</v>
      </c>
      <c r="M132" s="1693">
        <v>259.89</v>
      </c>
      <c r="N132" s="1693">
        <v>264.55</v>
      </c>
      <c r="O132" s="1693">
        <v>269.20999999999998</v>
      </c>
      <c r="P132" s="1694">
        <v>273.87</v>
      </c>
      <c r="Q132" s="1694">
        <v>278.52999999999997</v>
      </c>
      <c r="R132" s="1694">
        <v>283.19</v>
      </c>
      <c r="S132" s="1695">
        <v>287.83999999999997</v>
      </c>
      <c r="T132" s="1696">
        <v>292.5</v>
      </c>
      <c r="U132" s="1696">
        <v>297.16000000000003</v>
      </c>
      <c r="V132" s="1695">
        <v>301.82</v>
      </c>
      <c r="W132" s="1695">
        <v>306.48</v>
      </c>
      <c r="X132" s="1695">
        <v>311.14</v>
      </c>
      <c r="Y132" s="1697">
        <v>315.8</v>
      </c>
      <c r="Z132" s="1698">
        <v>320.45999999999998</v>
      </c>
      <c r="AA132" s="1699">
        <v>325.12</v>
      </c>
      <c r="AB132" s="1699">
        <v>329.78</v>
      </c>
      <c r="AC132" s="1699">
        <v>334.44</v>
      </c>
      <c r="AD132" s="1699">
        <v>339.1</v>
      </c>
      <c r="AE132" s="1699">
        <v>343.76</v>
      </c>
      <c r="AF132" s="1700">
        <v>283.48</v>
      </c>
      <c r="AG132" s="1700">
        <v>288.14</v>
      </c>
      <c r="AH132" s="1700">
        <v>292.8</v>
      </c>
      <c r="AI132" s="1700">
        <v>297.45999999999998</v>
      </c>
      <c r="AJ132" s="1701">
        <v>302.12</v>
      </c>
      <c r="AK132" s="1701">
        <v>306.77999999999997</v>
      </c>
      <c r="AL132" s="1701">
        <v>311.44</v>
      </c>
      <c r="AM132" s="1701">
        <v>316.08999999999997</v>
      </c>
      <c r="AN132" s="1701">
        <v>320.75</v>
      </c>
      <c r="AO132" s="1702">
        <v>325.41000000000003</v>
      </c>
      <c r="AP132" s="1700">
        <v>330.07</v>
      </c>
      <c r="AQ132" s="1700">
        <v>334.73</v>
      </c>
      <c r="AR132" s="1700">
        <v>339.39</v>
      </c>
      <c r="AS132" s="1700">
        <v>344.05</v>
      </c>
      <c r="AT132" s="1700">
        <v>348.71</v>
      </c>
      <c r="AU132" s="1700">
        <v>353.37</v>
      </c>
      <c r="AV132" s="1683">
        <v>358.03</v>
      </c>
      <c r="AW132" s="1700">
        <v>362.69</v>
      </c>
      <c r="AX132" s="1700">
        <v>367.35</v>
      </c>
      <c r="AY132" s="1683">
        <v>372</v>
      </c>
      <c r="AZ132" s="1700">
        <v>376.66</v>
      </c>
      <c r="BA132" s="1700">
        <v>381.32</v>
      </c>
      <c r="BB132" s="1700">
        <v>385.98</v>
      </c>
      <c r="BC132" s="1700">
        <v>390.64</v>
      </c>
      <c r="BD132" s="1683">
        <v>395.3</v>
      </c>
      <c r="BE132" s="1700">
        <v>399.96</v>
      </c>
      <c r="BF132" s="1700">
        <v>404.62</v>
      </c>
      <c r="BG132" s="1700">
        <v>409.28</v>
      </c>
      <c r="BH132" s="1700">
        <v>413.94</v>
      </c>
      <c r="BI132" s="1700">
        <v>418.6</v>
      </c>
      <c r="BJ132" s="1700">
        <v>423.26</v>
      </c>
      <c r="BK132" s="1700">
        <v>427.92</v>
      </c>
      <c r="BL132" s="1700">
        <v>432.57</v>
      </c>
      <c r="BM132" s="1700">
        <v>437.23</v>
      </c>
      <c r="BN132" s="1700"/>
      <c r="BO132" s="1703">
        <v>128</v>
      </c>
      <c r="BP132" s="1693">
        <v>150.4</v>
      </c>
      <c r="BQ132" s="1693">
        <v>153.69</v>
      </c>
      <c r="BR132" s="1693">
        <v>156.97999999999999</v>
      </c>
      <c r="BS132" s="1693">
        <v>160.27000000000001</v>
      </c>
      <c r="BT132" s="1693">
        <v>163.56</v>
      </c>
      <c r="BU132" s="1694">
        <v>166.85</v>
      </c>
      <c r="BV132" s="1694">
        <v>170.13</v>
      </c>
      <c r="BW132" s="1694">
        <v>173.42</v>
      </c>
      <c r="BX132" s="1695">
        <v>176.71</v>
      </c>
      <c r="BY132" s="1696">
        <v>180</v>
      </c>
      <c r="BZ132" s="1696">
        <v>183.29</v>
      </c>
      <c r="CA132" s="1695">
        <v>186.58</v>
      </c>
      <c r="CB132" s="1695">
        <v>189.87</v>
      </c>
      <c r="CC132" s="1704">
        <v>193.16</v>
      </c>
      <c r="CD132" s="1697">
        <v>196.45</v>
      </c>
      <c r="CE132" s="1698">
        <v>199.74</v>
      </c>
      <c r="CF132" s="1699">
        <v>203.03</v>
      </c>
      <c r="CG132" s="1699">
        <v>206.32</v>
      </c>
      <c r="CH132" s="1699">
        <v>209.61</v>
      </c>
      <c r="CI132" s="1699">
        <v>212.9</v>
      </c>
      <c r="CJ132" s="1699">
        <v>216.19</v>
      </c>
      <c r="CK132" s="1700">
        <v>186.91</v>
      </c>
      <c r="CL132" s="1700">
        <v>190.2</v>
      </c>
      <c r="CM132" s="1700">
        <v>193.49</v>
      </c>
      <c r="CN132" s="1700">
        <v>196.78</v>
      </c>
      <c r="CO132" s="1705">
        <v>200.07</v>
      </c>
      <c r="CP132" s="1706">
        <v>203.36</v>
      </c>
      <c r="CQ132" s="1701">
        <v>206.65</v>
      </c>
      <c r="CR132" s="1701">
        <v>209.94</v>
      </c>
      <c r="CS132" s="1707">
        <v>213.23</v>
      </c>
      <c r="CT132" s="1700">
        <v>216.52</v>
      </c>
      <c r="CU132" s="1700">
        <v>219.81</v>
      </c>
      <c r="CV132" s="1700">
        <v>223.1</v>
      </c>
      <c r="CW132" s="1700">
        <v>226.39</v>
      </c>
      <c r="CX132" s="1700">
        <v>229.68</v>
      </c>
      <c r="CY132" s="1700">
        <v>232.97</v>
      </c>
      <c r="CZ132" s="1700">
        <v>236.26</v>
      </c>
      <c r="DA132" s="1700">
        <v>239.55</v>
      </c>
      <c r="DB132" s="1700">
        <v>242.84</v>
      </c>
      <c r="DC132" s="1700">
        <v>246.13</v>
      </c>
      <c r="DD132" s="1700">
        <v>249.42</v>
      </c>
      <c r="DE132" s="1700">
        <v>252.71</v>
      </c>
      <c r="DF132" s="1700">
        <v>256</v>
      </c>
      <c r="DG132" s="1700">
        <v>259.29000000000002</v>
      </c>
      <c r="DH132" s="1700">
        <v>262.57</v>
      </c>
      <c r="DI132" s="1700">
        <v>265.86</v>
      </c>
      <c r="DJ132" s="1700">
        <v>269.14999999999998</v>
      </c>
      <c r="DK132" s="1700">
        <v>272.44</v>
      </c>
      <c r="DL132" s="1700">
        <v>275.73</v>
      </c>
      <c r="DM132" s="1700">
        <v>279.02</v>
      </c>
      <c r="DN132" s="1700">
        <v>282.31</v>
      </c>
      <c r="DO132" s="1700">
        <v>285.60000000000002</v>
      </c>
      <c r="DP132" s="1700">
        <v>288.89</v>
      </c>
      <c r="DQ132" s="1700">
        <v>292.18</v>
      </c>
      <c r="DR132" s="1700">
        <v>295.47000000000003</v>
      </c>
      <c r="DS132" s="1700"/>
      <c r="DT132" s="1700"/>
      <c r="DU132" s="1700"/>
      <c r="DV132" s="1700"/>
      <c r="DW132" s="1700"/>
      <c r="DX132" s="1700"/>
    </row>
    <row r="133" spans="1:128">
      <c r="A133" s="1622"/>
      <c r="B133" s="1691">
        <f t="shared" si="9"/>
        <v>129</v>
      </c>
      <c r="C133" s="1668" t="str">
        <f t="shared" si="6"/>
        <v>346.54</v>
      </c>
      <c r="D133" s="1672">
        <f t="shared" si="7"/>
        <v>485.16</v>
      </c>
      <c r="E133" s="1670"/>
      <c r="F133" s="1671" t="str">
        <f t="shared" si="8"/>
        <v>217.83</v>
      </c>
      <c r="G133" s="1672">
        <f t="shared" ref="G133:G196" si="10">ROUND(F133*1.4,2)</f>
        <v>304.95999999999998</v>
      </c>
      <c r="H133" s="1670"/>
      <c r="I133" s="1670"/>
      <c r="J133" s="1708">
        <v>129</v>
      </c>
      <c r="K133" s="1693">
        <v>252.63</v>
      </c>
      <c r="L133" s="1693">
        <v>257.33</v>
      </c>
      <c r="M133" s="1693">
        <v>262.02</v>
      </c>
      <c r="N133" s="1693">
        <v>266.72000000000003</v>
      </c>
      <c r="O133" s="1693">
        <v>271.42</v>
      </c>
      <c r="P133" s="1694">
        <v>276.11</v>
      </c>
      <c r="Q133" s="1694">
        <v>280.81</v>
      </c>
      <c r="R133" s="1694">
        <v>285.5</v>
      </c>
      <c r="S133" s="1695">
        <v>290.2</v>
      </c>
      <c r="T133" s="1696">
        <v>294.89</v>
      </c>
      <c r="U133" s="1696">
        <v>299.58999999999997</v>
      </c>
      <c r="V133" s="1695">
        <v>304.82</v>
      </c>
      <c r="W133" s="1695">
        <v>308.98</v>
      </c>
      <c r="X133" s="1695">
        <v>313.68</v>
      </c>
      <c r="Y133" s="1697">
        <v>318.37</v>
      </c>
      <c r="Z133" s="1698">
        <v>323.07</v>
      </c>
      <c r="AA133" s="1699">
        <v>327.76</v>
      </c>
      <c r="AB133" s="1699">
        <v>332.46</v>
      </c>
      <c r="AC133" s="1699">
        <v>337.15</v>
      </c>
      <c r="AD133" s="1699">
        <v>341.85</v>
      </c>
      <c r="AE133" s="1699">
        <v>346.54</v>
      </c>
      <c r="AF133" s="1700">
        <v>285.76</v>
      </c>
      <c r="AG133" s="1700">
        <v>290.45</v>
      </c>
      <c r="AH133" s="1700">
        <v>295.14999999999998</v>
      </c>
      <c r="AI133" s="1700">
        <v>299.83999999999997</v>
      </c>
      <c r="AJ133" s="1701">
        <v>304.54000000000002</v>
      </c>
      <c r="AK133" s="1701">
        <v>309.23</v>
      </c>
      <c r="AL133" s="1701">
        <v>313.93</v>
      </c>
      <c r="AM133" s="1701">
        <v>318.62</v>
      </c>
      <c r="AN133" s="1701">
        <v>323.32</v>
      </c>
      <c r="AO133" s="1702">
        <v>328.02</v>
      </c>
      <c r="AP133" s="1700">
        <v>332.71</v>
      </c>
      <c r="AQ133" s="1700">
        <v>337.41</v>
      </c>
      <c r="AR133" s="1683">
        <v>342.1</v>
      </c>
      <c r="AS133" s="1700">
        <v>346.8</v>
      </c>
      <c r="AT133" s="1700">
        <v>351.49</v>
      </c>
      <c r="AU133" s="1700">
        <v>356.19</v>
      </c>
      <c r="AV133" s="1700">
        <v>360.88</v>
      </c>
      <c r="AW133" s="1700">
        <v>365.58</v>
      </c>
      <c r="AX133" s="1700">
        <v>370.28</v>
      </c>
      <c r="AY133" s="1683">
        <v>374.97</v>
      </c>
      <c r="AZ133" s="1700">
        <v>379.67</v>
      </c>
      <c r="BA133" s="1700">
        <v>384.36</v>
      </c>
      <c r="BB133" s="1683">
        <v>389.06</v>
      </c>
      <c r="BC133" s="1700">
        <v>393.75</v>
      </c>
      <c r="BD133" s="1700">
        <v>398.45</v>
      </c>
      <c r="BE133" s="1700">
        <v>406.15</v>
      </c>
      <c r="BF133" s="1700">
        <v>407.84</v>
      </c>
      <c r="BG133" s="1700">
        <v>412.54</v>
      </c>
      <c r="BH133" s="1700">
        <v>417.23</v>
      </c>
      <c r="BI133" s="1700">
        <v>421.93</v>
      </c>
      <c r="BJ133" s="1700">
        <v>426.62</v>
      </c>
      <c r="BK133" s="1700">
        <v>431.32</v>
      </c>
      <c r="BL133" s="1700">
        <v>436.01</v>
      </c>
      <c r="BM133" s="1700">
        <v>440.71</v>
      </c>
      <c r="BN133" s="1700"/>
      <c r="BO133" s="1703">
        <v>129</v>
      </c>
      <c r="BP133" s="1693">
        <v>150.53</v>
      </c>
      <c r="BQ133" s="1693">
        <v>154.84</v>
      </c>
      <c r="BR133" s="1693">
        <v>158.16</v>
      </c>
      <c r="BS133" s="1693">
        <v>161.47</v>
      </c>
      <c r="BT133" s="1693">
        <v>164.79</v>
      </c>
      <c r="BU133" s="1694">
        <v>168.1</v>
      </c>
      <c r="BV133" s="1694">
        <v>171.42</v>
      </c>
      <c r="BW133" s="1694">
        <v>174.74</v>
      </c>
      <c r="BX133" s="1695">
        <v>178.05</v>
      </c>
      <c r="BY133" s="1696">
        <v>181.37</v>
      </c>
      <c r="BZ133" s="1696">
        <v>184.68</v>
      </c>
      <c r="CA133" s="1695">
        <v>188</v>
      </c>
      <c r="CB133" s="1695">
        <v>191.31</v>
      </c>
      <c r="CC133" s="1704">
        <v>194.63</v>
      </c>
      <c r="CD133" s="1697">
        <v>197.94</v>
      </c>
      <c r="CE133" s="1698">
        <v>201.26</v>
      </c>
      <c r="CF133" s="1699">
        <v>204.57</v>
      </c>
      <c r="CG133" s="1699">
        <v>207.89</v>
      </c>
      <c r="CH133" s="1699">
        <v>211.2</v>
      </c>
      <c r="CI133" s="1699">
        <v>214.52</v>
      </c>
      <c r="CJ133" s="1699">
        <v>217.83</v>
      </c>
      <c r="CK133" s="1700">
        <v>188.35</v>
      </c>
      <c r="CL133" s="1700">
        <v>191.66</v>
      </c>
      <c r="CM133" s="1700">
        <v>194.98</v>
      </c>
      <c r="CN133" s="1700">
        <v>198.29</v>
      </c>
      <c r="CO133" s="1705">
        <v>201.61</v>
      </c>
      <c r="CP133" s="1706">
        <v>204.92</v>
      </c>
      <c r="CQ133" s="1701">
        <v>208.24</v>
      </c>
      <c r="CR133" s="1701">
        <v>211.55</v>
      </c>
      <c r="CS133" s="1707">
        <v>214.87</v>
      </c>
      <c r="CT133" s="1700">
        <v>218.18</v>
      </c>
      <c r="CU133" s="1700">
        <v>221.5</v>
      </c>
      <c r="CV133" s="1700">
        <v>224.82</v>
      </c>
      <c r="CW133" s="1700">
        <v>228.13</v>
      </c>
      <c r="CX133" s="1700">
        <v>231.45</v>
      </c>
      <c r="CY133" s="1700">
        <v>234.76</v>
      </c>
      <c r="CZ133" s="1700">
        <v>238.08</v>
      </c>
      <c r="DA133" s="1700">
        <v>241.39</v>
      </c>
      <c r="DB133" s="1700">
        <v>244.71</v>
      </c>
      <c r="DC133" s="1700">
        <v>248.02</v>
      </c>
      <c r="DD133" s="1700">
        <v>251.34</v>
      </c>
      <c r="DE133" s="1700">
        <v>254.65</v>
      </c>
      <c r="DF133" s="1700">
        <v>257.97000000000003</v>
      </c>
      <c r="DG133" s="1700">
        <v>261.27999999999997</v>
      </c>
      <c r="DH133" s="1700">
        <v>264.60000000000002</v>
      </c>
      <c r="DI133" s="1700">
        <v>267.91000000000003</v>
      </c>
      <c r="DJ133" s="1700">
        <v>271.23</v>
      </c>
      <c r="DK133" s="1700">
        <v>274.54000000000002</v>
      </c>
      <c r="DL133" s="1700">
        <v>277.86</v>
      </c>
      <c r="DM133" s="1700">
        <v>281.18</v>
      </c>
      <c r="DN133" s="1700">
        <v>284.49</v>
      </c>
      <c r="DO133" s="1700">
        <v>287.81</v>
      </c>
      <c r="DP133" s="1700">
        <v>291.12</v>
      </c>
      <c r="DQ133" s="1700">
        <v>294.44</v>
      </c>
      <c r="DR133" s="1700">
        <v>297.75</v>
      </c>
      <c r="DS133" s="1700"/>
      <c r="DT133" s="1700"/>
      <c r="DU133" s="1700"/>
      <c r="DV133" s="1700"/>
      <c r="DW133" s="1700"/>
      <c r="DX133" s="1700"/>
    </row>
    <row r="134" spans="1:128">
      <c r="A134" s="1622"/>
      <c r="B134" s="1691">
        <f t="shared" si="9"/>
        <v>130</v>
      </c>
      <c r="C134" s="1668" t="str">
        <f t="shared" ref="C134:C197" si="11">IF($C$1=40.5,AJ134,IF($C$1=41.5,AK134,IF($C$1=42.5,AL134,IF($C$1=43.5,AN134,IF($C$1=44.5,AN134,IF($C$1=45.5,AO134,IF($C$1=46.5,AP134,)))))))&amp;
IF($C$1=47.5,AQ134,IF($C$1=48.5,AR134,IF($C$1=49.5,AS134,IF($C$1=50.5,AT134,IF($C$1=51.5,AU134,IF($C$1=52.5,AV134,IF($C$1=53.5,AW134,)))))))&amp;
IF($C$1=54.5,AX134,IF($C$1=55.5,AY134,IF($C$1=56.5,AZ134,IF($C$1=57.5,BA134,IF($C$1=15.5,K134,IF($C$1=16.5,L134,IF($C$1=17.5,M134,)))))))&amp;
IF($C$1=18.5,N134,IF($C$1=19.5,O134,IF($C$1=20.5,P134,IF($C$1=21.5,Q134,IF($C$1=22.5,R134,IF($C$1=23.5,S134,IF($C$1=24.5,T134,)))))))&amp;IF($C$1=25.5,U134,IF($C$1=26.5,V134,IF($C$1=39.5,AI134,)))&amp;IF($C$1=31.5,AA134,IF($C$1=32.5,AB134,IF($C$1=33.5,AC134,IF($C$1=34.5,AD134,IF($C$1=35.5,AE134,)))))&amp;IF($C$1=36.5,AF134,IF($C$1=37.5,AG134,IF($C$1=38.5,AH134,)))&amp;IF($C$1=27.5,W134,IF($C$1=28.5,X134,IF($C$1=29.5,Y134,IF($C$1=30.5,Z134,))))</f>
        <v>349.35</v>
      </c>
      <c r="D134" s="1672">
        <f t="shared" ref="D134:D197" si="12">ROUND(C134*1.4,2)</f>
        <v>489.09</v>
      </c>
      <c r="E134" s="1670"/>
      <c r="F134" s="1671" t="str">
        <f t="shared" ref="F134:F197" si="13">IF($C$1=40.5,CO134,IF($C$1=41.5,CP134,IF($C$1=42.5,CQ134,IF($C$1=43.5,CS134,IF($C$1=44.5,CS134,IF($C$1=45.5,CT134,IF($C$1=46.5,CU134,)))))))&amp;
IF($C$1=47.5,CV134,IF($C$1=48.5,CW134,IF($C$1=49.5,CX134,IF($C$1=50.5,CY134,IF($C$1=51.5,CZ134,IF($C$1=52.5,DA134,IF($C$1=53.5,DB134,)))))))&amp;
IF($C$1=54.5,DC134,IF($C$1=55.5,DD134,IF($C$1=56.5,DE134,IF($C$1=57.5,DF134,IF($C$1=15.5,BP134,IF($C$1=16.5,BQ134,IF($C$1=17.5,BR134,)))))))&amp;
IF($C$1=18.5,BS134,IF($C$1=19.5,BT134,IF($C$1=20.5,BU134,IF($C$1=21.5,BV134,IF($C$1=22.5,BW134,IF($C$1=23.5,BX134,IF($C$1=24.5,BY134,)))))))&amp;IF($C$1=25.5,BZ134,IF($C$1=26.5,CA134,IF($C$1=39.5,CN134,)))&amp;IF($C$1=31.5,CF134,IF($C$1=32.5,CG134,IF($C$1=33.5,CH134,IF($C$1=34.5,CI134,IF($C$1=35.5,CJ134,)))))&amp;IF($C$1=36.5,CK134,IF($C$1=37.5,CL134,IF($C$1=38.5,CM134,)))&amp;IF($C$1=27.5,CB134,IF($C$1=28.5,CC134,IF($C$1=29.5,CD134,IF($C$1=30.5,CE134,))))</f>
        <v>219.56</v>
      </c>
      <c r="G134" s="1672">
        <f t="shared" si="10"/>
        <v>307.38</v>
      </c>
      <c r="H134" s="1670"/>
      <c r="I134" s="1670"/>
      <c r="J134" s="1708">
        <v>130</v>
      </c>
      <c r="K134" s="1693">
        <v>254.71</v>
      </c>
      <c r="L134" s="1693">
        <v>259.44</v>
      </c>
      <c r="M134" s="1693">
        <v>264.17</v>
      </c>
      <c r="N134" s="1693">
        <v>268.89999999999998</v>
      </c>
      <c r="O134" s="1693">
        <v>273.63</v>
      </c>
      <c r="P134" s="1694">
        <v>278.37</v>
      </c>
      <c r="Q134" s="1694">
        <v>283.10000000000002</v>
      </c>
      <c r="R134" s="1694">
        <v>287.83</v>
      </c>
      <c r="S134" s="1695">
        <v>292.56</v>
      </c>
      <c r="T134" s="1696">
        <v>297.29000000000002</v>
      </c>
      <c r="U134" s="1696">
        <v>302.02999999999997</v>
      </c>
      <c r="V134" s="1695">
        <v>306.76</v>
      </c>
      <c r="W134" s="1695">
        <v>311.49</v>
      </c>
      <c r="X134" s="1695">
        <v>316.22000000000003</v>
      </c>
      <c r="Y134" s="1697">
        <v>320.95</v>
      </c>
      <c r="Z134" s="1698">
        <v>325.69</v>
      </c>
      <c r="AA134" s="1699">
        <v>330.42</v>
      </c>
      <c r="AB134" s="1699">
        <v>335.15</v>
      </c>
      <c r="AC134" s="1699">
        <v>339.88</v>
      </c>
      <c r="AD134" s="1699">
        <v>344.61</v>
      </c>
      <c r="AE134" s="1699">
        <v>349.35</v>
      </c>
      <c r="AF134" s="1683">
        <v>288.04000000000002</v>
      </c>
      <c r="AG134" s="1683">
        <v>292.77</v>
      </c>
      <c r="AH134" s="1683">
        <v>297.5</v>
      </c>
      <c r="AI134" s="1683">
        <v>302.23</v>
      </c>
      <c r="AJ134" s="1701">
        <v>306.95999999999998</v>
      </c>
      <c r="AK134" s="1701">
        <v>311.7</v>
      </c>
      <c r="AL134" s="1701">
        <v>316.43</v>
      </c>
      <c r="AM134" s="1701">
        <v>321.16000000000003</v>
      </c>
      <c r="AN134" s="1701">
        <v>325.89</v>
      </c>
      <c r="AO134" s="1702">
        <v>330.62</v>
      </c>
      <c r="AP134" s="1700">
        <v>335.36</v>
      </c>
      <c r="AQ134" s="1700">
        <v>340.09</v>
      </c>
      <c r="AR134" s="1700">
        <v>344.82</v>
      </c>
      <c r="AS134" s="1700">
        <v>349.55</v>
      </c>
      <c r="AT134" s="1683">
        <v>354.28</v>
      </c>
      <c r="AU134" s="1700">
        <v>359.02</v>
      </c>
      <c r="AV134" s="1700">
        <v>363.75</v>
      </c>
      <c r="AW134" s="1683">
        <v>368.48</v>
      </c>
      <c r="AX134" s="1683">
        <v>373.21</v>
      </c>
      <c r="AY134" s="1683">
        <v>377.94</v>
      </c>
      <c r="AZ134" s="1683">
        <v>382.68</v>
      </c>
      <c r="BA134" s="1683">
        <v>387.41</v>
      </c>
      <c r="BB134" s="1700">
        <v>392.14</v>
      </c>
      <c r="BC134" s="1683">
        <v>396.87</v>
      </c>
      <c r="BD134" s="1700">
        <v>401.6</v>
      </c>
      <c r="BE134" s="1683">
        <v>406.34</v>
      </c>
      <c r="BF134" s="1683">
        <v>411.07</v>
      </c>
      <c r="BG134" s="1683">
        <v>415.8</v>
      </c>
      <c r="BH134" s="1683">
        <v>420.53</v>
      </c>
      <c r="BI134" s="1683">
        <v>425.26</v>
      </c>
      <c r="BJ134" s="1683">
        <v>430</v>
      </c>
      <c r="BK134" s="1683">
        <v>434.73</v>
      </c>
      <c r="BL134" s="1683">
        <v>439.46</v>
      </c>
      <c r="BM134" s="1683">
        <v>444.19</v>
      </c>
      <c r="BN134" s="1683"/>
      <c r="BO134" s="1703">
        <v>130</v>
      </c>
      <c r="BP134" s="1693">
        <v>152.74</v>
      </c>
      <c r="BQ134" s="1693">
        <v>156.08000000000001</v>
      </c>
      <c r="BR134" s="1693">
        <v>159.41999999999999</v>
      </c>
      <c r="BS134" s="1693">
        <v>162.76</v>
      </c>
      <c r="BT134" s="1693">
        <v>166.1</v>
      </c>
      <c r="BU134" s="1694">
        <v>169.44</v>
      </c>
      <c r="BV134" s="1694">
        <v>172.78</v>
      </c>
      <c r="BW134" s="1694">
        <v>176.12</v>
      </c>
      <c r="BX134" s="1695">
        <v>179.46</v>
      </c>
      <c r="BY134" s="1696">
        <v>182.8</v>
      </c>
      <c r="BZ134" s="1696">
        <v>186.15</v>
      </c>
      <c r="CA134" s="1695">
        <v>189.49</v>
      </c>
      <c r="CB134" s="1695">
        <v>192.83</v>
      </c>
      <c r="CC134" s="1704">
        <v>196.17</v>
      </c>
      <c r="CD134" s="1697">
        <v>199.51</v>
      </c>
      <c r="CE134" s="1698">
        <v>202.85</v>
      </c>
      <c r="CF134" s="1699">
        <v>206.19</v>
      </c>
      <c r="CG134" s="1699">
        <v>209.53</v>
      </c>
      <c r="CH134" s="1699">
        <v>212.87</v>
      </c>
      <c r="CI134" s="1699">
        <v>216.21</v>
      </c>
      <c r="CJ134" s="1699">
        <v>219.56</v>
      </c>
      <c r="CK134" s="1700">
        <v>189.83</v>
      </c>
      <c r="CL134" s="1700">
        <v>193.17</v>
      </c>
      <c r="CM134" s="1700">
        <v>196.51</v>
      </c>
      <c r="CN134" s="1700">
        <v>199.85</v>
      </c>
      <c r="CO134" s="1705">
        <v>203.19</v>
      </c>
      <c r="CP134" s="1706">
        <v>206.53</v>
      </c>
      <c r="CQ134" s="1701">
        <v>209.87</v>
      </c>
      <c r="CR134" s="1701">
        <v>213.21</v>
      </c>
      <c r="CS134" s="1707">
        <v>216.56</v>
      </c>
      <c r="CT134" s="1700">
        <v>219.9</v>
      </c>
      <c r="CU134" s="1700">
        <v>223.24</v>
      </c>
      <c r="CV134" s="1700">
        <v>226.58</v>
      </c>
      <c r="CW134" s="1700">
        <v>229.92</v>
      </c>
      <c r="CX134" s="1700">
        <v>233.26</v>
      </c>
      <c r="CY134" s="1700">
        <v>236.6</v>
      </c>
      <c r="CZ134" s="1700">
        <v>239.94</v>
      </c>
      <c r="DA134" s="1700">
        <v>243.28</v>
      </c>
      <c r="DB134" s="1700">
        <v>246.62</v>
      </c>
      <c r="DC134" s="1700">
        <v>249.97</v>
      </c>
      <c r="DD134" s="1700">
        <v>253.31</v>
      </c>
      <c r="DE134" s="1700">
        <v>256.64999999999998</v>
      </c>
      <c r="DF134" s="1700">
        <v>259.99</v>
      </c>
      <c r="DG134" s="1700">
        <v>263.33</v>
      </c>
      <c r="DH134" s="1700">
        <v>266.67</v>
      </c>
      <c r="DI134" s="1700">
        <v>270.01</v>
      </c>
      <c r="DJ134" s="1700">
        <v>273.35000000000002</v>
      </c>
      <c r="DK134" s="1700">
        <v>276.69</v>
      </c>
      <c r="DL134" s="1700">
        <v>280.02999999999997</v>
      </c>
      <c r="DM134" s="1700">
        <v>283.38</v>
      </c>
      <c r="DN134" s="1700">
        <v>286.72000000000003</v>
      </c>
      <c r="DO134" s="1700">
        <v>290.06</v>
      </c>
      <c r="DP134" s="1700">
        <v>293.39999999999998</v>
      </c>
      <c r="DQ134" s="1700">
        <v>296.74</v>
      </c>
      <c r="DR134" s="1700">
        <v>300.08</v>
      </c>
      <c r="DS134" s="1700"/>
      <c r="DT134" s="1700"/>
      <c r="DU134" s="1700"/>
      <c r="DV134" s="1700"/>
      <c r="DW134" s="1700"/>
      <c r="DX134" s="1700"/>
    </row>
    <row r="135" spans="1:128">
      <c r="A135" s="1622"/>
      <c r="B135" s="1691">
        <f t="shared" ref="B135:B198" si="14">B134+1</f>
        <v>131</v>
      </c>
      <c r="C135" s="1668" t="str">
        <f t="shared" si="11"/>
        <v>351.87</v>
      </c>
      <c r="D135" s="1672">
        <f t="shared" si="12"/>
        <v>492.62</v>
      </c>
      <c r="E135" s="1670"/>
      <c r="F135" s="1671" t="str">
        <f t="shared" si="13"/>
        <v>221.2</v>
      </c>
      <c r="G135" s="1672">
        <f t="shared" si="10"/>
        <v>309.68</v>
      </c>
      <c r="H135" s="1670"/>
      <c r="I135" s="1670"/>
      <c r="J135" s="1708">
        <v>131</v>
      </c>
      <c r="K135" s="1693">
        <v>256.5</v>
      </c>
      <c r="L135" s="1693">
        <v>261.27</v>
      </c>
      <c r="M135" s="1693">
        <v>266.04000000000002</v>
      </c>
      <c r="N135" s="1693">
        <v>270.8</v>
      </c>
      <c r="O135" s="1693">
        <v>275.57</v>
      </c>
      <c r="P135" s="1694">
        <v>280.33999999999997</v>
      </c>
      <c r="Q135" s="1694">
        <v>285.11</v>
      </c>
      <c r="R135" s="1694">
        <v>289.88</v>
      </c>
      <c r="S135" s="1695">
        <v>294.64999999999998</v>
      </c>
      <c r="T135" s="1696">
        <v>299.41000000000003</v>
      </c>
      <c r="U135" s="1696">
        <v>304.18</v>
      </c>
      <c r="V135" s="1695">
        <v>308.95</v>
      </c>
      <c r="W135" s="1695">
        <v>313.72000000000003</v>
      </c>
      <c r="X135" s="1695">
        <v>318.49</v>
      </c>
      <c r="Y135" s="1697">
        <v>323.26</v>
      </c>
      <c r="Z135" s="1698">
        <v>328.03</v>
      </c>
      <c r="AA135" s="1699">
        <v>332.79</v>
      </c>
      <c r="AB135" s="1699">
        <v>337.56</v>
      </c>
      <c r="AC135" s="1699">
        <v>342.23</v>
      </c>
      <c r="AD135" s="1699">
        <v>347.1</v>
      </c>
      <c r="AE135" s="1699">
        <v>351.87</v>
      </c>
      <c r="AF135" s="1700">
        <v>290.16000000000003</v>
      </c>
      <c r="AG135" s="1700">
        <v>294.92</v>
      </c>
      <c r="AH135" s="1700">
        <v>299.69</v>
      </c>
      <c r="AI135" s="1700">
        <v>304.45999999999998</v>
      </c>
      <c r="AJ135" s="1701">
        <v>309.23</v>
      </c>
      <c r="AK135" s="1701">
        <v>314</v>
      </c>
      <c r="AL135" s="1701">
        <v>318.77</v>
      </c>
      <c r="AM135" s="1701">
        <v>323.52999999999997</v>
      </c>
      <c r="AN135" s="1701">
        <v>328.3</v>
      </c>
      <c r="AO135" s="1702">
        <v>333.07</v>
      </c>
      <c r="AP135" s="1700">
        <v>337.84</v>
      </c>
      <c r="AQ135" s="1700">
        <v>342.61</v>
      </c>
      <c r="AR135" s="1683">
        <v>347.38</v>
      </c>
      <c r="AS135" s="1700">
        <v>352.15</v>
      </c>
      <c r="AT135" s="1700">
        <v>356.91</v>
      </c>
      <c r="AU135" s="1700">
        <v>361.68</v>
      </c>
      <c r="AV135" s="1683">
        <v>366.45</v>
      </c>
      <c r="AW135" s="1700">
        <v>371.22</v>
      </c>
      <c r="AX135" s="1700">
        <v>375.99</v>
      </c>
      <c r="AY135" s="1683">
        <v>380.76</v>
      </c>
      <c r="AZ135" s="1700">
        <v>385.52</v>
      </c>
      <c r="BA135" s="1700">
        <v>390.29</v>
      </c>
      <c r="BB135" s="1700">
        <v>395.06</v>
      </c>
      <c r="BC135" s="1700">
        <v>399.83</v>
      </c>
      <c r="BD135" s="1683">
        <v>404.6</v>
      </c>
      <c r="BE135" s="1700">
        <v>409.37</v>
      </c>
      <c r="BF135" s="1700">
        <v>414.13</v>
      </c>
      <c r="BG135" s="1700">
        <v>418.9</v>
      </c>
      <c r="BH135" s="1700">
        <v>423.67</v>
      </c>
      <c r="BI135" s="1700">
        <v>428.44</v>
      </c>
      <c r="BJ135" s="1700">
        <v>433.21</v>
      </c>
      <c r="BK135" s="1700">
        <v>437.98</v>
      </c>
      <c r="BL135" s="1700">
        <v>442.74</v>
      </c>
      <c r="BM135" s="1700">
        <v>447.51</v>
      </c>
      <c r="BN135" s="1700"/>
      <c r="BO135" s="1703">
        <v>131</v>
      </c>
      <c r="BP135" s="1693">
        <v>153.87</v>
      </c>
      <c r="BQ135" s="1693">
        <v>157.24</v>
      </c>
      <c r="BR135" s="1693">
        <v>160.6</v>
      </c>
      <c r="BS135" s="1693">
        <v>163.97</v>
      </c>
      <c r="BT135" s="1693">
        <v>167.34</v>
      </c>
      <c r="BU135" s="1694">
        <v>170.7</v>
      </c>
      <c r="BV135" s="1694">
        <v>174.07</v>
      </c>
      <c r="BW135" s="1694">
        <v>177.44</v>
      </c>
      <c r="BX135" s="1695">
        <v>180.8</v>
      </c>
      <c r="BY135" s="1696">
        <v>184.17</v>
      </c>
      <c r="BZ135" s="1696">
        <v>187.54</v>
      </c>
      <c r="CA135" s="1695">
        <v>190.9</v>
      </c>
      <c r="CB135" s="1695">
        <v>194.27</v>
      </c>
      <c r="CC135" s="1704">
        <v>197.64</v>
      </c>
      <c r="CD135" s="1697">
        <v>201</v>
      </c>
      <c r="CE135" s="1698">
        <v>204.37</v>
      </c>
      <c r="CF135" s="1699">
        <v>207.74</v>
      </c>
      <c r="CG135" s="1699">
        <v>211.1</v>
      </c>
      <c r="CH135" s="1699">
        <v>214.47</v>
      </c>
      <c r="CI135" s="1699">
        <v>217.84</v>
      </c>
      <c r="CJ135" s="1699">
        <v>221.2</v>
      </c>
      <c r="CK135" s="1700">
        <v>191.26</v>
      </c>
      <c r="CL135" s="1700">
        <v>194.63</v>
      </c>
      <c r="CM135" s="1700">
        <v>197.99</v>
      </c>
      <c r="CN135" s="1700">
        <v>201.36</v>
      </c>
      <c r="CO135" s="1705">
        <v>204.73</v>
      </c>
      <c r="CP135" s="1706">
        <v>208.09</v>
      </c>
      <c r="CQ135" s="1701">
        <v>211.46</v>
      </c>
      <c r="CR135" s="1701">
        <v>214.83</v>
      </c>
      <c r="CS135" s="1707">
        <v>218.2</v>
      </c>
      <c r="CT135" s="1700">
        <v>221.56</v>
      </c>
      <c r="CU135" s="1700">
        <v>224.93</v>
      </c>
      <c r="CV135" s="1700">
        <v>228.3</v>
      </c>
      <c r="CW135" s="1700">
        <v>231.66</v>
      </c>
      <c r="CX135" s="1700">
        <v>235.03</v>
      </c>
      <c r="CY135" s="1700">
        <v>238.4</v>
      </c>
      <c r="CZ135" s="1700">
        <v>241.76</v>
      </c>
      <c r="DA135" s="1700">
        <v>245.13</v>
      </c>
      <c r="DB135" s="1700">
        <v>248.5</v>
      </c>
      <c r="DC135" s="1700">
        <v>251.86</v>
      </c>
      <c r="DD135" s="1700">
        <v>255.23</v>
      </c>
      <c r="DE135" s="1700">
        <v>258.60000000000002</v>
      </c>
      <c r="DF135" s="1700">
        <v>261.95999999999998</v>
      </c>
      <c r="DG135" s="1700">
        <v>265.33</v>
      </c>
      <c r="DH135" s="1700">
        <v>268.7</v>
      </c>
      <c r="DI135" s="1700">
        <v>272.06</v>
      </c>
      <c r="DJ135" s="1700">
        <v>275.43</v>
      </c>
      <c r="DK135" s="1700">
        <v>278.8</v>
      </c>
      <c r="DL135" s="1700">
        <v>282.16000000000003</v>
      </c>
      <c r="DM135" s="1700">
        <v>285.52999999999997</v>
      </c>
      <c r="DN135" s="1700">
        <v>288.89999999999998</v>
      </c>
      <c r="DO135" s="1700">
        <v>292.26</v>
      </c>
      <c r="DP135" s="1700">
        <v>295.63</v>
      </c>
      <c r="DQ135" s="1700">
        <v>299</v>
      </c>
      <c r="DR135" s="1700">
        <v>302.36</v>
      </c>
      <c r="DS135" s="1700"/>
      <c r="DT135" s="1700"/>
      <c r="DU135" s="1700"/>
      <c r="DV135" s="1700"/>
      <c r="DW135" s="1700"/>
      <c r="DX135" s="1700"/>
    </row>
    <row r="136" spans="1:128">
      <c r="A136" s="1622"/>
      <c r="B136" s="1691">
        <f t="shared" si="14"/>
        <v>132</v>
      </c>
      <c r="C136" s="1668" t="str">
        <f t="shared" si="11"/>
        <v>354.68</v>
      </c>
      <c r="D136" s="1672">
        <f t="shared" si="12"/>
        <v>496.55</v>
      </c>
      <c r="E136" s="1670"/>
      <c r="F136" s="1671" t="str">
        <f t="shared" si="13"/>
        <v>222.85</v>
      </c>
      <c r="G136" s="1672">
        <f t="shared" si="10"/>
        <v>311.99</v>
      </c>
      <c r="H136" s="1670"/>
      <c r="I136" s="1670"/>
      <c r="J136" s="1708">
        <v>132</v>
      </c>
      <c r="K136" s="1693">
        <v>258.58999999999997</v>
      </c>
      <c r="L136" s="1693">
        <v>263.39</v>
      </c>
      <c r="M136" s="1693">
        <v>268.2</v>
      </c>
      <c r="N136" s="1693">
        <v>273</v>
      </c>
      <c r="O136" s="1693">
        <v>277.81</v>
      </c>
      <c r="P136" s="1694">
        <v>282.61</v>
      </c>
      <c r="Q136" s="1694">
        <v>287.42</v>
      </c>
      <c r="R136" s="1694">
        <v>292.22000000000003</v>
      </c>
      <c r="S136" s="1695">
        <v>297.02999999999997</v>
      </c>
      <c r="T136" s="1696">
        <v>301.83</v>
      </c>
      <c r="U136" s="1696">
        <v>306.64</v>
      </c>
      <c r="V136" s="1695">
        <v>311.44</v>
      </c>
      <c r="W136" s="1695">
        <v>316.25</v>
      </c>
      <c r="X136" s="1695">
        <v>321.05</v>
      </c>
      <c r="Y136" s="1697">
        <v>325.86</v>
      </c>
      <c r="Z136" s="1698">
        <v>330.66</v>
      </c>
      <c r="AA136" s="1699">
        <v>335.46</v>
      </c>
      <c r="AB136" s="1699">
        <v>340.27</v>
      </c>
      <c r="AC136" s="1699">
        <v>345.07</v>
      </c>
      <c r="AD136" s="1699">
        <v>349.88</v>
      </c>
      <c r="AE136" s="1699">
        <v>354.68</v>
      </c>
      <c r="AF136" s="1700">
        <v>292.45</v>
      </c>
      <c r="AG136" s="1700">
        <v>297.25</v>
      </c>
      <c r="AH136" s="1700">
        <v>302.06</v>
      </c>
      <c r="AI136" s="1700">
        <v>306.86</v>
      </c>
      <c r="AJ136" s="1701">
        <v>311.67</v>
      </c>
      <c r="AK136" s="1701">
        <v>316.47000000000003</v>
      </c>
      <c r="AL136" s="1701">
        <v>321.27999999999997</v>
      </c>
      <c r="AM136" s="1701">
        <v>326.08</v>
      </c>
      <c r="AN136" s="1701">
        <v>330.89</v>
      </c>
      <c r="AO136" s="1702">
        <v>335.69</v>
      </c>
      <c r="AP136" s="1700">
        <v>340.5</v>
      </c>
      <c r="AQ136" s="1700">
        <v>345.3</v>
      </c>
      <c r="AR136" s="1700">
        <v>350.11</v>
      </c>
      <c r="AS136" s="1700">
        <v>354.91</v>
      </c>
      <c r="AT136" s="1700">
        <v>359.71</v>
      </c>
      <c r="AU136" s="1700">
        <v>364.52</v>
      </c>
      <c r="AV136" s="1700">
        <v>369.32</v>
      </c>
      <c r="AW136" s="1700">
        <v>374.13</v>
      </c>
      <c r="AX136" s="1700">
        <v>378.93</v>
      </c>
      <c r="AY136" s="1683">
        <v>383.74</v>
      </c>
      <c r="AZ136" s="1700">
        <v>388.54</v>
      </c>
      <c r="BA136" s="1700">
        <v>393.35</v>
      </c>
      <c r="BB136" s="1683">
        <v>398.15</v>
      </c>
      <c r="BC136" s="1700">
        <v>402.96</v>
      </c>
      <c r="BD136" s="1700">
        <v>407.76</v>
      </c>
      <c r="BE136" s="1700">
        <v>412.57</v>
      </c>
      <c r="BF136" s="1700">
        <v>417.37</v>
      </c>
      <c r="BG136" s="1700">
        <v>422.18</v>
      </c>
      <c r="BH136" s="1700">
        <v>426.98</v>
      </c>
      <c r="BI136" s="1700">
        <v>431.79</v>
      </c>
      <c r="BJ136" s="1700">
        <v>436.59</v>
      </c>
      <c r="BK136" s="1700">
        <v>441.4</v>
      </c>
      <c r="BL136" s="1700">
        <v>446.2</v>
      </c>
      <c r="BM136" s="1700">
        <v>451.01</v>
      </c>
      <c r="BN136" s="1700"/>
      <c r="BO136" s="1703">
        <v>132</v>
      </c>
      <c r="BP136" s="1693">
        <v>155</v>
      </c>
      <c r="BQ136" s="1693">
        <v>158.38999999999999</v>
      </c>
      <c r="BR136" s="1693">
        <v>161.79</v>
      </c>
      <c r="BS136" s="1693">
        <v>156.18</v>
      </c>
      <c r="BT136" s="1693">
        <v>168.57</v>
      </c>
      <c r="BU136" s="1694">
        <v>171.96</v>
      </c>
      <c r="BV136" s="1694">
        <v>175.36</v>
      </c>
      <c r="BW136" s="1694">
        <v>178.75</v>
      </c>
      <c r="BX136" s="1695">
        <v>182.14</v>
      </c>
      <c r="BY136" s="1696">
        <v>185.53</v>
      </c>
      <c r="BZ136" s="1696">
        <v>188.93</v>
      </c>
      <c r="CA136" s="1695">
        <v>192.32</v>
      </c>
      <c r="CB136" s="1695">
        <v>195.71</v>
      </c>
      <c r="CC136" s="1704">
        <v>199.1</v>
      </c>
      <c r="CD136" s="1697">
        <v>202.5</v>
      </c>
      <c r="CE136" s="1698">
        <v>205.89</v>
      </c>
      <c r="CF136" s="1699">
        <v>209.28</v>
      </c>
      <c r="CG136" s="1699">
        <v>212.67</v>
      </c>
      <c r="CH136" s="1699">
        <v>216.07</v>
      </c>
      <c r="CI136" s="1699">
        <v>219.46</v>
      </c>
      <c r="CJ136" s="1699">
        <v>222.85</v>
      </c>
      <c r="CK136" s="1700">
        <v>192.7</v>
      </c>
      <c r="CL136" s="1700">
        <v>196.09</v>
      </c>
      <c r="CM136" s="1700">
        <v>199.48</v>
      </c>
      <c r="CN136" s="1700">
        <v>202.87</v>
      </c>
      <c r="CO136" s="1705">
        <v>206.27</v>
      </c>
      <c r="CP136" s="1706">
        <v>209.66</v>
      </c>
      <c r="CQ136" s="1701">
        <v>213.5</v>
      </c>
      <c r="CR136" s="1701">
        <v>216.44</v>
      </c>
      <c r="CS136" s="1707">
        <v>219.84</v>
      </c>
      <c r="CT136" s="1700">
        <v>223.23</v>
      </c>
      <c r="CU136" s="1700">
        <v>226.62</v>
      </c>
      <c r="CV136" s="1700">
        <v>230.01</v>
      </c>
      <c r="CW136" s="1700">
        <v>233.4</v>
      </c>
      <c r="CX136" s="1700">
        <v>236.8</v>
      </c>
      <c r="CY136" s="1700">
        <v>240.19</v>
      </c>
      <c r="CZ136" s="1700">
        <v>243.58</v>
      </c>
      <c r="DA136" s="1700">
        <v>246.97</v>
      </c>
      <c r="DB136" s="1700">
        <v>250.37</v>
      </c>
      <c r="DC136" s="1700">
        <v>253.76</v>
      </c>
      <c r="DD136" s="1700">
        <v>257.14999999999998</v>
      </c>
      <c r="DE136" s="1700">
        <v>260.54000000000002</v>
      </c>
      <c r="DF136" s="1700">
        <v>263.94</v>
      </c>
      <c r="DG136" s="1700">
        <v>267.33</v>
      </c>
      <c r="DH136" s="1700">
        <v>270.72000000000003</v>
      </c>
      <c r="DI136" s="1700">
        <v>274.11</v>
      </c>
      <c r="DJ136" s="1700">
        <v>277.51</v>
      </c>
      <c r="DK136" s="1700">
        <v>280.89999999999998</v>
      </c>
      <c r="DL136" s="1700">
        <v>284.29000000000002</v>
      </c>
      <c r="DM136" s="1700">
        <v>287.68</v>
      </c>
      <c r="DN136" s="1700">
        <v>291.08</v>
      </c>
      <c r="DO136" s="1700">
        <v>294.47000000000003</v>
      </c>
      <c r="DP136" s="1700">
        <v>297.86</v>
      </c>
      <c r="DQ136" s="1700">
        <v>301.25</v>
      </c>
      <c r="DR136" s="1700">
        <v>304.64999999999998</v>
      </c>
      <c r="DS136" s="1700"/>
      <c r="DT136" s="1700"/>
      <c r="DU136" s="1700"/>
      <c r="DV136" s="1700"/>
      <c r="DW136" s="1700"/>
      <c r="DX136" s="1700"/>
    </row>
    <row r="137" spans="1:128">
      <c r="A137" s="1622"/>
      <c r="B137" s="1691">
        <f t="shared" si="14"/>
        <v>133</v>
      </c>
      <c r="C137" s="1668" t="str">
        <f t="shared" si="11"/>
        <v>357.21</v>
      </c>
      <c r="D137" s="1672">
        <f t="shared" si="12"/>
        <v>500.09</v>
      </c>
      <c r="E137" s="1670"/>
      <c r="F137" s="1671" t="str">
        <f t="shared" si="13"/>
        <v>224.58</v>
      </c>
      <c r="G137" s="1672">
        <f t="shared" si="10"/>
        <v>314.41000000000003</v>
      </c>
      <c r="H137" s="1670"/>
      <c r="I137" s="1670"/>
      <c r="J137" s="1708">
        <v>133</v>
      </c>
      <c r="K137" s="1693">
        <v>260.39</v>
      </c>
      <c r="L137" s="1693">
        <v>265.23</v>
      </c>
      <c r="M137" s="1693">
        <v>270.07</v>
      </c>
      <c r="N137" s="1693">
        <v>274.91000000000003</v>
      </c>
      <c r="O137" s="1693">
        <v>279.76</v>
      </c>
      <c r="P137" s="1694">
        <v>284.60000000000002</v>
      </c>
      <c r="Q137" s="1694">
        <v>289.44</v>
      </c>
      <c r="R137" s="1694">
        <v>294.27999999999997</v>
      </c>
      <c r="S137" s="1695">
        <v>299.12</v>
      </c>
      <c r="T137" s="1696">
        <v>303.95999999999998</v>
      </c>
      <c r="U137" s="1696">
        <v>308.8</v>
      </c>
      <c r="V137" s="1695">
        <v>313.64</v>
      </c>
      <c r="W137" s="1695">
        <v>318.48</v>
      </c>
      <c r="X137" s="1695">
        <v>323.33</v>
      </c>
      <c r="Y137" s="1697">
        <v>328.17</v>
      </c>
      <c r="Z137" s="1698">
        <v>333.01</v>
      </c>
      <c r="AA137" s="1699">
        <v>337.85</v>
      </c>
      <c r="AB137" s="1699">
        <v>342.69</v>
      </c>
      <c r="AC137" s="1699">
        <v>347.53</v>
      </c>
      <c r="AD137" s="1699">
        <v>352.37</v>
      </c>
      <c r="AE137" s="1699">
        <v>357.21</v>
      </c>
      <c r="AF137" s="1683">
        <v>294.57</v>
      </c>
      <c r="AG137" s="1683">
        <v>299.41000000000003</v>
      </c>
      <c r="AH137" s="1683">
        <v>304.25</v>
      </c>
      <c r="AI137" s="1683">
        <v>309.10000000000002</v>
      </c>
      <c r="AJ137" s="1701">
        <v>313.94</v>
      </c>
      <c r="AK137" s="1701">
        <v>318.77999999999997</v>
      </c>
      <c r="AL137" s="1701">
        <v>323.62</v>
      </c>
      <c r="AM137" s="1701">
        <v>328.46</v>
      </c>
      <c r="AN137" s="1701">
        <v>333.3</v>
      </c>
      <c r="AO137" s="1702">
        <v>338.14</v>
      </c>
      <c r="AP137" s="1700">
        <v>342.98</v>
      </c>
      <c r="AQ137" s="1700">
        <v>347.82</v>
      </c>
      <c r="AR137" s="1683">
        <v>352.67</v>
      </c>
      <c r="AS137" s="1700">
        <v>357.51</v>
      </c>
      <c r="AT137" s="1683">
        <v>362.35</v>
      </c>
      <c r="AU137" s="1700">
        <v>367.19</v>
      </c>
      <c r="AV137" s="1700">
        <v>372.03</v>
      </c>
      <c r="AW137" s="1683">
        <v>376.87</v>
      </c>
      <c r="AX137" s="1683">
        <v>381.71</v>
      </c>
      <c r="AY137" s="1683">
        <v>386.55</v>
      </c>
      <c r="AZ137" s="1683">
        <v>391.4</v>
      </c>
      <c r="BA137" s="1683">
        <v>396.24</v>
      </c>
      <c r="BB137" s="1700">
        <v>401.08</v>
      </c>
      <c r="BC137" s="1683">
        <v>405.92</v>
      </c>
      <c r="BD137" s="1700">
        <v>410.76</v>
      </c>
      <c r="BE137" s="1683">
        <v>415.6</v>
      </c>
      <c r="BF137" s="1683">
        <v>420.44</v>
      </c>
      <c r="BG137" s="1683">
        <v>425.28</v>
      </c>
      <c r="BH137" s="1683">
        <v>430.13</v>
      </c>
      <c r="BI137" s="1683">
        <v>434.97</v>
      </c>
      <c r="BJ137" s="1683">
        <v>439.81</v>
      </c>
      <c r="BK137" s="1683">
        <v>444.65</v>
      </c>
      <c r="BL137" s="1683">
        <v>449.49</v>
      </c>
      <c r="BM137" s="1683">
        <v>454.33</v>
      </c>
      <c r="BN137" s="1683"/>
      <c r="BO137" s="1703">
        <v>133</v>
      </c>
      <c r="BP137" s="1693">
        <v>156.22</v>
      </c>
      <c r="BQ137" s="1693">
        <v>159.63</v>
      </c>
      <c r="BR137" s="1693">
        <v>163.05000000000001</v>
      </c>
      <c r="BS137" s="1693">
        <v>166.47</v>
      </c>
      <c r="BT137" s="1693">
        <v>169.89</v>
      </c>
      <c r="BU137" s="1694">
        <v>173.31</v>
      </c>
      <c r="BV137" s="1694">
        <v>176.72</v>
      </c>
      <c r="BW137" s="1694">
        <v>180.14</v>
      </c>
      <c r="BX137" s="1695">
        <v>183.56</v>
      </c>
      <c r="BY137" s="1696">
        <v>186.98</v>
      </c>
      <c r="BZ137" s="1696">
        <v>190.4</v>
      </c>
      <c r="CA137" s="1695">
        <v>193.82</v>
      </c>
      <c r="CB137" s="1695">
        <v>197.23</v>
      </c>
      <c r="CC137" s="1704">
        <v>200.65</v>
      </c>
      <c r="CD137" s="1697">
        <v>204.07</v>
      </c>
      <c r="CE137" s="1698">
        <v>207.49</v>
      </c>
      <c r="CF137" s="1699">
        <v>210.91</v>
      </c>
      <c r="CG137" s="1699">
        <v>214.32</v>
      </c>
      <c r="CH137" s="1699">
        <v>217.74</v>
      </c>
      <c r="CI137" s="1699">
        <v>221.16</v>
      </c>
      <c r="CJ137" s="1699">
        <v>224.58</v>
      </c>
      <c r="CK137" s="1700">
        <v>194.18</v>
      </c>
      <c r="CL137" s="1700">
        <v>197.6</v>
      </c>
      <c r="CM137" s="1700">
        <v>201.02</v>
      </c>
      <c r="CN137" s="1700">
        <v>204.43</v>
      </c>
      <c r="CO137" s="1705">
        <v>207.85</v>
      </c>
      <c r="CP137" s="1706">
        <v>211.27</v>
      </c>
      <c r="CQ137" s="1701">
        <v>214.69</v>
      </c>
      <c r="CR137" s="1701">
        <v>218.11</v>
      </c>
      <c r="CS137" s="1707">
        <v>221.53</v>
      </c>
      <c r="CT137" s="1700">
        <v>224.94</v>
      </c>
      <c r="CU137" s="1700">
        <v>228.36</v>
      </c>
      <c r="CV137" s="1700">
        <v>231.78</v>
      </c>
      <c r="CW137" s="1700">
        <v>235.2</v>
      </c>
      <c r="CX137" s="1700">
        <v>238.62</v>
      </c>
      <c r="CY137" s="1700">
        <v>242.03</v>
      </c>
      <c r="CZ137" s="1700">
        <v>245.45</v>
      </c>
      <c r="DA137" s="1700">
        <v>248.87</v>
      </c>
      <c r="DB137" s="1700">
        <v>252.29</v>
      </c>
      <c r="DC137" s="1700">
        <v>255.71</v>
      </c>
      <c r="DD137" s="1700">
        <v>259.12</v>
      </c>
      <c r="DE137" s="1700">
        <v>262.54000000000002</v>
      </c>
      <c r="DF137" s="1700">
        <v>265.95999999999998</v>
      </c>
      <c r="DG137" s="1700">
        <v>269.38</v>
      </c>
      <c r="DH137" s="1700">
        <v>272.8</v>
      </c>
      <c r="DI137" s="1700">
        <v>276.20999999999998</v>
      </c>
      <c r="DJ137" s="1700">
        <v>279.63</v>
      </c>
      <c r="DK137" s="1700">
        <v>283.05</v>
      </c>
      <c r="DL137" s="1700">
        <v>286.47000000000003</v>
      </c>
      <c r="DM137" s="1700">
        <v>289.89</v>
      </c>
      <c r="DN137" s="1700">
        <v>293.31</v>
      </c>
      <c r="DO137" s="1700">
        <v>296.72000000000003</v>
      </c>
      <c r="DP137" s="1700">
        <v>300.14</v>
      </c>
      <c r="DQ137" s="1700">
        <v>303.56</v>
      </c>
      <c r="DR137" s="1700">
        <v>306.98</v>
      </c>
      <c r="DS137" s="1700"/>
      <c r="DT137" s="1700"/>
      <c r="DU137" s="1700"/>
      <c r="DV137" s="1700"/>
      <c r="DW137" s="1700"/>
      <c r="DX137" s="1700"/>
    </row>
    <row r="138" spans="1:128">
      <c r="A138" s="1622"/>
      <c r="B138" s="1691">
        <f t="shared" si="14"/>
        <v>134</v>
      </c>
      <c r="C138" s="1668" t="str">
        <f t="shared" si="11"/>
        <v>360.05</v>
      </c>
      <c r="D138" s="1672">
        <f t="shared" si="12"/>
        <v>504.07</v>
      </c>
      <c r="E138" s="1670"/>
      <c r="F138" s="1671" t="str">
        <f t="shared" si="13"/>
        <v>226.23</v>
      </c>
      <c r="G138" s="1672">
        <f t="shared" si="10"/>
        <v>316.72000000000003</v>
      </c>
      <c r="H138" s="1670"/>
      <c r="I138" s="1670"/>
      <c r="J138" s="1708">
        <v>134</v>
      </c>
      <c r="K138" s="1693">
        <v>262.5</v>
      </c>
      <c r="L138" s="1693">
        <v>267.37</v>
      </c>
      <c r="M138" s="1693">
        <v>272.25</v>
      </c>
      <c r="N138" s="1693">
        <v>277.13</v>
      </c>
      <c r="O138" s="1693">
        <v>282.01</v>
      </c>
      <c r="P138" s="1694">
        <v>286.89</v>
      </c>
      <c r="Q138" s="1694">
        <v>291.76</v>
      </c>
      <c r="R138" s="1694">
        <v>296.64</v>
      </c>
      <c r="S138" s="1695">
        <v>301.52</v>
      </c>
      <c r="T138" s="1696">
        <v>306.39999999999998</v>
      </c>
      <c r="U138" s="1696">
        <v>311.27</v>
      </c>
      <c r="V138" s="1695">
        <v>316.14999999999998</v>
      </c>
      <c r="W138" s="1695">
        <v>321.02999999999997</v>
      </c>
      <c r="X138" s="1695">
        <v>325.91000000000003</v>
      </c>
      <c r="Y138" s="1697">
        <v>330.78</v>
      </c>
      <c r="Z138" s="1698">
        <v>335.66</v>
      </c>
      <c r="AA138" s="1699">
        <v>340.54</v>
      </c>
      <c r="AB138" s="1699">
        <v>345.42</v>
      </c>
      <c r="AC138" s="1699">
        <v>350.29</v>
      </c>
      <c r="AD138" s="1699">
        <v>355.17</v>
      </c>
      <c r="AE138" s="1699">
        <v>360.05</v>
      </c>
      <c r="AF138" s="1700">
        <v>296.87</v>
      </c>
      <c r="AG138" s="1700">
        <v>301.75</v>
      </c>
      <c r="AH138" s="1700">
        <v>306.63</v>
      </c>
      <c r="AI138" s="1700">
        <v>311.51</v>
      </c>
      <c r="AJ138" s="1701">
        <v>316.38</v>
      </c>
      <c r="AK138" s="1701">
        <v>321.26</v>
      </c>
      <c r="AL138" s="1701">
        <v>326.14</v>
      </c>
      <c r="AM138" s="1701">
        <v>331.02</v>
      </c>
      <c r="AN138" s="1701">
        <v>335.89</v>
      </c>
      <c r="AO138" s="1702">
        <v>340.77</v>
      </c>
      <c r="AP138" s="1700">
        <v>345.65</v>
      </c>
      <c r="AQ138" s="1700">
        <v>350.53</v>
      </c>
      <c r="AR138" s="1700">
        <v>355.4</v>
      </c>
      <c r="AS138" s="1700">
        <v>360.28</v>
      </c>
      <c r="AT138" s="1700">
        <v>365.16</v>
      </c>
      <c r="AU138" s="1700">
        <v>370.04</v>
      </c>
      <c r="AV138" s="1683">
        <v>374.91</v>
      </c>
      <c r="AW138" s="1700">
        <v>379.79</v>
      </c>
      <c r="AX138" s="1700">
        <v>384.67</v>
      </c>
      <c r="AY138" s="1683">
        <v>389.55</v>
      </c>
      <c r="AZ138" s="1700">
        <v>394.43</v>
      </c>
      <c r="BA138" s="1700">
        <v>399.3</v>
      </c>
      <c r="BB138" s="1700">
        <v>404.18</v>
      </c>
      <c r="BC138" s="1700">
        <v>409.06</v>
      </c>
      <c r="BD138" s="1683">
        <v>413.94</v>
      </c>
      <c r="BE138" s="1700">
        <v>418.81</v>
      </c>
      <c r="BF138" s="1700">
        <v>423.69</v>
      </c>
      <c r="BG138" s="1700">
        <v>428.57</v>
      </c>
      <c r="BH138" s="1700">
        <v>433.45</v>
      </c>
      <c r="BI138" s="1700">
        <v>438.32</v>
      </c>
      <c r="BJ138" s="1700">
        <v>443.2</v>
      </c>
      <c r="BK138" s="1700">
        <v>448.08</v>
      </c>
      <c r="BL138" s="1700">
        <v>452.96</v>
      </c>
      <c r="BM138" s="1700">
        <v>457.83</v>
      </c>
      <c r="BN138" s="1700"/>
      <c r="BO138" s="1703">
        <v>134</v>
      </c>
      <c r="BP138" s="1693">
        <v>157.35</v>
      </c>
      <c r="BQ138" s="1693">
        <v>160.80000000000001</v>
      </c>
      <c r="BR138" s="1693">
        <v>164.24</v>
      </c>
      <c r="BS138" s="1693">
        <v>167.68</v>
      </c>
      <c r="BT138" s="1693">
        <v>171.13</v>
      </c>
      <c r="BU138" s="1694">
        <v>174.57</v>
      </c>
      <c r="BV138" s="1694">
        <v>178.01</v>
      </c>
      <c r="BW138" s="1694">
        <v>181.46</v>
      </c>
      <c r="BX138" s="1695">
        <v>184.9</v>
      </c>
      <c r="BY138" s="1696">
        <v>188.35</v>
      </c>
      <c r="BZ138" s="1696">
        <v>191.79</v>
      </c>
      <c r="CA138" s="1695">
        <v>195.23</v>
      </c>
      <c r="CB138" s="1695">
        <v>198.68</v>
      </c>
      <c r="CC138" s="1704">
        <v>202.12</v>
      </c>
      <c r="CD138" s="1697">
        <v>205.57</v>
      </c>
      <c r="CE138" s="1698">
        <v>209.01</v>
      </c>
      <c r="CF138" s="1699">
        <v>212.45</v>
      </c>
      <c r="CG138" s="1699">
        <v>215.9</v>
      </c>
      <c r="CH138" s="1699">
        <v>219.34</v>
      </c>
      <c r="CI138" s="1699">
        <v>222.78</v>
      </c>
      <c r="CJ138" s="1699">
        <v>226.23</v>
      </c>
      <c r="CK138" s="1700">
        <v>195.62</v>
      </c>
      <c r="CL138" s="1700">
        <v>199.06</v>
      </c>
      <c r="CM138" s="1700">
        <v>202.5</v>
      </c>
      <c r="CN138" s="1700">
        <v>205.95</v>
      </c>
      <c r="CO138" s="1705">
        <v>209.39</v>
      </c>
      <c r="CP138" s="1706">
        <v>212.84</v>
      </c>
      <c r="CQ138" s="1701">
        <v>216.28</v>
      </c>
      <c r="CR138" s="1701">
        <v>219.72</v>
      </c>
      <c r="CS138" s="1707">
        <v>223.17</v>
      </c>
      <c r="CT138" s="1700">
        <v>226.61</v>
      </c>
      <c r="CU138" s="1700">
        <v>230.05</v>
      </c>
      <c r="CV138" s="1700">
        <v>233.5</v>
      </c>
      <c r="CW138" s="1700">
        <v>236.94</v>
      </c>
      <c r="CX138" s="1700">
        <v>240.39</v>
      </c>
      <c r="CY138" s="1700">
        <v>243.83</v>
      </c>
      <c r="CZ138" s="1700">
        <v>247.27</v>
      </c>
      <c r="DA138" s="1700">
        <v>250.72</v>
      </c>
      <c r="DB138" s="1700">
        <v>254.16</v>
      </c>
      <c r="DC138" s="1700">
        <v>257.60000000000002</v>
      </c>
      <c r="DD138" s="1700">
        <v>261.05</v>
      </c>
      <c r="DE138" s="1700">
        <v>264.49</v>
      </c>
      <c r="DF138" s="1700">
        <v>267.94</v>
      </c>
      <c r="DG138" s="1700">
        <v>271.38</v>
      </c>
      <c r="DH138" s="1700">
        <v>274.82</v>
      </c>
      <c r="DI138" s="1700">
        <v>278.27</v>
      </c>
      <c r="DJ138" s="1700">
        <v>281.70999999999998</v>
      </c>
      <c r="DK138" s="1700">
        <v>285.16000000000003</v>
      </c>
      <c r="DL138" s="1700">
        <v>288.60000000000002</v>
      </c>
      <c r="DM138" s="1700">
        <v>292.04000000000002</v>
      </c>
      <c r="DN138" s="1700">
        <v>295.49</v>
      </c>
      <c r="DO138" s="1700">
        <v>298.93</v>
      </c>
      <c r="DP138" s="1700">
        <v>302.37</v>
      </c>
      <c r="DQ138" s="1700">
        <v>305.82</v>
      </c>
      <c r="DR138" s="1700">
        <v>309.26</v>
      </c>
      <c r="DS138" s="1700"/>
      <c r="DT138" s="1700"/>
      <c r="DU138" s="1700"/>
      <c r="DV138" s="1700"/>
      <c r="DW138" s="1700"/>
      <c r="DX138" s="1700"/>
    </row>
    <row r="139" spans="1:128">
      <c r="A139" s="1622"/>
      <c r="B139" s="1691">
        <f t="shared" si="14"/>
        <v>135</v>
      </c>
      <c r="C139" s="1668" t="str">
        <f t="shared" si="11"/>
        <v>362.59</v>
      </c>
      <c r="D139" s="1672">
        <f t="shared" si="12"/>
        <v>507.63</v>
      </c>
      <c r="E139" s="1670"/>
      <c r="F139" s="1671" t="str">
        <f t="shared" si="13"/>
        <v>227.96</v>
      </c>
      <c r="G139" s="1672">
        <f t="shared" si="10"/>
        <v>319.14</v>
      </c>
      <c r="H139" s="1670"/>
      <c r="I139" s="1670"/>
      <c r="J139" s="1708">
        <v>135</v>
      </c>
      <c r="K139" s="1693">
        <v>264.31</v>
      </c>
      <c r="L139" s="1693">
        <v>269.22000000000003</v>
      </c>
      <c r="M139" s="1693">
        <v>274.14</v>
      </c>
      <c r="N139" s="1693">
        <v>279.05</v>
      </c>
      <c r="O139" s="1693">
        <v>283.95999999999998</v>
      </c>
      <c r="P139" s="1694">
        <v>288.88</v>
      </c>
      <c r="Q139" s="1694">
        <v>293.79000000000002</v>
      </c>
      <c r="R139" s="1694">
        <v>298.70999999999998</v>
      </c>
      <c r="S139" s="1695">
        <v>303.62</v>
      </c>
      <c r="T139" s="1696">
        <v>308.52999999999997</v>
      </c>
      <c r="U139" s="1696">
        <v>313.45</v>
      </c>
      <c r="V139" s="1695">
        <v>318.36</v>
      </c>
      <c r="W139" s="1695">
        <v>323.27999999999997</v>
      </c>
      <c r="X139" s="1695">
        <v>328.19</v>
      </c>
      <c r="Y139" s="1697">
        <v>333.1</v>
      </c>
      <c r="Z139" s="1698">
        <v>338.02</v>
      </c>
      <c r="AA139" s="1699">
        <v>342.93</v>
      </c>
      <c r="AB139" s="1699">
        <v>347.85</v>
      </c>
      <c r="AC139" s="1699">
        <v>352.76</v>
      </c>
      <c r="AD139" s="1699">
        <v>357.67</v>
      </c>
      <c r="AE139" s="1699">
        <v>362.59</v>
      </c>
      <c r="AF139" s="1700">
        <v>299</v>
      </c>
      <c r="AG139" s="1700">
        <v>303.92</v>
      </c>
      <c r="AH139" s="1700">
        <v>308.83</v>
      </c>
      <c r="AI139" s="1700">
        <v>313.74</v>
      </c>
      <c r="AJ139" s="1701">
        <v>318.66000000000003</v>
      </c>
      <c r="AK139" s="1701">
        <v>323.57</v>
      </c>
      <c r="AL139" s="1701">
        <v>328.49</v>
      </c>
      <c r="AM139" s="1701">
        <v>333.4</v>
      </c>
      <c r="AN139" s="1701">
        <v>338.31</v>
      </c>
      <c r="AO139" s="1702">
        <v>343.23</v>
      </c>
      <c r="AP139" s="1700">
        <v>348.14</v>
      </c>
      <c r="AQ139" s="1700">
        <v>353.06</v>
      </c>
      <c r="AR139" s="1683">
        <v>357.97</v>
      </c>
      <c r="AS139" s="1700">
        <v>362.88</v>
      </c>
      <c r="AT139" s="1700">
        <v>367.8</v>
      </c>
      <c r="AU139" s="1700">
        <v>372.71</v>
      </c>
      <c r="AV139" s="1700">
        <v>377.63</v>
      </c>
      <c r="AW139" s="1700">
        <v>382.54</v>
      </c>
      <c r="AX139" s="1700">
        <v>387.45</v>
      </c>
      <c r="AY139" s="1683">
        <v>392.37</v>
      </c>
      <c r="AZ139" s="1700">
        <v>397.28</v>
      </c>
      <c r="BA139" s="1700">
        <v>402.2</v>
      </c>
      <c r="BB139" s="1683">
        <v>407.11</v>
      </c>
      <c r="BC139" s="1700">
        <v>412.02</v>
      </c>
      <c r="BD139" s="1700">
        <v>416.94</v>
      </c>
      <c r="BE139" s="1700">
        <v>421.85</v>
      </c>
      <c r="BF139" s="1700">
        <v>426.77</v>
      </c>
      <c r="BG139" s="1700">
        <v>431.68</v>
      </c>
      <c r="BH139" s="1700">
        <v>436.59</v>
      </c>
      <c r="BI139" s="1700">
        <v>441.51</v>
      </c>
      <c r="BJ139" s="1700">
        <v>446.42</v>
      </c>
      <c r="BK139" s="1700">
        <v>451.34</v>
      </c>
      <c r="BL139" s="1700">
        <v>456.25</v>
      </c>
      <c r="BM139" s="1700">
        <v>461.16</v>
      </c>
      <c r="BN139" s="1700"/>
      <c r="BO139" s="1703">
        <v>135</v>
      </c>
      <c r="BP139" s="1693">
        <v>158.57</v>
      </c>
      <c r="BQ139" s="1693">
        <v>162.04</v>
      </c>
      <c r="BR139" s="1693">
        <v>165.51</v>
      </c>
      <c r="BS139" s="1693">
        <v>168.98</v>
      </c>
      <c r="BT139" s="1693">
        <v>172.45</v>
      </c>
      <c r="BU139" s="1694">
        <v>175.92</v>
      </c>
      <c r="BV139" s="1694">
        <v>179.39</v>
      </c>
      <c r="BW139" s="1694">
        <v>182.86</v>
      </c>
      <c r="BX139" s="1695">
        <v>186.33</v>
      </c>
      <c r="BY139" s="1696">
        <v>189.8</v>
      </c>
      <c r="BZ139" s="1696">
        <v>193.27</v>
      </c>
      <c r="CA139" s="1695">
        <v>196.74</v>
      </c>
      <c r="CB139" s="1695">
        <v>200.2</v>
      </c>
      <c r="CC139" s="1704">
        <v>203.67</v>
      </c>
      <c r="CD139" s="1697">
        <v>207.14</v>
      </c>
      <c r="CE139" s="1698">
        <v>210.61</v>
      </c>
      <c r="CF139" s="1699">
        <v>214.08</v>
      </c>
      <c r="CG139" s="1699">
        <v>217.55</v>
      </c>
      <c r="CH139" s="1699">
        <v>221.02</v>
      </c>
      <c r="CI139" s="1699">
        <v>224.49</v>
      </c>
      <c r="CJ139" s="1699">
        <v>227.96</v>
      </c>
      <c r="CK139" s="1700">
        <v>197.1</v>
      </c>
      <c r="CL139" s="1700">
        <v>200.57</v>
      </c>
      <c r="CM139" s="1700">
        <v>204.04</v>
      </c>
      <c r="CN139" s="1700">
        <v>207.51</v>
      </c>
      <c r="CO139" s="1705">
        <v>210.98</v>
      </c>
      <c r="CP139" s="1706">
        <v>214.45</v>
      </c>
      <c r="CQ139" s="1701">
        <v>217.92</v>
      </c>
      <c r="CR139" s="1701">
        <v>221.39</v>
      </c>
      <c r="CS139" s="1707">
        <v>224.86</v>
      </c>
      <c r="CT139" s="1700">
        <v>228.33</v>
      </c>
      <c r="CU139" s="1700">
        <v>231.8</v>
      </c>
      <c r="CV139" s="1700">
        <v>235.27</v>
      </c>
      <c r="CW139" s="1700">
        <v>238.74</v>
      </c>
      <c r="CX139" s="1700">
        <v>242.21</v>
      </c>
      <c r="CY139" s="1700">
        <v>245.68</v>
      </c>
      <c r="CZ139" s="1700">
        <v>249.15</v>
      </c>
      <c r="DA139" s="1700">
        <v>252.62</v>
      </c>
      <c r="DB139" s="1700">
        <v>256.08999999999997</v>
      </c>
      <c r="DC139" s="1700">
        <v>259.55</v>
      </c>
      <c r="DD139" s="1700">
        <v>263.02</v>
      </c>
      <c r="DE139" s="1700">
        <v>266.49</v>
      </c>
      <c r="DF139" s="1700">
        <v>269.95999999999998</v>
      </c>
      <c r="DG139" s="1700">
        <v>273.43</v>
      </c>
      <c r="DH139" s="1700">
        <v>276.89999999999998</v>
      </c>
      <c r="DI139" s="1700">
        <v>280.37</v>
      </c>
      <c r="DJ139" s="1700">
        <v>283.83999999999997</v>
      </c>
      <c r="DK139" s="1700">
        <v>287.31</v>
      </c>
      <c r="DL139" s="1700">
        <v>290.77999999999997</v>
      </c>
      <c r="DM139" s="1700">
        <v>294.25</v>
      </c>
      <c r="DN139" s="1700">
        <v>297.72000000000003</v>
      </c>
      <c r="DO139" s="1700">
        <v>301.19</v>
      </c>
      <c r="DP139" s="1700">
        <v>304.66000000000003</v>
      </c>
      <c r="DQ139" s="1700">
        <v>308.13</v>
      </c>
      <c r="DR139" s="1700">
        <v>311.60000000000002</v>
      </c>
      <c r="DS139" s="1700"/>
      <c r="DT139" s="1700"/>
      <c r="DU139" s="1700"/>
      <c r="DV139" s="1700"/>
      <c r="DW139" s="1700"/>
      <c r="DX139" s="1700"/>
    </row>
    <row r="140" spans="1:128">
      <c r="A140" s="1622"/>
      <c r="B140" s="1691">
        <f t="shared" si="14"/>
        <v>136</v>
      </c>
      <c r="C140" s="1668" t="str">
        <f t="shared" si="11"/>
        <v>365.13</v>
      </c>
      <c r="D140" s="1672">
        <f t="shared" si="12"/>
        <v>511.18</v>
      </c>
      <c r="E140" s="1670"/>
      <c r="F140" s="1671" t="str">
        <f t="shared" si="13"/>
        <v>229.61</v>
      </c>
      <c r="G140" s="1672">
        <f t="shared" si="10"/>
        <v>321.45</v>
      </c>
      <c r="H140" s="1670"/>
      <c r="I140" s="1670"/>
      <c r="J140" s="1708">
        <v>136</v>
      </c>
      <c r="K140" s="1693">
        <v>266.12</v>
      </c>
      <c r="L140" s="1693">
        <v>271.07</v>
      </c>
      <c r="M140" s="1693">
        <v>276.02</v>
      </c>
      <c r="N140" s="1693">
        <v>280.97000000000003</v>
      </c>
      <c r="O140" s="1693">
        <v>285.92</v>
      </c>
      <c r="P140" s="1694">
        <v>290.87</v>
      </c>
      <c r="Q140" s="1694">
        <v>295.83</v>
      </c>
      <c r="R140" s="1694">
        <v>300.77999999999997</v>
      </c>
      <c r="S140" s="1695">
        <v>305.73</v>
      </c>
      <c r="T140" s="1696">
        <v>310.68</v>
      </c>
      <c r="U140" s="1696">
        <v>315.63</v>
      </c>
      <c r="V140" s="1695">
        <v>320.58</v>
      </c>
      <c r="W140" s="1695">
        <v>325.52999999999997</v>
      </c>
      <c r="X140" s="1695">
        <v>330.48</v>
      </c>
      <c r="Y140" s="1697">
        <v>335.43</v>
      </c>
      <c r="Z140" s="1698">
        <v>340.38</v>
      </c>
      <c r="AA140" s="1699">
        <v>345.33</v>
      </c>
      <c r="AB140" s="1699">
        <v>350.28</v>
      </c>
      <c r="AC140" s="1699">
        <v>355.23</v>
      </c>
      <c r="AD140" s="1699">
        <v>360.18</v>
      </c>
      <c r="AE140" s="1699">
        <v>365.13</v>
      </c>
      <c r="AF140" s="1683">
        <v>301.13</v>
      </c>
      <c r="AG140" s="1683">
        <v>306.08</v>
      </c>
      <c r="AH140" s="1683">
        <v>311.02999999999997</v>
      </c>
      <c r="AI140" s="1683">
        <v>315.98</v>
      </c>
      <c r="AJ140" s="1701">
        <v>320.94</v>
      </c>
      <c r="AK140" s="1701">
        <v>325.89</v>
      </c>
      <c r="AL140" s="1701">
        <v>330.84</v>
      </c>
      <c r="AM140" s="1701">
        <v>335.79</v>
      </c>
      <c r="AN140" s="1701">
        <v>340.74</v>
      </c>
      <c r="AO140" s="1702">
        <v>345.69</v>
      </c>
      <c r="AP140" s="1700">
        <v>350.64</v>
      </c>
      <c r="AQ140" s="1700">
        <v>355.59</v>
      </c>
      <c r="AR140" s="1700">
        <v>360.54</v>
      </c>
      <c r="AS140" s="1700">
        <v>365.49</v>
      </c>
      <c r="AT140" s="1683">
        <v>370.44</v>
      </c>
      <c r="AU140" s="1700">
        <v>375.39</v>
      </c>
      <c r="AV140" s="1700">
        <v>380.34</v>
      </c>
      <c r="AW140" s="1683">
        <v>385.29</v>
      </c>
      <c r="AX140" s="1683">
        <v>390.24</v>
      </c>
      <c r="AY140" s="1683">
        <v>395.19</v>
      </c>
      <c r="AZ140" s="1683">
        <v>400.14</v>
      </c>
      <c r="BA140" s="1683">
        <v>405.09</v>
      </c>
      <c r="BB140" s="1700">
        <v>410.04</v>
      </c>
      <c r="BC140" s="1683">
        <v>414.99</v>
      </c>
      <c r="BD140" s="1700">
        <v>419.94</v>
      </c>
      <c r="BE140" s="1683">
        <v>424.89</v>
      </c>
      <c r="BF140" s="1683">
        <v>429.84</v>
      </c>
      <c r="BG140" s="1683">
        <v>434.79</v>
      </c>
      <c r="BH140" s="1683">
        <v>439.74</v>
      </c>
      <c r="BI140" s="1683">
        <v>444.7</v>
      </c>
      <c r="BJ140" s="1683">
        <v>449.65</v>
      </c>
      <c r="BK140" s="1683">
        <v>454.6</v>
      </c>
      <c r="BL140" s="1683">
        <v>459.55</v>
      </c>
      <c r="BM140" s="1683">
        <v>464.5</v>
      </c>
      <c r="BN140" s="1683"/>
      <c r="BO140" s="1703">
        <v>136</v>
      </c>
      <c r="BP140" s="1693">
        <v>159.71</v>
      </c>
      <c r="BQ140" s="1693">
        <v>163.19999999999999</v>
      </c>
      <c r="BR140" s="1693">
        <v>166.7</v>
      </c>
      <c r="BS140" s="1693">
        <v>170.19</v>
      </c>
      <c r="BT140" s="1693">
        <v>173.69</v>
      </c>
      <c r="BU140" s="1694">
        <v>177.19</v>
      </c>
      <c r="BV140" s="1694">
        <v>180.68</v>
      </c>
      <c r="BW140" s="1694">
        <v>184.18</v>
      </c>
      <c r="BX140" s="1695">
        <v>187.67</v>
      </c>
      <c r="BY140" s="1696">
        <v>191.17</v>
      </c>
      <c r="BZ140" s="1696">
        <v>194.66</v>
      </c>
      <c r="CA140" s="1695">
        <v>198.16</v>
      </c>
      <c r="CB140" s="1695">
        <v>201.65</v>
      </c>
      <c r="CC140" s="1704">
        <v>205.15</v>
      </c>
      <c r="CD140" s="1697">
        <v>208.64</v>
      </c>
      <c r="CE140" s="1698">
        <v>212.14</v>
      </c>
      <c r="CF140" s="1699">
        <v>215.63</v>
      </c>
      <c r="CG140" s="1699">
        <v>219.13</v>
      </c>
      <c r="CH140" s="1699">
        <v>222.62</v>
      </c>
      <c r="CI140" s="1699">
        <v>226.12</v>
      </c>
      <c r="CJ140" s="1699">
        <v>229.61</v>
      </c>
      <c r="CK140" s="1700">
        <v>198.54</v>
      </c>
      <c r="CL140" s="1700">
        <v>202.04</v>
      </c>
      <c r="CM140" s="1700">
        <v>205.53</v>
      </c>
      <c r="CN140" s="1700">
        <v>209.03</v>
      </c>
      <c r="CO140" s="1705">
        <v>212.52</v>
      </c>
      <c r="CP140" s="1706">
        <v>216.02</v>
      </c>
      <c r="CQ140" s="1701">
        <v>219.51</v>
      </c>
      <c r="CR140" s="1701">
        <v>223.01</v>
      </c>
      <c r="CS140" s="1707">
        <v>226.5</v>
      </c>
      <c r="CT140" s="1700">
        <v>230</v>
      </c>
      <c r="CU140" s="1700">
        <v>233.49</v>
      </c>
      <c r="CV140" s="1700">
        <v>236.99</v>
      </c>
      <c r="CW140" s="1700">
        <v>240.48</v>
      </c>
      <c r="CX140" s="1700">
        <v>243.98</v>
      </c>
      <c r="CY140" s="1700">
        <v>247.47</v>
      </c>
      <c r="CZ140" s="1700">
        <v>250.97</v>
      </c>
      <c r="DA140" s="1700">
        <v>254.46</v>
      </c>
      <c r="DB140" s="1700">
        <v>257.95999999999998</v>
      </c>
      <c r="DC140" s="1700">
        <v>261.45</v>
      </c>
      <c r="DD140" s="1700">
        <v>264.95</v>
      </c>
      <c r="DE140" s="1700">
        <v>268.45</v>
      </c>
      <c r="DF140" s="1700">
        <v>271.94</v>
      </c>
      <c r="DG140" s="1700">
        <v>275.44</v>
      </c>
      <c r="DH140" s="1700">
        <v>278.93</v>
      </c>
      <c r="DI140" s="1700">
        <v>282.43</v>
      </c>
      <c r="DJ140" s="1700">
        <v>285.92</v>
      </c>
      <c r="DK140" s="1700">
        <v>289.42</v>
      </c>
      <c r="DL140" s="1700">
        <v>292.91000000000003</v>
      </c>
      <c r="DM140" s="1700">
        <v>296.41000000000003</v>
      </c>
      <c r="DN140" s="1700">
        <v>299.89999999999998</v>
      </c>
      <c r="DO140" s="1700">
        <v>303.39999999999998</v>
      </c>
      <c r="DP140" s="1700">
        <v>306.89</v>
      </c>
      <c r="DQ140" s="1700">
        <v>310.39</v>
      </c>
      <c r="DR140" s="1700">
        <v>313.88</v>
      </c>
      <c r="DS140" s="1700"/>
      <c r="DT140" s="1700"/>
      <c r="DU140" s="1700"/>
      <c r="DV140" s="1700"/>
      <c r="DW140" s="1700"/>
      <c r="DX140" s="1700"/>
    </row>
    <row r="141" spans="1:128">
      <c r="A141" s="1622"/>
      <c r="B141" s="1691">
        <f t="shared" si="14"/>
        <v>137</v>
      </c>
      <c r="C141" s="1668" t="str">
        <f t="shared" si="11"/>
        <v>367.99</v>
      </c>
      <c r="D141" s="1672">
        <f t="shared" si="12"/>
        <v>515.19000000000005</v>
      </c>
      <c r="E141" s="1670"/>
      <c r="F141" s="1671" t="str">
        <f t="shared" si="13"/>
        <v>231.35</v>
      </c>
      <c r="G141" s="1672">
        <f t="shared" si="10"/>
        <v>323.89</v>
      </c>
      <c r="H141" s="1670"/>
      <c r="I141" s="1670"/>
      <c r="J141" s="1708">
        <v>137</v>
      </c>
      <c r="K141" s="1693">
        <v>268.25</v>
      </c>
      <c r="L141" s="1693">
        <v>273.24</v>
      </c>
      <c r="M141" s="1693">
        <v>278.23</v>
      </c>
      <c r="N141" s="1693">
        <v>283.20999999999998</v>
      </c>
      <c r="O141" s="1693">
        <v>288.2</v>
      </c>
      <c r="P141" s="1694">
        <v>293.19</v>
      </c>
      <c r="Q141" s="1694">
        <v>298.17</v>
      </c>
      <c r="R141" s="1694">
        <v>303.16000000000003</v>
      </c>
      <c r="S141" s="1695">
        <v>308.14999999999998</v>
      </c>
      <c r="T141" s="1696">
        <v>313.14</v>
      </c>
      <c r="U141" s="1696">
        <v>318.12</v>
      </c>
      <c r="V141" s="1695">
        <v>323.11</v>
      </c>
      <c r="W141" s="1695">
        <v>328.1</v>
      </c>
      <c r="X141" s="1695">
        <v>333.08</v>
      </c>
      <c r="Y141" s="1697">
        <v>338.07</v>
      </c>
      <c r="Z141" s="1698">
        <v>343.06</v>
      </c>
      <c r="AA141" s="1699">
        <v>348.04</v>
      </c>
      <c r="AB141" s="1699">
        <v>353.03</v>
      </c>
      <c r="AC141" s="1699">
        <v>358.02</v>
      </c>
      <c r="AD141" s="1699">
        <v>363</v>
      </c>
      <c r="AE141" s="1699">
        <v>367.99</v>
      </c>
      <c r="AF141" s="1700">
        <v>303.45</v>
      </c>
      <c r="AG141" s="1700">
        <v>308.44</v>
      </c>
      <c r="AH141" s="1700">
        <v>313.42</v>
      </c>
      <c r="AI141" s="1700">
        <v>318.41000000000003</v>
      </c>
      <c r="AJ141" s="1701">
        <v>323.39999999999998</v>
      </c>
      <c r="AK141" s="1701">
        <v>328.38</v>
      </c>
      <c r="AL141" s="1701">
        <v>333.37</v>
      </c>
      <c r="AM141" s="1701">
        <v>338.36</v>
      </c>
      <c r="AN141" s="1701">
        <v>343.34</v>
      </c>
      <c r="AO141" s="1702">
        <v>348.33</v>
      </c>
      <c r="AP141" s="1700">
        <v>353.32</v>
      </c>
      <c r="AQ141" s="1700">
        <v>358.3</v>
      </c>
      <c r="AR141" s="1683">
        <v>363.29</v>
      </c>
      <c r="AS141" s="1700">
        <v>368.28</v>
      </c>
      <c r="AT141" s="1700">
        <v>373.26</v>
      </c>
      <c r="AU141" s="1700">
        <v>378.25</v>
      </c>
      <c r="AV141" s="1683">
        <v>383.24</v>
      </c>
      <c r="AW141" s="1700">
        <v>388.23</v>
      </c>
      <c r="AX141" s="1700">
        <v>393.21</v>
      </c>
      <c r="AY141" s="1683">
        <v>398.2</v>
      </c>
      <c r="AZ141" s="1700">
        <v>403.19</v>
      </c>
      <c r="BA141" s="1700">
        <v>408.17</v>
      </c>
      <c r="BB141" s="1700">
        <v>413.16</v>
      </c>
      <c r="BC141" s="1700">
        <v>418.15</v>
      </c>
      <c r="BD141" s="1683">
        <v>423.13</v>
      </c>
      <c r="BE141" s="1700">
        <v>428.12</v>
      </c>
      <c r="BF141" s="1700">
        <v>433.11</v>
      </c>
      <c r="BG141" s="1700">
        <v>438.09</v>
      </c>
      <c r="BH141" s="1700">
        <v>443.08</v>
      </c>
      <c r="BI141" s="1700">
        <v>448.07</v>
      </c>
      <c r="BJ141" s="1700">
        <v>453.05</v>
      </c>
      <c r="BK141" s="1700">
        <v>458.04</v>
      </c>
      <c r="BL141" s="1700">
        <v>463.03</v>
      </c>
      <c r="BM141" s="1700">
        <v>468.01</v>
      </c>
      <c r="BN141" s="1700"/>
      <c r="BO141" s="1703">
        <v>137</v>
      </c>
      <c r="BP141" s="1693">
        <v>160.93</v>
      </c>
      <c r="BQ141" s="1693">
        <v>164.45</v>
      </c>
      <c r="BR141" s="1693">
        <v>167.97</v>
      </c>
      <c r="BS141" s="1693">
        <v>171.5</v>
      </c>
      <c r="BT141" s="1693">
        <v>175.02</v>
      </c>
      <c r="BU141" s="1694">
        <v>178.54</v>
      </c>
      <c r="BV141" s="1694">
        <v>182.06</v>
      </c>
      <c r="BW141" s="1694">
        <v>185.58</v>
      </c>
      <c r="BX141" s="1695">
        <v>189.1</v>
      </c>
      <c r="BY141" s="1696">
        <v>192.62</v>
      </c>
      <c r="BZ141" s="1696">
        <v>196.14</v>
      </c>
      <c r="CA141" s="1695">
        <v>199.66</v>
      </c>
      <c r="CB141" s="1695">
        <v>203.18</v>
      </c>
      <c r="CC141" s="1704">
        <v>206.7</v>
      </c>
      <c r="CD141" s="1697">
        <v>210.23</v>
      </c>
      <c r="CE141" s="1698">
        <v>213.75</v>
      </c>
      <c r="CF141" s="1699">
        <v>217.27</v>
      </c>
      <c r="CG141" s="1699">
        <v>220.79</v>
      </c>
      <c r="CH141" s="1699">
        <v>224.31</v>
      </c>
      <c r="CI141" s="1699">
        <v>227.83</v>
      </c>
      <c r="CJ141" s="1699">
        <v>231.35</v>
      </c>
      <c r="CK141" s="1700">
        <v>200.03</v>
      </c>
      <c r="CL141" s="1700">
        <v>203.55</v>
      </c>
      <c r="CM141" s="1700">
        <v>207.07</v>
      </c>
      <c r="CN141" s="1700">
        <v>210.59</v>
      </c>
      <c r="CO141" s="1705">
        <v>214.12</v>
      </c>
      <c r="CP141" s="1706">
        <v>217.64</v>
      </c>
      <c r="CQ141" s="1701">
        <v>221.16</v>
      </c>
      <c r="CR141" s="1701">
        <v>224.68</v>
      </c>
      <c r="CS141" s="1707">
        <v>228.2</v>
      </c>
      <c r="CT141" s="1700">
        <v>231.72</v>
      </c>
      <c r="CU141" s="1700">
        <v>235.24</v>
      </c>
      <c r="CV141" s="1700">
        <v>238.76</v>
      </c>
      <c r="CW141" s="1700">
        <v>242.28</v>
      </c>
      <c r="CX141" s="1700">
        <v>245.8</v>
      </c>
      <c r="CY141" s="1700">
        <v>249.32</v>
      </c>
      <c r="CZ141" s="1700">
        <v>252.85</v>
      </c>
      <c r="DA141" s="1700">
        <v>256.37</v>
      </c>
      <c r="DB141" s="1700">
        <v>259.89</v>
      </c>
      <c r="DC141" s="1700">
        <v>263.41000000000003</v>
      </c>
      <c r="DD141" s="1700">
        <v>266.93</v>
      </c>
      <c r="DE141" s="1700">
        <v>270.45</v>
      </c>
      <c r="DF141" s="1700">
        <v>273.97000000000003</v>
      </c>
      <c r="DG141" s="1700">
        <v>277.49</v>
      </c>
      <c r="DH141" s="1700">
        <v>281.01</v>
      </c>
      <c r="DI141" s="1700">
        <v>284.52999999999997</v>
      </c>
      <c r="DJ141" s="1700">
        <v>288.05</v>
      </c>
      <c r="DK141" s="1700">
        <v>291.58</v>
      </c>
      <c r="DL141" s="1700">
        <v>295.10000000000002</v>
      </c>
      <c r="DM141" s="1700">
        <v>298.62</v>
      </c>
      <c r="DN141" s="1700">
        <v>302.14</v>
      </c>
      <c r="DO141" s="1700">
        <v>305.66000000000003</v>
      </c>
      <c r="DP141" s="1700">
        <v>309.18</v>
      </c>
      <c r="DQ141" s="1700">
        <v>312.7</v>
      </c>
      <c r="DR141" s="1700">
        <v>316.22000000000003</v>
      </c>
      <c r="DS141" s="1700"/>
      <c r="DT141" s="1700"/>
      <c r="DU141" s="1700"/>
      <c r="DV141" s="1700"/>
      <c r="DW141" s="1700"/>
      <c r="DX141" s="1700"/>
    </row>
    <row r="142" spans="1:128">
      <c r="A142" s="1622"/>
      <c r="B142" s="1691">
        <f t="shared" si="14"/>
        <v>138</v>
      </c>
      <c r="C142" s="1668" t="str">
        <f t="shared" si="11"/>
        <v>370.54</v>
      </c>
      <c r="D142" s="1672">
        <f t="shared" si="12"/>
        <v>518.76</v>
      </c>
      <c r="E142" s="1670"/>
      <c r="F142" s="1671" t="str">
        <f t="shared" si="13"/>
        <v>233.01</v>
      </c>
      <c r="G142" s="1672">
        <f t="shared" si="10"/>
        <v>326.20999999999998</v>
      </c>
      <c r="H142" s="1670"/>
      <c r="I142" s="1670"/>
      <c r="J142" s="1708">
        <v>138</v>
      </c>
      <c r="K142" s="1693">
        <v>270.08</v>
      </c>
      <c r="L142" s="1693">
        <v>275.10000000000002</v>
      </c>
      <c r="M142" s="1693">
        <v>280.12</v>
      </c>
      <c r="N142" s="1693">
        <v>285.14999999999998</v>
      </c>
      <c r="O142" s="1693">
        <v>290.17</v>
      </c>
      <c r="P142" s="1694">
        <v>295.19</v>
      </c>
      <c r="Q142" s="1694">
        <v>300.22000000000003</v>
      </c>
      <c r="R142" s="1694">
        <v>305.24</v>
      </c>
      <c r="S142" s="1695">
        <v>310.26</v>
      </c>
      <c r="T142" s="1696">
        <v>315.29000000000002</v>
      </c>
      <c r="U142" s="1696">
        <v>320.31</v>
      </c>
      <c r="V142" s="1695">
        <v>325.33</v>
      </c>
      <c r="W142" s="1695">
        <v>330.36</v>
      </c>
      <c r="X142" s="1695">
        <v>335.38</v>
      </c>
      <c r="Y142" s="1697">
        <v>340.4</v>
      </c>
      <c r="Z142" s="1698">
        <v>345.43</v>
      </c>
      <c r="AA142" s="1699">
        <v>350.45</v>
      </c>
      <c r="AB142" s="1699">
        <v>355.47</v>
      </c>
      <c r="AC142" s="1699">
        <v>360.5</v>
      </c>
      <c r="AD142" s="1699">
        <v>365.52</v>
      </c>
      <c r="AE142" s="1699">
        <v>370.54</v>
      </c>
      <c r="AF142" s="1700">
        <v>305.58999999999997</v>
      </c>
      <c r="AG142" s="1700">
        <v>310.61</v>
      </c>
      <c r="AH142" s="1700">
        <v>315.63</v>
      </c>
      <c r="AI142" s="1700">
        <v>320.66000000000003</v>
      </c>
      <c r="AJ142" s="1701">
        <v>325.68</v>
      </c>
      <c r="AK142" s="1701">
        <v>330.7</v>
      </c>
      <c r="AL142" s="1701">
        <v>335.73</v>
      </c>
      <c r="AM142" s="1701">
        <v>340.75</v>
      </c>
      <c r="AN142" s="1701">
        <v>345.77</v>
      </c>
      <c r="AO142" s="1702">
        <v>350.8</v>
      </c>
      <c r="AP142" s="1700">
        <v>355.82</v>
      </c>
      <c r="AQ142" s="1700">
        <v>360.84</v>
      </c>
      <c r="AR142" s="1700">
        <v>365.86</v>
      </c>
      <c r="AS142" s="1700">
        <v>370.89</v>
      </c>
      <c r="AT142" s="1700">
        <v>375.91</v>
      </c>
      <c r="AU142" s="1700">
        <v>380.93</v>
      </c>
      <c r="AV142" s="1700">
        <v>385.96</v>
      </c>
      <c r="AW142" s="1700">
        <v>390.98</v>
      </c>
      <c r="AX142" s="1700">
        <v>396</v>
      </c>
      <c r="AY142" s="1683">
        <v>401.03</v>
      </c>
      <c r="AZ142" s="1700">
        <v>406.05</v>
      </c>
      <c r="BA142" s="1700">
        <v>411.07</v>
      </c>
      <c r="BB142" s="1683">
        <v>416.1</v>
      </c>
      <c r="BC142" s="1700">
        <v>421.12</v>
      </c>
      <c r="BD142" s="1700">
        <v>426.14</v>
      </c>
      <c r="BE142" s="1700">
        <v>431.17</v>
      </c>
      <c r="BF142" s="1700">
        <v>436.19</v>
      </c>
      <c r="BG142" s="1700">
        <v>441.21</v>
      </c>
      <c r="BH142" s="1700">
        <v>446.24</v>
      </c>
      <c r="BI142" s="1700">
        <v>451.26</v>
      </c>
      <c r="BJ142" s="1700">
        <v>456.28</v>
      </c>
      <c r="BK142" s="1700">
        <v>461.31</v>
      </c>
      <c r="BL142" s="1700">
        <v>466.33</v>
      </c>
      <c r="BM142" s="1700">
        <v>471.35</v>
      </c>
      <c r="BN142" s="1700"/>
      <c r="BO142" s="1703">
        <v>138</v>
      </c>
      <c r="BP142" s="1693">
        <v>162.07</v>
      </c>
      <c r="BQ142" s="1693">
        <v>165.62</v>
      </c>
      <c r="BR142" s="1693">
        <v>169.17</v>
      </c>
      <c r="BS142" s="1693">
        <v>172.71</v>
      </c>
      <c r="BT142" s="1693">
        <v>176.26</v>
      </c>
      <c r="BU142" s="1694">
        <v>179.81</v>
      </c>
      <c r="BV142" s="1694">
        <v>183.35</v>
      </c>
      <c r="BW142" s="1694">
        <v>186.9</v>
      </c>
      <c r="BX142" s="1695">
        <v>190.45</v>
      </c>
      <c r="BY142" s="1696">
        <v>193.99</v>
      </c>
      <c r="BZ142" s="1696">
        <v>197.54</v>
      </c>
      <c r="CA142" s="1695">
        <v>201.09</v>
      </c>
      <c r="CB142" s="1695">
        <v>204.63</v>
      </c>
      <c r="CC142" s="1704">
        <v>208.18</v>
      </c>
      <c r="CD142" s="1697">
        <v>211.73</v>
      </c>
      <c r="CE142" s="1698">
        <v>215.27</v>
      </c>
      <c r="CF142" s="1699">
        <v>218.82</v>
      </c>
      <c r="CG142" s="1699">
        <v>222.37</v>
      </c>
      <c r="CH142" s="1699">
        <v>225.91</v>
      </c>
      <c r="CI142" s="1699">
        <v>229.46</v>
      </c>
      <c r="CJ142" s="1699">
        <v>233.01</v>
      </c>
      <c r="CK142" s="1700">
        <v>201.47</v>
      </c>
      <c r="CL142" s="1700">
        <v>205.02</v>
      </c>
      <c r="CM142" s="1700">
        <v>208.56</v>
      </c>
      <c r="CN142" s="1700">
        <v>212.11</v>
      </c>
      <c r="CO142" s="1705">
        <v>215.66</v>
      </c>
      <c r="CP142" s="1706">
        <v>219.2</v>
      </c>
      <c r="CQ142" s="1701">
        <v>222.75</v>
      </c>
      <c r="CR142" s="1701">
        <v>226.3</v>
      </c>
      <c r="CS142" s="1707">
        <v>229.84</v>
      </c>
      <c r="CT142" s="1700">
        <v>233.39</v>
      </c>
      <c r="CU142" s="1700">
        <v>236.94</v>
      </c>
      <c r="CV142" s="1700">
        <v>240.48</v>
      </c>
      <c r="CW142" s="1700">
        <v>244.03</v>
      </c>
      <c r="CX142" s="1700">
        <v>247.58</v>
      </c>
      <c r="CY142" s="1700">
        <v>251.12</v>
      </c>
      <c r="CZ142" s="1700">
        <v>254.67</v>
      </c>
      <c r="DA142" s="1700">
        <v>258.22000000000003</v>
      </c>
      <c r="DB142" s="1700">
        <v>261.76</v>
      </c>
      <c r="DC142" s="1700">
        <v>265.31</v>
      </c>
      <c r="DD142" s="1700">
        <v>268.86</v>
      </c>
      <c r="DE142" s="1700">
        <v>272.39999999999998</v>
      </c>
      <c r="DF142" s="1700">
        <v>275.95</v>
      </c>
      <c r="DG142" s="1700">
        <v>279.5</v>
      </c>
      <c r="DH142" s="1700">
        <v>283.04000000000002</v>
      </c>
      <c r="DI142" s="1700">
        <v>286.58999999999997</v>
      </c>
      <c r="DJ142" s="1700">
        <v>290.14</v>
      </c>
      <c r="DK142" s="1700">
        <v>293.68</v>
      </c>
      <c r="DL142" s="1700">
        <v>297.23</v>
      </c>
      <c r="DM142" s="1700">
        <v>300.77999999999997</v>
      </c>
      <c r="DN142" s="1700">
        <v>304.32</v>
      </c>
      <c r="DO142" s="1700">
        <v>307.87</v>
      </c>
      <c r="DP142" s="1700">
        <v>311.42</v>
      </c>
      <c r="DQ142" s="1700">
        <v>314.95999999999998</v>
      </c>
      <c r="DR142" s="1700">
        <v>318.51</v>
      </c>
      <c r="DS142" s="1700"/>
      <c r="DT142" s="1700"/>
      <c r="DU142" s="1700"/>
      <c r="DV142" s="1700"/>
      <c r="DW142" s="1700"/>
      <c r="DX142" s="1700"/>
    </row>
    <row r="143" spans="1:128">
      <c r="A143" s="1622"/>
      <c r="B143" s="1691">
        <f t="shared" si="14"/>
        <v>139</v>
      </c>
      <c r="C143" s="1668" t="str">
        <f t="shared" si="11"/>
        <v>373.42</v>
      </c>
      <c r="D143" s="1672">
        <f t="shared" si="12"/>
        <v>522.79</v>
      </c>
      <c r="E143" s="1670"/>
      <c r="F143" s="1671" t="str">
        <f t="shared" si="13"/>
        <v>234.66</v>
      </c>
      <c r="G143" s="1672">
        <f t="shared" si="10"/>
        <v>328.52</v>
      </c>
      <c r="H143" s="1670"/>
      <c r="I143" s="1670"/>
      <c r="J143" s="1708">
        <v>139</v>
      </c>
      <c r="K143" s="1693">
        <v>272.23</v>
      </c>
      <c r="L143" s="1693">
        <v>277.29000000000002</v>
      </c>
      <c r="M143" s="1693">
        <v>282.35000000000002</v>
      </c>
      <c r="N143" s="1693">
        <v>287.41000000000003</v>
      </c>
      <c r="O143" s="1693">
        <v>292.47000000000003</v>
      </c>
      <c r="P143" s="1694">
        <v>297.52999999999997</v>
      </c>
      <c r="Q143" s="1694">
        <v>302.58999999999997</v>
      </c>
      <c r="R143" s="1694">
        <v>307.64999999999998</v>
      </c>
      <c r="S143" s="1695">
        <v>312.70999999999998</v>
      </c>
      <c r="T143" s="1696">
        <v>317.76</v>
      </c>
      <c r="U143" s="1696">
        <v>322.82</v>
      </c>
      <c r="V143" s="1695">
        <v>327.88</v>
      </c>
      <c r="W143" s="1695">
        <v>332.94</v>
      </c>
      <c r="X143" s="1695">
        <v>338</v>
      </c>
      <c r="Y143" s="1697">
        <v>343.06</v>
      </c>
      <c r="Z143" s="1698">
        <v>348.12</v>
      </c>
      <c r="AA143" s="1699">
        <v>353.18</v>
      </c>
      <c r="AB143" s="1699">
        <v>358.24</v>
      </c>
      <c r="AC143" s="1699">
        <v>363.3</v>
      </c>
      <c r="AD143" s="1699">
        <v>368.36</v>
      </c>
      <c r="AE143" s="1699">
        <v>373.42</v>
      </c>
      <c r="AF143" s="1683">
        <v>307.91000000000003</v>
      </c>
      <c r="AG143" s="1683">
        <v>312.97000000000003</v>
      </c>
      <c r="AH143" s="1683">
        <v>318.02999999999997</v>
      </c>
      <c r="AI143" s="1683">
        <v>323.08999999999997</v>
      </c>
      <c r="AJ143" s="1701">
        <v>328.15</v>
      </c>
      <c r="AK143" s="1701">
        <v>333.21</v>
      </c>
      <c r="AL143" s="1701">
        <v>338.27</v>
      </c>
      <c r="AM143" s="1701">
        <v>343.33</v>
      </c>
      <c r="AN143" s="1701">
        <v>348.39</v>
      </c>
      <c r="AO143" s="1702">
        <v>353.45</v>
      </c>
      <c r="AP143" s="1700">
        <v>358.51</v>
      </c>
      <c r="AQ143" s="1700">
        <v>363.57</v>
      </c>
      <c r="AR143" s="1683">
        <v>368.63</v>
      </c>
      <c r="AS143" s="1700">
        <v>373.69</v>
      </c>
      <c r="AT143" s="1683">
        <v>378.75</v>
      </c>
      <c r="AU143" s="1700">
        <v>383.81</v>
      </c>
      <c r="AV143" s="1700">
        <v>388.87</v>
      </c>
      <c r="AW143" s="1683">
        <v>393.93</v>
      </c>
      <c r="AX143" s="1683">
        <v>398.99</v>
      </c>
      <c r="AY143" s="1683">
        <v>404.05</v>
      </c>
      <c r="AZ143" s="1683">
        <v>409.11</v>
      </c>
      <c r="BA143" s="1683">
        <v>414.17</v>
      </c>
      <c r="BB143" s="1700">
        <v>419.22</v>
      </c>
      <c r="BC143" s="1683">
        <v>424.28</v>
      </c>
      <c r="BD143" s="1700">
        <v>429.34</v>
      </c>
      <c r="BE143" s="1683">
        <v>434.4</v>
      </c>
      <c r="BF143" s="1683">
        <v>439.46</v>
      </c>
      <c r="BG143" s="1683">
        <v>444.52</v>
      </c>
      <c r="BH143" s="1683">
        <v>449.58</v>
      </c>
      <c r="BI143" s="1683">
        <v>454.64</v>
      </c>
      <c r="BJ143" s="1683">
        <v>459.7</v>
      </c>
      <c r="BK143" s="1683">
        <v>464.76</v>
      </c>
      <c r="BL143" s="1683">
        <v>469.82</v>
      </c>
      <c r="BM143" s="1683">
        <v>474.88</v>
      </c>
      <c r="BN143" s="1683"/>
      <c r="BO143" s="1703">
        <v>139</v>
      </c>
      <c r="BP143" s="1693">
        <v>163.22</v>
      </c>
      <c r="BQ143" s="1693">
        <v>166.79</v>
      </c>
      <c r="BR143" s="1693">
        <v>170.36</v>
      </c>
      <c r="BS143" s="1693">
        <v>173.93</v>
      </c>
      <c r="BT143" s="1693">
        <v>177.51</v>
      </c>
      <c r="BU143" s="1694">
        <v>181.08</v>
      </c>
      <c r="BV143" s="1694">
        <v>184.65</v>
      </c>
      <c r="BW143" s="1694">
        <v>188.22</v>
      </c>
      <c r="BX143" s="1695">
        <v>191.79</v>
      </c>
      <c r="BY143" s="1696">
        <v>195.37</v>
      </c>
      <c r="BZ143" s="1696">
        <v>198.94</v>
      </c>
      <c r="CA143" s="1695">
        <v>202.51</v>
      </c>
      <c r="CB143" s="1695">
        <v>206.08</v>
      </c>
      <c r="CC143" s="1704">
        <v>209.66</v>
      </c>
      <c r="CD143" s="1697">
        <v>213.23</v>
      </c>
      <c r="CE143" s="1698">
        <v>216.8</v>
      </c>
      <c r="CF143" s="1699">
        <v>220.37</v>
      </c>
      <c r="CG143" s="1699">
        <v>223.95</v>
      </c>
      <c r="CH143" s="1699">
        <v>227.52</v>
      </c>
      <c r="CI143" s="1699">
        <v>231.09</v>
      </c>
      <c r="CJ143" s="1699">
        <v>234.66</v>
      </c>
      <c r="CK143" s="1700">
        <v>202.91</v>
      </c>
      <c r="CL143" s="1700">
        <v>206.48</v>
      </c>
      <c r="CM143" s="1700">
        <v>210.06</v>
      </c>
      <c r="CN143" s="1700">
        <v>213.63</v>
      </c>
      <c r="CO143" s="1705">
        <v>217.2</v>
      </c>
      <c r="CP143" s="1706">
        <v>220.77</v>
      </c>
      <c r="CQ143" s="1701">
        <v>224.34</v>
      </c>
      <c r="CR143" s="1701">
        <v>227.92</v>
      </c>
      <c r="CS143" s="1707">
        <v>231.49</v>
      </c>
      <c r="CT143" s="1700">
        <v>235.06</v>
      </c>
      <c r="CU143" s="1700">
        <v>238.63</v>
      </c>
      <c r="CV143" s="1700">
        <v>242.21</v>
      </c>
      <c r="CW143" s="1700">
        <v>245.78</v>
      </c>
      <c r="CX143" s="1700">
        <v>249.35</v>
      </c>
      <c r="CY143" s="1700">
        <v>252.92</v>
      </c>
      <c r="CZ143" s="1700">
        <v>256.5</v>
      </c>
      <c r="DA143" s="1700">
        <v>260.07</v>
      </c>
      <c r="DB143" s="1700">
        <v>263.64</v>
      </c>
      <c r="DC143" s="1700">
        <v>267.20999999999998</v>
      </c>
      <c r="DD143" s="1700">
        <v>270.77999999999997</v>
      </c>
      <c r="DE143" s="1700">
        <v>274.36</v>
      </c>
      <c r="DF143" s="1700">
        <v>277.93</v>
      </c>
      <c r="DG143" s="1700">
        <v>281.5</v>
      </c>
      <c r="DH143" s="1700">
        <v>285.07</v>
      </c>
      <c r="DI143" s="1700">
        <v>288.64999999999998</v>
      </c>
      <c r="DJ143" s="1700">
        <v>292.22000000000003</v>
      </c>
      <c r="DK143" s="1700">
        <v>295.79000000000002</v>
      </c>
      <c r="DL143" s="1700">
        <v>299.36</v>
      </c>
      <c r="DM143" s="1700">
        <v>302.94</v>
      </c>
      <c r="DN143" s="1700">
        <v>306.51</v>
      </c>
      <c r="DO143" s="1700">
        <v>310.08</v>
      </c>
      <c r="DP143" s="1700">
        <v>313.64999999999998</v>
      </c>
      <c r="DQ143" s="1700">
        <v>317.22000000000003</v>
      </c>
      <c r="DR143" s="1700">
        <v>320.8</v>
      </c>
      <c r="DS143" s="1700"/>
      <c r="DT143" s="1700"/>
      <c r="DU143" s="1700"/>
      <c r="DV143" s="1700"/>
      <c r="DW143" s="1700"/>
      <c r="DX143" s="1700"/>
    </row>
    <row r="144" spans="1:128">
      <c r="A144" s="1622"/>
      <c r="B144" s="1691">
        <f t="shared" si="14"/>
        <v>140</v>
      </c>
      <c r="C144" s="1668" t="str">
        <f t="shared" si="11"/>
        <v>375.98</v>
      </c>
      <c r="D144" s="1672">
        <f t="shared" si="12"/>
        <v>526.37</v>
      </c>
      <c r="E144" s="1670"/>
      <c r="F144" s="1671" t="str">
        <f t="shared" si="13"/>
        <v>236.32</v>
      </c>
      <c r="G144" s="1672">
        <f t="shared" si="10"/>
        <v>330.85</v>
      </c>
      <c r="H144" s="1670"/>
      <c r="I144" s="1670"/>
      <c r="J144" s="1708">
        <v>140</v>
      </c>
      <c r="K144" s="1693">
        <v>274.06</v>
      </c>
      <c r="L144" s="1693">
        <v>279.16000000000003</v>
      </c>
      <c r="M144" s="1693">
        <v>284.25</v>
      </c>
      <c r="N144" s="1693">
        <v>289.36</v>
      </c>
      <c r="O144" s="1693">
        <v>294.45</v>
      </c>
      <c r="P144" s="1694">
        <v>299.54000000000002</v>
      </c>
      <c r="Q144" s="1694">
        <v>304.64</v>
      </c>
      <c r="R144" s="1694">
        <v>309.73</v>
      </c>
      <c r="S144" s="1695">
        <v>314.83</v>
      </c>
      <c r="T144" s="1696">
        <v>319.93</v>
      </c>
      <c r="U144" s="1696">
        <v>325.02</v>
      </c>
      <c r="V144" s="1695">
        <v>330.12</v>
      </c>
      <c r="W144" s="1695">
        <v>335.21</v>
      </c>
      <c r="X144" s="1695">
        <v>340.31</v>
      </c>
      <c r="Y144" s="1697">
        <v>345.41</v>
      </c>
      <c r="Z144" s="1698">
        <v>350.5</v>
      </c>
      <c r="AA144" s="1699">
        <v>355.6</v>
      </c>
      <c r="AB144" s="1699">
        <v>360.69</v>
      </c>
      <c r="AC144" s="1699">
        <v>365.79</v>
      </c>
      <c r="AD144" s="1699">
        <v>370.89</v>
      </c>
      <c r="AE144" s="1699">
        <v>375.98</v>
      </c>
      <c r="AF144" s="1700">
        <v>310.06</v>
      </c>
      <c r="AG144" s="1700">
        <v>315.14999999999998</v>
      </c>
      <c r="AH144" s="1700">
        <v>320.25</v>
      </c>
      <c r="AI144" s="1700">
        <v>325.33999999999997</v>
      </c>
      <c r="AJ144" s="1701">
        <v>330.44</v>
      </c>
      <c r="AK144" s="1701">
        <v>335.54</v>
      </c>
      <c r="AL144" s="1701">
        <v>340.63</v>
      </c>
      <c r="AM144" s="1701">
        <v>345.73</v>
      </c>
      <c r="AN144" s="1701">
        <v>350.82</v>
      </c>
      <c r="AO144" s="1702">
        <v>355.92</v>
      </c>
      <c r="AP144" s="1700">
        <v>361.02</v>
      </c>
      <c r="AQ144" s="1700">
        <v>366.11</v>
      </c>
      <c r="AR144" s="1700">
        <v>371.21</v>
      </c>
      <c r="AS144" s="1700">
        <v>376.3</v>
      </c>
      <c r="AT144" s="1700">
        <v>381.4</v>
      </c>
      <c r="AU144" s="1700">
        <v>386.5</v>
      </c>
      <c r="AV144" s="1683">
        <v>391.59</v>
      </c>
      <c r="AW144" s="1700">
        <v>396.69</v>
      </c>
      <c r="AX144" s="1700">
        <v>401.78</v>
      </c>
      <c r="AY144" s="1683">
        <v>406.88</v>
      </c>
      <c r="AZ144" s="1700">
        <v>411.98</v>
      </c>
      <c r="BA144" s="1700">
        <v>417.07</v>
      </c>
      <c r="BB144" s="1700">
        <v>422.17</v>
      </c>
      <c r="BC144" s="1700">
        <v>427.26</v>
      </c>
      <c r="BD144" s="1683">
        <v>432.36</v>
      </c>
      <c r="BE144" s="1700">
        <v>437.46</v>
      </c>
      <c r="BF144" s="1700">
        <v>442.55</v>
      </c>
      <c r="BG144" s="1700">
        <v>447.65</v>
      </c>
      <c r="BH144" s="1700">
        <v>452.74</v>
      </c>
      <c r="BI144" s="1700">
        <v>457.84</v>
      </c>
      <c r="BJ144" s="1700">
        <v>462.94</v>
      </c>
      <c r="BK144" s="1700">
        <v>468.03</v>
      </c>
      <c r="BL144" s="1700">
        <v>473.13</v>
      </c>
      <c r="BM144" s="1700">
        <v>478.22</v>
      </c>
      <c r="BN144" s="1700"/>
      <c r="BO144" s="1703">
        <v>140</v>
      </c>
      <c r="BP144" s="1693">
        <v>164.36</v>
      </c>
      <c r="BQ144" s="1693">
        <v>167.96</v>
      </c>
      <c r="BR144" s="1693">
        <v>171.56</v>
      </c>
      <c r="BS144" s="1693">
        <v>175.15</v>
      </c>
      <c r="BT144" s="1693">
        <v>178.75</v>
      </c>
      <c r="BU144" s="1694">
        <v>182.35</v>
      </c>
      <c r="BV144" s="1694">
        <v>185.95</v>
      </c>
      <c r="BW144" s="1694">
        <v>189.55</v>
      </c>
      <c r="BX144" s="1695">
        <v>193.14</v>
      </c>
      <c r="BY144" s="1696">
        <v>196.74</v>
      </c>
      <c r="BZ144" s="1696">
        <v>200.34</v>
      </c>
      <c r="CA144" s="1695">
        <v>203.94</v>
      </c>
      <c r="CB144" s="1695">
        <v>207.54</v>
      </c>
      <c r="CC144" s="1704">
        <v>211.13</v>
      </c>
      <c r="CD144" s="1697">
        <v>214.73</v>
      </c>
      <c r="CE144" s="1698">
        <v>218.33</v>
      </c>
      <c r="CF144" s="1699">
        <v>221.93</v>
      </c>
      <c r="CG144" s="1699">
        <v>225.53</v>
      </c>
      <c r="CH144" s="1699">
        <v>229.12</v>
      </c>
      <c r="CI144" s="1699">
        <v>232.72</v>
      </c>
      <c r="CJ144" s="1699">
        <v>236.32</v>
      </c>
      <c r="CK144" s="1700">
        <v>204.35</v>
      </c>
      <c r="CL144" s="1700">
        <v>207.95</v>
      </c>
      <c r="CM144" s="1700">
        <v>211.55</v>
      </c>
      <c r="CN144" s="1700">
        <v>215.15</v>
      </c>
      <c r="CO144" s="1705">
        <v>218.74</v>
      </c>
      <c r="CP144" s="1706">
        <v>222.34</v>
      </c>
      <c r="CQ144" s="1701">
        <v>225.94</v>
      </c>
      <c r="CR144" s="1701">
        <v>229.54</v>
      </c>
      <c r="CS144" s="1707">
        <v>233.14</v>
      </c>
      <c r="CT144" s="1700">
        <v>236.73</v>
      </c>
      <c r="CU144" s="1700">
        <v>240.33</v>
      </c>
      <c r="CV144" s="1700">
        <v>243.93</v>
      </c>
      <c r="CW144" s="1700">
        <v>247.53</v>
      </c>
      <c r="CX144" s="1700">
        <v>251.13</v>
      </c>
      <c r="CY144" s="1461">
        <v>254.72</v>
      </c>
      <c r="CZ144" s="1700">
        <v>258.32</v>
      </c>
      <c r="DA144" s="1700">
        <v>261.92</v>
      </c>
      <c r="DB144" s="1700">
        <v>265.52</v>
      </c>
      <c r="DC144" s="1700">
        <v>269.12</v>
      </c>
      <c r="DD144" s="1700">
        <v>272.70999999999998</v>
      </c>
      <c r="DE144" s="1700">
        <v>276.31</v>
      </c>
      <c r="DF144" s="1700">
        <v>279.91000000000003</v>
      </c>
      <c r="DG144" s="1700">
        <v>283.51</v>
      </c>
      <c r="DH144" s="1700">
        <v>287.11</v>
      </c>
      <c r="DI144" s="1700">
        <v>290.7</v>
      </c>
      <c r="DJ144" s="1700">
        <v>294.3</v>
      </c>
      <c r="DK144" s="1700">
        <v>297.89999999999998</v>
      </c>
      <c r="DL144" s="1700">
        <v>301.5</v>
      </c>
      <c r="DM144" s="1700">
        <v>305.10000000000002</v>
      </c>
      <c r="DN144" s="1700">
        <v>308.69</v>
      </c>
      <c r="DO144" s="1700">
        <v>312.29000000000002</v>
      </c>
      <c r="DP144" s="1700">
        <v>315.89</v>
      </c>
      <c r="DQ144" s="1700">
        <v>319.49</v>
      </c>
      <c r="DR144" s="1700">
        <v>323.08999999999997</v>
      </c>
      <c r="DS144" s="1700"/>
      <c r="DT144" s="1700"/>
      <c r="DU144" s="1700"/>
      <c r="DV144" s="1700"/>
      <c r="DW144" s="1700"/>
      <c r="DX144" s="1700"/>
    </row>
    <row r="145" spans="1:128">
      <c r="A145" s="1622"/>
      <c r="B145" s="1691">
        <f t="shared" si="14"/>
        <v>141</v>
      </c>
      <c r="C145" s="1668" t="str">
        <f t="shared" si="11"/>
        <v>378.55</v>
      </c>
      <c r="D145" s="1672">
        <f t="shared" si="12"/>
        <v>529.97</v>
      </c>
      <c r="E145" s="1670"/>
      <c r="F145" s="1671" t="str">
        <f t="shared" si="13"/>
        <v>238.07</v>
      </c>
      <c r="G145" s="1672">
        <f t="shared" si="10"/>
        <v>333.3</v>
      </c>
      <c r="H145" s="1670"/>
      <c r="I145" s="1670"/>
      <c r="J145" s="1708">
        <v>141</v>
      </c>
      <c r="K145" s="1693">
        <v>275.89999999999998</v>
      </c>
      <c r="L145" s="1693">
        <v>281.02999999999997</v>
      </c>
      <c r="M145" s="1693">
        <v>286.16000000000003</v>
      </c>
      <c r="N145" s="1693">
        <v>291.3</v>
      </c>
      <c r="O145" s="1693">
        <v>296.43</v>
      </c>
      <c r="P145" s="1694">
        <v>301.56</v>
      </c>
      <c r="Q145" s="1694">
        <v>306.69</v>
      </c>
      <c r="R145" s="1694">
        <v>311.83</v>
      </c>
      <c r="S145" s="1695">
        <v>316.95999999999998</v>
      </c>
      <c r="T145" s="1696">
        <v>322.08999999999997</v>
      </c>
      <c r="U145" s="1696">
        <v>327.22000000000003</v>
      </c>
      <c r="V145" s="1695">
        <v>332.36</v>
      </c>
      <c r="W145" s="1695">
        <v>337.49</v>
      </c>
      <c r="X145" s="1695">
        <v>342.62</v>
      </c>
      <c r="Y145" s="1697">
        <v>347.75</v>
      </c>
      <c r="Z145" s="1698">
        <v>352.89</v>
      </c>
      <c r="AA145" s="1699">
        <v>358.02</v>
      </c>
      <c r="AB145" s="1699">
        <v>363.15</v>
      </c>
      <c r="AC145" s="1699">
        <v>368.28</v>
      </c>
      <c r="AD145" s="1699">
        <v>373.42</v>
      </c>
      <c r="AE145" s="1699">
        <v>378.55</v>
      </c>
      <c r="AF145" s="1700">
        <v>312.2</v>
      </c>
      <c r="AG145" s="1700">
        <v>317.33</v>
      </c>
      <c r="AH145" s="1700">
        <v>322.47000000000003</v>
      </c>
      <c r="AI145" s="1700">
        <v>327.60000000000002</v>
      </c>
      <c r="AJ145" s="1701">
        <v>332.73</v>
      </c>
      <c r="AK145" s="1701">
        <v>337.86</v>
      </c>
      <c r="AL145" s="1701">
        <v>343</v>
      </c>
      <c r="AM145" s="1701">
        <v>348.13</v>
      </c>
      <c r="AN145" s="1701">
        <v>353.26</v>
      </c>
      <c r="AO145" s="1702">
        <v>358.39</v>
      </c>
      <c r="AP145" s="1700">
        <v>363.52</v>
      </c>
      <c r="AQ145" s="1700">
        <v>368.66</v>
      </c>
      <c r="AR145" s="1683">
        <v>373.79</v>
      </c>
      <c r="AS145" s="1700">
        <v>378.92</v>
      </c>
      <c r="AT145" s="1700">
        <v>384.05</v>
      </c>
      <c r="AU145" s="1700">
        <v>389.19</v>
      </c>
      <c r="AV145" s="1700">
        <v>394.32</v>
      </c>
      <c r="AW145" s="1700">
        <v>399.45</v>
      </c>
      <c r="AX145" s="1700">
        <v>404.58</v>
      </c>
      <c r="AY145" s="1683">
        <v>409.72</v>
      </c>
      <c r="AZ145" s="1700">
        <v>414.85</v>
      </c>
      <c r="BA145" s="1700">
        <v>419.98</v>
      </c>
      <c r="BB145" s="1683">
        <v>425.11</v>
      </c>
      <c r="BC145" s="1700">
        <v>430.25</v>
      </c>
      <c r="BD145" s="1700">
        <v>435.38</v>
      </c>
      <c r="BE145" s="1700">
        <v>440.51</v>
      </c>
      <c r="BF145" s="1700">
        <v>445.64</v>
      </c>
      <c r="BG145" s="1700">
        <v>450.78</v>
      </c>
      <c r="BH145" s="1700">
        <v>455.91</v>
      </c>
      <c r="BI145" s="1700">
        <v>461.04</v>
      </c>
      <c r="BJ145" s="1700">
        <v>466.17</v>
      </c>
      <c r="BK145" s="1700">
        <v>471.31</v>
      </c>
      <c r="BL145" s="1700">
        <v>476.44</v>
      </c>
      <c r="BM145" s="1700">
        <v>481.57</v>
      </c>
      <c r="BN145" s="1700"/>
      <c r="BO145" s="1703">
        <v>141</v>
      </c>
      <c r="BP145" s="1693">
        <v>165.59</v>
      </c>
      <c r="BQ145" s="1693">
        <v>169.22</v>
      </c>
      <c r="BR145" s="1693">
        <v>172.84</v>
      </c>
      <c r="BS145" s="1693">
        <v>176.46</v>
      </c>
      <c r="BT145" s="1693">
        <v>180.09</v>
      </c>
      <c r="BU145" s="1694">
        <v>183.71</v>
      </c>
      <c r="BV145" s="1694">
        <v>187.33</v>
      </c>
      <c r="BW145" s="1694">
        <v>190.96</v>
      </c>
      <c r="BX145" s="1695">
        <v>194.58</v>
      </c>
      <c r="BY145" s="1696">
        <v>198.2</v>
      </c>
      <c r="BZ145" s="1696">
        <v>201.83</v>
      </c>
      <c r="CA145" s="1695">
        <v>205.45</v>
      </c>
      <c r="CB145" s="1695">
        <v>209.08</v>
      </c>
      <c r="CC145" s="1704">
        <v>212.7</v>
      </c>
      <c r="CD145" s="1697">
        <v>216.32</v>
      </c>
      <c r="CE145" s="1698">
        <v>219.95</v>
      </c>
      <c r="CF145" s="1699">
        <v>223.57</v>
      </c>
      <c r="CG145" s="1699">
        <v>227.19</v>
      </c>
      <c r="CH145" s="1699">
        <v>230.82</v>
      </c>
      <c r="CI145" s="1699">
        <v>234.44</v>
      </c>
      <c r="CJ145" s="1699">
        <v>238.07</v>
      </c>
      <c r="CK145" s="1700">
        <v>205.85</v>
      </c>
      <c r="CL145" s="1700">
        <v>209.47</v>
      </c>
      <c r="CM145" s="1700">
        <v>213.09</v>
      </c>
      <c r="CN145" s="1700">
        <v>216.72</v>
      </c>
      <c r="CO145" s="1461">
        <v>220.34</v>
      </c>
      <c r="CP145" s="1705">
        <v>223.97</v>
      </c>
      <c r="CQ145" s="1701">
        <v>227.59</v>
      </c>
      <c r="CR145" s="1701">
        <v>231.21</v>
      </c>
      <c r="CS145" s="1707">
        <v>234.84</v>
      </c>
      <c r="CT145" s="1700">
        <v>238.46</v>
      </c>
      <c r="CU145" s="1700">
        <v>242.08</v>
      </c>
      <c r="CV145" s="1700">
        <v>245.71</v>
      </c>
      <c r="CW145" s="1700">
        <v>249.33</v>
      </c>
      <c r="CX145" s="1700">
        <v>252.96</v>
      </c>
      <c r="CY145" s="1700">
        <v>256.58</v>
      </c>
      <c r="CZ145" s="1700">
        <v>260.2</v>
      </c>
      <c r="DA145" s="1700">
        <v>263.83</v>
      </c>
      <c r="DB145" s="1700">
        <v>267.45</v>
      </c>
      <c r="DC145" s="1700">
        <v>271.07</v>
      </c>
      <c r="DD145" s="1700">
        <v>274.7</v>
      </c>
      <c r="DE145" s="1700">
        <v>278.32</v>
      </c>
      <c r="DF145" s="1700">
        <v>281.95</v>
      </c>
      <c r="DG145" s="1700">
        <v>285.57</v>
      </c>
      <c r="DH145" s="1700">
        <v>289.19</v>
      </c>
      <c r="DI145" s="1700">
        <v>292.82</v>
      </c>
      <c r="DJ145" s="1700">
        <v>296.44</v>
      </c>
      <c r="DK145" s="1700">
        <v>300.06</v>
      </c>
      <c r="DL145" s="1700">
        <v>303.69</v>
      </c>
      <c r="DM145" s="1700">
        <v>307.31</v>
      </c>
      <c r="DN145" s="1700">
        <v>310.93</v>
      </c>
      <c r="DO145" s="1700">
        <v>314.56</v>
      </c>
      <c r="DP145" s="1700">
        <v>318.18</v>
      </c>
      <c r="DQ145" s="1700">
        <v>321.81</v>
      </c>
      <c r="DR145" s="1700">
        <v>325.43</v>
      </c>
      <c r="DS145" s="1700"/>
      <c r="DT145" s="1700"/>
      <c r="DU145" s="1700"/>
      <c r="DV145" s="1700"/>
      <c r="DW145" s="1700"/>
      <c r="DX145" s="1700"/>
    </row>
    <row r="146" spans="1:128">
      <c r="A146" s="1622"/>
      <c r="B146" s="1691">
        <f t="shared" si="14"/>
        <v>142</v>
      </c>
      <c r="C146" s="1668" t="str">
        <f t="shared" si="11"/>
        <v>381.45</v>
      </c>
      <c r="D146" s="1672">
        <f t="shared" si="12"/>
        <v>534.03</v>
      </c>
      <c r="E146" s="1670"/>
      <c r="F146" s="1671" t="str">
        <f t="shared" si="13"/>
        <v>239.73</v>
      </c>
      <c r="G146" s="1672">
        <f t="shared" si="10"/>
        <v>335.62</v>
      </c>
      <c r="H146" s="1670"/>
      <c r="I146" s="1670"/>
      <c r="J146" s="1708">
        <v>142</v>
      </c>
      <c r="K146" s="1693">
        <v>278.08</v>
      </c>
      <c r="L146" s="1693">
        <v>283.25</v>
      </c>
      <c r="M146" s="1693">
        <v>288.42</v>
      </c>
      <c r="N146" s="1693">
        <v>293.58</v>
      </c>
      <c r="O146" s="1693">
        <v>298.75</v>
      </c>
      <c r="P146" s="1694">
        <v>303.92</v>
      </c>
      <c r="Q146" s="1694">
        <v>309.08999999999997</v>
      </c>
      <c r="R146" s="1694">
        <v>314.26</v>
      </c>
      <c r="S146" s="1695">
        <v>319.43</v>
      </c>
      <c r="T146" s="1696">
        <v>324.60000000000002</v>
      </c>
      <c r="U146" s="1696">
        <v>329.77</v>
      </c>
      <c r="V146" s="1695">
        <v>334.93</v>
      </c>
      <c r="W146" s="1695">
        <v>340.1</v>
      </c>
      <c r="X146" s="1695">
        <v>345.27</v>
      </c>
      <c r="Y146" s="1697">
        <v>350.44</v>
      </c>
      <c r="Z146" s="1698">
        <v>355.61</v>
      </c>
      <c r="AA146" s="1699">
        <v>360.78</v>
      </c>
      <c r="AB146" s="1699">
        <v>365.95</v>
      </c>
      <c r="AC146" s="1699">
        <v>371.12</v>
      </c>
      <c r="AD146" s="1699">
        <v>376.28</v>
      </c>
      <c r="AE146" s="1699">
        <v>381.45</v>
      </c>
      <c r="AF146" s="1683">
        <v>314.54000000000002</v>
      </c>
      <c r="AG146" s="1683">
        <v>319.70999999999998</v>
      </c>
      <c r="AH146" s="1683">
        <v>324.88</v>
      </c>
      <c r="AI146" s="1683">
        <v>330.05</v>
      </c>
      <c r="AJ146" s="1701">
        <v>335.22</v>
      </c>
      <c r="AK146" s="1701">
        <v>340.39</v>
      </c>
      <c r="AL146" s="1701">
        <v>345.56</v>
      </c>
      <c r="AM146" s="1701">
        <v>350.73</v>
      </c>
      <c r="AN146" s="1701">
        <v>355.89</v>
      </c>
      <c r="AO146" s="1702">
        <v>361.06</v>
      </c>
      <c r="AP146" s="1700">
        <v>366.23</v>
      </c>
      <c r="AQ146" s="1700">
        <v>371.4</v>
      </c>
      <c r="AR146" s="1700">
        <v>376.57</v>
      </c>
      <c r="AS146" s="1700">
        <v>381.74</v>
      </c>
      <c r="AT146" s="1683">
        <v>386.91</v>
      </c>
      <c r="AU146" s="1700">
        <v>392.08</v>
      </c>
      <c r="AV146" s="1700">
        <v>397.24</v>
      </c>
      <c r="AW146" s="1683">
        <v>402.41</v>
      </c>
      <c r="AX146" s="1683">
        <v>407.58</v>
      </c>
      <c r="AY146" s="1683">
        <v>412.75</v>
      </c>
      <c r="AZ146" s="1683">
        <v>417.92</v>
      </c>
      <c r="BA146" s="1683">
        <v>423.09</v>
      </c>
      <c r="BB146" s="1700">
        <v>428.26</v>
      </c>
      <c r="BC146" s="1683">
        <v>433.43</v>
      </c>
      <c r="BD146" s="1700">
        <v>438.6</v>
      </c>
      <c r="BE146" s="1683">
        <v>443.76</v>
      </c>
      <c r="BF146" s="1683">
        <v>448.93</v>
      </c>
      <c r="BG146" s="1683">
        <v>454.1</v>
      </c>
      <c r="BH146" s="1683">
        <v>459.27</v>
      </c>
      <c r="BI146" s="1683">
        <v>464.44</v>
      </c>
      <c r="BJ146" s="1683">
        <v>469.61</v>
      </c>
      <c r="BK146" s="1683">
        <v>474.78</v>
      </c>
      <c r="BL146" s="1683">
        <v>479.95</v>
      </c>
      <c r="BM146" s="1683">
        <v>485.11</v>
      </c>
      <c r="BN146" s="1683"/>
      <c r="BO146" s="1703">
        <v>142</v>
      </c>
      <c r="BP146" s="1693">
        <v>166.74</v>
      </c>
      <c r="BQ146" s="1693">
        <v>170.39</v>
      </c>
      <c r="BR146" s="1693">
        <v>147.04</v>
      </c>
      <c r="BS146" s="1693">
        <v>177.69</v>
      </c>
      <c r="BT146" s="1693">
        <v>181.33</v>
      </c>
      <c r="BU146" s="1694">
        <v>184.98</v>
      </c>
      <c r="BV146" s="1694">
        <v>188.63</v>
      </c>
      <c r="BW146" s="1694">
        <v>192.28</v>
      </c>
      <c r="BX146" s="1695">
        <v>195.93</v>
      </c>
      <c r="BY146" s="1696">
        <v>199.58</v>
      </c>
      <c r="BZ146" s="1696">
        <v>203.23</v>
      </c>
      <c r="CA146" s="1695">
        <v>206.88</v>
      </c>
      <c r="CB146" s="1695">
        <v>210.53</v>
      </c>
      <c r="CC146" s="1704">
        <v>214.18</v>
      </c>
      <c r="CD146" s="1697">
        <v>217.83</v>
      </c>
      <c r="CE146" s="1698">
        <v>221.48</v>
      </c>
      <c r="CF146" s="1699">
        <v>225.13</v>
      </c>
      <c r="CG146" s="1699">
        <v>228.78</v>
      </c>
      <c r="CH146" s="1699">
        <v>232.43</v>
      </c>
      <c r="CI146" s="1699">
        <v>236.08</v>
      </c>
      <c r="CJ146" s="1699">
        <v>239.73</v>
      </c>
      <c r="CK146" s="1700">
        <v>207.29</v>
      </c>
      <c r="CL146" s="1700">
        <v>210.94</v>
      </c>
      <c r="CM146" s="1700">
        <v>214.59</v>
      </c>
      <c r="CN146" s="1700">
        <v>218.24</v>
      </c>
      <c r="CO146" s="1701">
        <v>221.89</v>
      </c>
      <c r="CP146" s="1706">
        <v>225.54</v>
      </c>
      <c r="CQ146" s="1701">
        <v>229.19</v>
      </c>
      <c r="CR146" s="1701">
        <v>232.84</v>
      </c>
      <c r="CS146" s="1707">
        <v>236.48</v>
      </c>
      <c r="CT146" s="1700">
        <v>240.13</v>
      </c>
      <c r="CU146" s="1700">
        <v>243.78</v>
      </c>
      <c r="CV146" s="1700">
        <v>247.43</v>
      </c>
      <c r="CW146" s="1700">
        <v>251.08</v>
      </c>
      <c r="CX146" s="1700">
        <v>254.73</v>
      </c>
      <c r="CY146" s="1700">
        <v>258.38</v>
      </c>
      <c r="CZ146" s="1700">
        <v>262.02999999999997</v>
      </c>
      <c r="DA146" s="1700">
        <v>265.68</v>
      </c>
      <c r="DB146" s="1700">
        <v>269.33</v>
      </c>
      <c r="DC146" s="1700">
        <v>272.98</v>
      </c>
      <c r="DD146" s="1700">
        <v>276.63</v>
      </c>
      <c r="DE146" s="1700">
        <v>280.27999999999997</v>
      </c>
      <c r="DF146" s="1700">
        <v>283.93</v>
      </c>
      <c r="DG146" s="1700">
        <v>287.58</v>
      </c>
      <c r="DH146" s="1700">
        <v>291.23</v>
      </c>
      <c r="DI146" s="1700">
        <v>294.88</v>
      </c>
      <c r="DJ146" s="1700">
        <v>298.52</v>
      </c>
      <c r="DK146" s="1700">
        <v>302.17</v>
      </c>
      <c r="DL146" s="1700">
        <v>305.82</v>
      </c>
      <c r="DM146" s="1700">
        <v>309.47000000000003</v>
      </c>
      <c r="DN146" s="1700">
        <v>313.12</v>
      </c>
      <c r="DO146" s="1700">
        <v>316.77</v>
      </c>
      <c r="DP146" s="1700">
        <v>320.42</v>
      </c>
      <c r="DQ146" s="1700">
        <v>324.07</v>
      </c>
      <c r="DR146" s="1700">
        <v>327.72</v>
      </c>
      <c r="DS146" s="1700"/>
      <c r="DT146" s="1700"/>
      <c r="DU146" s="1700"/>
      <c r="DV146" s="1700"/>
      <c r="DW146" s="1700"/>
      <c r="DX146" s="1700"/>
    </row>
    <row r="147" spans="1:128">
      <c r="A147" s="1622"/>
      <c r="B147" s="1691">
        <f t="shared" si="14"/>
        <v>143</v>
      </c>
      <c r="C147" s="1668" t="str">
        <f t="shared" si="11"/>
        <v>384.03</v>
      </c>
      <c r="D147" s="1672">
        <f t="shared" si="12"/>
        <v>537.64</v>
      </c>
      <c r="E147" s="1670"/>
      <c r="F147" s="1671" t="str">
        <f t="shared" si="13"/>
        <v>241.39</v>
      </c>
      <c r="G147" s="1672">
        <f t="shared" si="10"/>
        <v>337.95</v>
      </c>
      <c r="H147" s="1670"/>
      <c r="I147" s="1670"/>
      <c r="J147" s="1708">
        <v>143</v>
      </c>
      <c r="K147" s="1693">
        <v>279.93</v>
      </c>
      <c r="L147" s="1693">
        <v>285.13</v>
      </c>
      <c r="M147" s="1693">
        <v>290.33999999999997</v>
      </c>
      <c r="N147" s="1693">
        <v>295.54000000000002</v>
      </c>
      <c r="O147" s="1693">
        <v>300.75</v>
      </c>
      <c r="P147" s="1694">
        <v>305.95</v>
      </c>
      <c r="Q147" s="1694">
        <v>311.16000000000003</v>
      </c>
      <c r="R147" s="1694">
        <v>316.36</v>
      </c>
      <c r="S147" s="1695">
        <v>321.57</v>
      </c>
      <c r="T147" s="1696">
        <v>326.77</v>
      </c>
      <c r="U147" s="1696">
        <v>331.98</v>
      </c>
      <c r="V147" s="1695">
        <v>337.18</v>
      </c>
      <c r="W147" s="1695">
        <v>342.39</v>
      </c>
      <c r="X147" s="1695">
        <v>347.59</v>
      </c>
      <c r="Y147" s="1697">
        <v>352.8</v>
      </c>
      <c r="Z147" s="1698">
        <v>358</v>
      </c>
      <c r="AA147" s="1699">
        <v>363.21</v>
      </c>
      <c r="AB147" s="1699">
        <v>368.41</v>
      </c>
      <c r="AC147" s="1699">
        <v>373.62</v>
      </c>
      <c r="AD147" s="1699">
        <v>378.82</v>
      </c>
      <c r="AE147" s="1699">
        <v>384.03</v>
      </c>
      <c r="AF147" s="1700">
        <v>316.69</v>
      </c>
      <c r="AG147" s="1700">
        <v>321.89999999999998</v>
      </c>
      <c r="AH147" s="1700">
        <v>327.11</v>
      </c>
      <c r="AI147" s="1700">
        <v>332.31</v>
      </c>
      <c r="AJ147" s="1701">
        <v>337.52</v>
      </c>
      <c r="AK147" s="1701">
        <v>342.72</v>
      </c>
      <c r="AL147" s="1701">
        <v>347.93</v>
      </c>
      <c r="AM147" s="1701">
        <v>353.13</v>
      </c>
      <c r="AN147" s="1701">
        <v>358.34</v>
      </c>
      <c r="AO147" s="1702">
        <v>363.54</v>
      </c>
      <c r="AP147" s="1700">
        <v>368.75</v>
      </c>
      <c r="AQ147" s="1700">
        <v>373.95</v>
      </c>
      <c r="AR147" s="1683">
        <v>379.16</v>
      </c>
      <c r="AS147" s="1700">
        <v>384.36</v>
      </c>
      <c r="AT147" s="1700">
        <v>389.57</v>
      </c>
      <c r="AU147" s="1700">
        <v>394.77</v>
      </c>
      <c r="AV147" s="1683">
        <v>399.98</v>
      </c>
      <c r="AW147" s="1700">
        <v>405.18</v>
      </c>
      <c r="AX147" s="1700">
        <v>410.39</v>
      </c>
      <c r="AY147" s="1683">
        <v>415.59</v>
      </c>
      <c r="AZ147" s="1700">
        <v>420.8</v>
      </c>
      <c r="BA147" s="1700">
        <v>426</v>
      </c>
      <c r="BB147" s="1700">
        <v>431.21</v>
      </c>
      <c r="BC147" s="1700">
        <v>436.41</v>
      </c>
      <c r="BD147" s="1683">
        <v>441.62</v>
      </c>
      <c r="BE147" s="1700">
        <v>446.82</v>
      </c>
      <c r="BF147" s="1700">
        <v>452.03</v>
      </c>
      <c r="BG147" s="1700">
        <v>457.24</v>
      </c>
      <c r="BH147" s="1700">
        <v>462.44</v>
      </c>
      <c r="BI147" s="1700">
        <v>467.65</v>
      </c>
      <c r="BJ147" s="1700">
        <v>472.85</v>
      </c>
      <c r="BK147" s="1700">
        <v>478.06</v>
      </c>
      <c r="BL147" s="1700">
        <v>483.26</v>
      </c>
      <c r="BM147" s="1700">
        <v>488.47</v>
      </c>
      <c r="BN147" s="1700"/>
      <c r="BO147" s="1703">
        <v>143</v>
      </c>
      <c r="BP147" s="1693">
        <v>167.88</v>
      </c>
      <c r="BQ147" s="1693">
        <v>171.56</v>
      </c>
      <c r="BR147" s="1693">
        <v>175.23</v>
      </c>
      <c r="BS147" s="1693">
        <v>178.91</v>
      </c>
      <c r="BT147" s="1693">
        <v>182.58</v>
      </c>
      <c r="BU147" s="1694">
        <v>186.26</v>
      </c>
      <c r="BV147" s="1694">
        <v>189.93</v>
      </c>
      <c r="BW147" s="1694">
        <v>193.61</v>
      </c>
      <c r="BX147" s="1695">
        <v>197.28</v>
      </c>
      <c r="BY147" s="1696">
        <v>200.96</v>
      </c>
      <c r="BZ147" s="1696">
        <v>204.64</v>
      </c>
      <c r="CA147" s="1695">
        <v>208.31</v>
      </c>
      <c r="CB147" s="1695">
        <v>211.99</v>
      </c>
      <c r="CC147" s="1704">
        <v>215.66</v>
      </c>
      <c r="CD147" s="1697">
        <v>219.34</v>
      </c>
      <c r="CE147" s="1698">
        <v>223.01</v>
      </c>
      <c r="CF147" s="1699">
        <v>226.69</v>
      </c>
      <c r="CG147" s="1699">
        <v>230.36</v>
      </c>
      <c r="CH147" s="1699">
        <v>234.04</v>
      </c>
      <c r="CI147" s="1699">
        <v>237.71</v>
      </c>
      <c r="CJ147" s="1699">
        <v>241.39</v>
      </c>
      <c r="CK147" s="1700">
        <v>208.73</v>
      </c>
      <c r="CL147" s="1700">
        <v>212.41</v>
      </c>
      <c r="CM147" s="1700">
        <v>216.08</v>
      </c>
      <c r="CN147" s="1700">
        <v>219.76</v>
      </c>
      <c r="CO147" s="1705">
        <v>223.43</v>
      </c>
      <c r="CP147" s="1706">
        <v>227.11</v>
      </c>
      <c r="CQ147" s="1701">
        <v>230.78</v>
      </c>
      <c r="CR147" s="1701">
        <v>234.46</v>
      </c>
      <c r="CS147" s="1707">
        <v>238.13</v>
      </c>
      <c r="CT147" s="1700">
        <v>241.81</v>
      </c>
      <c r="CU147" s="1700">
        <v>245.48</v>
      </c>
      <c r="CV147" s="1700">
        <v>249.16</v>
      </c>
      <c r="CW147" s="1700">
        <v>252.83</v>
      </c>
      <c r="CX147" s="1700">
        <v>256.51</v>
      </c>
      <c r="CY147" s="1700">
        <v>260.18</v>
      </c>
      <c r="CZ147" s="1700">
        <v>263.86</v>
      </c>
      <c r="DA147" s="1700">
        <v>267.52999999999997</v>
      </c>
      <c r="DB147" s="1700">
        <v>271.20999999999998</v>
      </c>
      <c r="DC147" s="1700">
        <v>274.88</v>
      </c>
      <c r="DD147" s="1700">
        <v>278.56</v>
      </c>
      <c r="DE147" s="1700">
        <v>282.23</v>
      </c>
      <c r="DF147" s="1700">
        <v>285.91000000000003</v>
      </c>
      <c r="DG147" s="1700">
        <v>289.58</v>
      </c>
      <c r="DH147" s="1700">
        <v>293.26</v>
      </c>
      <c r="DI147" s="1700">
        <v>296.93</v>
      </c>
      <c r="DJ147" s="1700">
        <v>300.61</v>
      </c>
      <c r="DK147" s="1700">
        <v>304.27999999999997</v>
      </c>
      <c r="DL147" s="1700">
        <v>307.95999999999998</v>
      </c>
      <c r="DM147" s="1700">
        <v>311.63</v>
      </c>
      <c r="DN147" s="1700">
        <v>315.31</v>
      </c>
      <c r="DO147" s="1700">
        <v>318.99</v>
      </c>
      <c r="DP147" s="1700">
        <v>322.66000000000003</v>
      </c>
      <c r="DQ147" s="1700">
        <v>326.33999999999997</v>
      </c>
      <c r="DR147" s="1700">
        <v>330.01</v>
      </c>
      <c r="DS147" s="1700"/>
      <c r="DT147" s="1700"/>
      <c r="DU147" s="1700"/>
      <c r="DV147" s="1700"/>
      <c r="DW147" s="1700"/>
      <c r="DX147" s="1700"/>
    </row>
    <row r="148" spans="1:128">
      <c r="A148" s="1622"/>
      <c r="B148" s="1691">
        <f t="shared" si="14"/>
        <v>144</v>
      </c>
      <c r="C148" s="1668" t="str">
        <f t="shared" si="11"/>
        <v>386.61</v>
      </c>
      <c r="D148" s="1672">
        <f t="shared" si="12"/>
        <v>541.25</v>
      </c>
      <c r="E148" s="1670"/>
      <c r="F148" s="1671" t="str">
        <f t="shared" si="13"/>
        <v>243.14</v>
      </c>
      <c r="G148" s="1672">
        <f t="shared" si="10"/>
        <v>340.4</v>
      </c>
      <c r="H148" s="1670"/>
      <c r="I148" s="1670"/>
      <c r="J148" s="1708">
        <v>144</v>
      </c>
      <c r="K148" s="1693">
        <v>281.77999999999997</v>
      </c>
      <c r="L148" s="1693">
        <v>287.02</v>
      </c>
      <c r="M148" s="1693">
        <v>292.26</v>
      </c>
      <c r="N148" s="1693">
        <v>297.5</v>
      </c>
      <c r="O148" s="1693">
        <v>302.74</v>
      </c>
      <c r="P148" s="1694">
        <v>307.99</v>
      </c>
      <c r="Q148" s="1694">
        <v>313.23</v>
      </c>
      <c r="R148" s="1694">
        <v>318.47000000000003</v>
      </c>
      <c r="S148" s="1695">
        <v>323.70999999999998</v>
      </c>
      <c r="T148" s="1696">
        <v>328.95</v>
      </c>
      <c r="U148" s="1696">
        <v>334.19</v>
      </c>
      <c r="V148" s="1695">
        <v>339.43</v>
      </c>
      <c r="W148" s="1695">
        <v>344.68</v>
      </c>
      <c r="X148" s="1695">
        <v>349.92</v>
      </c>
      <c r="Y148" s="1697">
        <v>355.16</v>
      </c>
      <c r="Z148" s="1698">
        <v>360.4</v>
      </c>
      <c r="AA148" s="1699">
        <v>365.64</v>
      </c>
      <c r="AB148" s="1699">
        <v>370.88</v>
      </c>
      <c r="AC148" s="1699">
        <v>376.13</v>
      </c>
      <c r="AD148" s="1699">
        <v>381.37</v>
      </c>
      <c r="AE148" s="1699">
        <v>386.61</v>
      </c>
      <c r="AF148" s="1700">
        <v>318.85000000000002</v>
      </c>
      <c r="AG148" s="1700">
        <v>324.08999999999997</v>
      </c>
      <c r="AH148" s="1700">
        <v>329.33</v>
      </c>
      <c r="AI148" s="1700">
        <v>334.57</v>
      </c>
      <c r="AJ148" s="1701">
        <v>339.81</v>
      </c>
      <c r="AK148" s="1701">
        <v>345.06</v>
      </c>
      <c r="AL148" s="1701">
        <v>350.3</v>
      </c>
      <c r="AM148" s="1701">
        <v>355.54</v>
      </c>
      <c r="AN148" s="1701">
        <v>360.78</v>
      </c>
      <c r="AO148" s="1702">
        <v>366.02</v>
      </c>
      <c r="AP148" s="1700">
        <v>371.26</v>
      </c>
      <c r="AQ148" s="1700">
        <v>376.51</v>
      </c>
      <c r="AR148" s="1700">
        <v>381.75</v>
      </c>
      <c r="AS148" s="1700">
        <v>386.99</v>
      </c>
      <c r="AT148" s="1700">
        <v>392.23</v>
      </c>
      <c r="AU148" s="1700">
        <v>397.47</v>
      </c>
      <c r="AV148" s="1700">
        <v>402.71</v>
      </c>
      <c r="AW148" s="1700">
        <v>407.95</v>
      </c>
      <c r="AX148" s="1700">
        <v>413.2</v>
      </c>
      <c r="AY148" s="1683">
        <v>418.44</v>
      </c>
      <c r="AZ148" s="1700">
        <v>423.68</v>
      </c>
      <c r="BA148" s="1700">
        <v>428.92</v>
      </c>
      <c r="BB148" s="1683">
        <v>434.16</v>
      </c>
      <c r="BC148" s="1700">
        <v>439.4</v>
      </c>
      <c r="BD148" s="1700">
        <v>444.65</v>
      </c>
      <c r="BE148" s="1700">
        <v>449.89</v>
      </c>
      <c r="BF148" s="1700">
        <v>455.13</v>
      </c>
      <c r="BG148" s="1700">
        <v>460.37</v>
      </c>
      <c r="BH148" s="1700">
        <v>465.61</v>
      </c>
      <c r="BI148" s="1700">
        <v>470.85</v>
      </c>
      <c r="BJ148" s="1700">
        <v>476.1</v>
      </c>
      <c r="BK148" s="1700">
        <v>481.34</v>
      </c>
      <c r="BL148" s="1700">
        <v>486.58</v>
      </c>
      <c r="BM148" s="1700">
        <v>491.82</v>
      </c>
      <c r="BN148" s="1700"/>
      <c r="BO148" s="1703">
        <v>144</v>
      </c>
      <c r="BP148" s="1693">
        <v>169.12</v>
      </c>
      <c r="BQ148" s="1693">
        <v>172.83</v>
      </c>
      <c r="BR148" s="1693">
        <v>176.53</v>
      </c>
      <c r="BS148" s="1693">
        <v>180.23</v>
      </c>
      <c r="BT148" s="1693">
        <v>183.93</v>
      </c>
      <c r="BU148" s="1694">
        <v>187.63</v>
      </c>
      <c r="BV148" s="1694">
        <v>191.33</v>
      </c>
      <c r="BW148" s="1694">
        <v>195.03</v>
      </c>
      <c r="BX148" s="1695">
        <v>198.73</v>
      </c>
      <c r="BY148" s="1696">
        <v>202.43</v>
      </c>
      <c r="BZ148" s="1696">
        <v>206.13</v>
      </c>
      <c r="CA148" s="1695">
        <v>209.83</v>
      </c>
      <c r="CB148" s="1695">
        <v>213.53</v>
      </c>
      <c r="CC148" s="1704">
        <v>217.23</v>
      </c>
      <c r="CD148" s="1697">
        <v>220.94</v>
      </c>
      <c r="CE148" s="1698">
        <v>224.64</v>
      </c>
      <c r="CF148" s="1699">
        <v>228.34</v>
      </c>
      <c r="CG148" s="1699">
        <v>232.04</v>
      </c>
      <c r="CH148" s="1699">
        <v>235.74</v>
      </c>
      <c r="CI148" s="1699">
        <v>239.44</v>
      </c>
      <c r="CJ148" s="1699">
        <v>243.14</v>
      </c>
      <c r="CK148" s="1700">
        <v>210.23</v>
      </c>
      <c r="CL148" s="1700">
        <v>213.93</v>
      </c>
      <c r="CM148" s="1700">
        <v>217.63</v>
      </c>
      <c r="CN148" s="1700">
        <v>221.34</v>
      </c>
      <c r="CO148" s="1705">
        <v>225.04</v>
      </c>
      <c r="CP148" s="1706">
        <v>228.74</v>
      </c>
      <c r="CQ148" s="1701">
        <v>232.44</v>
      </c>
      <c r="CR148" s="1701">
        <v>236.14</v>
      </c>
      <c r="CS148" s="1707">
        <v>239.84</v>
      </c>
      <c r="CT148" s="1700">
        <v>243.54</v>
      </c>
      <c r="CU148" s="1700">
        <v>247.24</v>
      </c>
      <c r="CV148" s="1700">
        <v>250.94</v>
      </c>
      <c r="CW148" s="1700">
        <v>254.64</v>
      </c>
      <c r="CX148" s="1700">
        <v>258.33999999999997</v>
      </c>
      <c r="CY148" s="1700">
        <v>262.04000000000002</v>
      </c>
      <c r="CZ148" s="1700">
        <v>265.75</v>
      </c>
      <c r="DA148" s="1700">
        <v>269.45</v>
      </c>
      <c r="DB148" s="1700">
        <v>273.14999999999998</v>
      </c>
      <c r="DC148" s="1700">
        <v>276.85000000000002</v>
      </c>
      <c r="DD148" s="1700">
        <v>280.55</v>
      </c>
      <c r="DE148" s="1700">
        <v>284.25</v>
      </c>
      <c r="DF148" s="1700">
        <v>287.95</v>
      </c>
      <c r="DG148" s="1700">
        <v>291.64999999999998</v>
      </c>
      <c r="DH148" s="1700">
        <v>295.35000000000002</v>
      </c>
      <c r="DI148" s="1700">
        <v>299.05</v>
      </c>
      <c r="DJ148" s="1700">
        <v>302.75</v>
      </c>
      <c r="DK148" s="1700">
        <v>306.45</v>
      </c>
      <c r="DL148" s="1700">
        <v>310.14999999999998</v>
      </c>
      <c r="DM148" s="1700">
        <v>313.86</v>
      </c>
      <c r="DN148" s="1700">
        <v>317.56</v>
      </c>
      <c r="DO148" s="1700">
        <v>321.26</v>
      </c>
      <c r="DP148" s="1700">
        <v>324.95999999999998</v>
      </c>
      <c r="DQ148" s="1700">
        <v>328.66</v>
      </c>
      <c r="DR148" s="1700">
        <v>332.36</v>
      </c>
      <c r="DS148" s="1700"/>
      <c r="DT148" s="1700"/>
      <c r="DU148" s="1700"/>
      <c r="DV148" s="1700"/>
      <c r="DW148" s="1700"/>
      <c r="DX148" s="1700"/>
    </row>
    <row r="149" spans="1:128">
      <c r="A149" s="1622"/>
      <c r="B149" s="1691">
        <f t="shared" si="14"/>
        <v>145</v>
      </c>
      <c r="C149" s="1668" t="str">
        <f t="shared" si="11"/>
        <v>389.54</v>
      </c>
      <c r="D149" s="1672">
        <f t="shared" si="12"/>
        <v>545.36</v>
      </c>
      <c r="E149" s="1670"/>
      <c r="F149" s="1671" t="str">
        <f t="shared" si="13"/>
        <v>244.8</v>
      </c>
      <c r="G149" s="1672">
        <f t="shared" si="10"/>
        <v>342.72</v>
      </c>
      <c r="H149" s="1670"/>
      <c r="I149" s="1670"/>
      <c r="J149" s="1708">
        <v>145</v>
      </c>
      <c r="K149" s="1693">
        <v>283.98</v>
      </c>
      <c r="L149" s="1693">
        <v>289.26</v>
      </c>
      <c r="M149" s="1693">
        <v>294.54000000000002</v>
      </c>
      <c r="N149" s="1693">
        <v>299.82</v>
      </c>
      <c r="O149" s="1693">
        <v>305.10000000000002</v>
      </c>
      <c r="P149" s="1694">
        <v>310.37</v>
      </c>
      <c r="Q149" s="1694">
        <v>315.64999999999998</v>
      </c>
      <c r="R149" s="1694">
        <v>320.93</v>
      </c>
      <c r="S149" s="1695">
        <v>326.20999999999998</v>
      </c>
      <c r="T149" s="1696">
        <v>331.49</v>
      </c>
      <c r="U149" s="1696">
        <v>336.76</v>
      </c>
      <c r="V149" s="1695">
        <v>342.04</v>
      </c>
      <c r="W149" s="1695">
        <v>347.32</v>
      </c>
      <c r="X149" s="1695">
        <v>352.6</v>
      </c>
      <c r="Y149" s="1697">
        <v>357.88</v>
      </c>
      <c r="Z149" s="1698">
        <v>363.15</v>
      </c>
      <c r="AA149" s="1699">
        <v>368.43</v>
      </c>
      <c r="AB149" s="1699">
        <v>373.71</v>
      </c>
      <c r="AC149" s="1699">
        <v>378.99</v>
      </c>
      <c r="AD149" s="1699">
        <v>384.27</v>
      </c>
      <c r="AE149" s="1699">
        <v>389.54</v>
      </c>
      <c r="AF149" s="1683">
        <v>321.20999999999998</v>
      </c>
      <c r="AG149" s="1683">
        <v>326.49</v>
      </c>
      <c r="AH149" s="1683">
        <v>331.76</v>
      </c>
      <c r="AI149" s="1683">
        <v>337.04</v>
      </c>
      <c r="AJ149" s="1701">
        <v>342.32</v>
      </c>
      <c r="AK149" s="1701">
        <v>347.6</v>
      </c>
      <c r="AL149" s="1701">
        <v>352.88</v>
      </c>
      <c r="AM149" s="1701">
        <v>358.15</v>
      </c>
      <c r="AN149" s="1701">
        <v>363.43</v>
      </c>
      <c r="AO149" s="1702">
        <v>368.71</v>
      </c>
      <c r="AP149" s="1700">
        <v>373.99</v>
      </c>
      <c r="AQ149" s="1700">
        <v>379.27</v>
      </c>
      <c r="AR149" s="1683">
        <v>384.54</v>
      </c>
      <c r="AS149" s="1700">
        <v>389.82</v>
      </c>
      <c r="AT149" s="1683">
        <v>395.1</v>
      </c>
      <c r="AU149" s="1700">
        <v>400.38</v>
      </c>
      <c r="AV149" s="1700">
        <v>405.66</v>
      </c>
      <c r="AW149" s="1683">
        <v>410.93</v>
      </c>
      <c r="AX149" s="1683">
        <v>416.21</v>
      </c>
      <c r="AY149" s="1683">
        <v>421.49</v>
      </c>
      <c r="AZ149" s="1683">
        <v>426.77</v>
      </c>
      <c r="BA149" s="1683">
        <v>432.05</v>
      </c>
      <c r="BB149" s="1700">
        <v>437.32</v>
      </c>
      <c r="BC149" s="1683">
        <v>442.6</v>
      </c>
      <c r="BD149" s="1700">
        <v>447.88</v>
      </c>
      <c r="BE149" s="1683">
        <v>453.16</v>
      </c>
      <c r="BF149" s="1683">
        <v>458.44</v>
      </c>
      <c r="BG149" s="1683">
        <v>463.71</v>
      </c>
      <c r="BH149" s="1683">
        <v>468.99</v>
      </c>
      <c r="BI149" s="1683">
        <v>474.27</v>
      </c>
      <c r="BJ149" s="1683">
        <v>479.55</v>
      </c>
      <c r="BK149" s="1683">
        <v>484.83</v>
      </c>
      <c r="BL149" s="1683">
        <v>490.1</v>
      </c>
      <c r="BM149" s="1683">
        <v>495.38</v>
      </c>
      <c r="BN149" s="1683"/>
      <c r="BO149" s="1703">
        <v>145</v>
      </c>
      <c r="BP149" s="1693">
        <v>170.27</v>
      </c>
      <c r="BQ149" s="1693">
        <v>174</v>
      </c>
      <c r="BR149" s="1693">
        <v>177.73</v>
      </c>
      <c r="BS149" s="1693">
        <v>181.45</v>
      </c>
      <c r="BT149" s="1693">
        <v>185.18</v>
      </c>
      <c r="BU149" s="1694">
        <v>188.91</v>
      </c>
      <c r="BV149" s="1694">
        <v>192.63</v>
      </c>
      <c r="BW149" s="1694">
        <v>196.36</v>
      </c>
      <c r="BX149" s="1695">
        <v>200.09</v>
      </c>
      <c r="BY149" s="1696">
        <v>203.81</v>
      </c>
      <c r="BZ149" s="1696">
        <v>207.54</v>
      </c>
      <c r="CA149" s="1695">
        <v>211.27</v>
      </c>
      <c r="CB149" s="1695">
        <v>214.99</v>
      </c>
      <c r="CC149" s="1704">
        <v>218.72</v>
      </c>
      <c r="CD149" s="1697">
        <v>222.45</v>
      </c>
      <c r="CE149" s="1698">
        <v>226.17</v>
      </c>
      <c r="CF149" s="1699">
        <v>229.9</v>
      </c>
      <c r="CG149" s="1699">
        <v>233.62</v>
      </c>
      <c r="CH149" s="1699">
        <v>237.35</v>
      </c>
      <c r="CI149" s="1699">
        <v>241.08</v>
      </c>
      <c r="CJ149" s="1699">
        <v>244.8</v>
      </c>
      <c r="CK149" s="1700">
        <v>211.68</v>
      </c>
      <c r="CL149" s="1700">
        <v>215.4</v>
      </c>
      <c r="CM149" s="1700">
        <v>219.13</v>
      </c>
      <c r="CN149" s="1700">
        <v>222.86</v>
      </c>
      <c r="CO149" s="1705">
        <v>226.58</v>
      </c>
      <c r="CP149" s="1706">
        <v>230.31</v>
      </c>
      <c r="CQ149" s="1701">
        <v>234.04</v>
      </c>
      <c r="CR149" s="1701">
        <v>237.76</v>
      </c>
      <c r="CS149" s="1707">
        <v>241.49</v>
      </c>
      <c r="CT149" s="1700">
        <v>245.22</v>
      </c>
      <c r="CU149" s="1700">
        <v>248.94</v>
      </c>
      <c r="CV149" s="1700">
        <v>252.67</v>
      </c>
      <c r="CW149" s="1700">
        <v>256.39999999999998</v>
      </c>
      <c r="CX149" s="1700">
        <v>260.12</v>
      </c>
      <c r="CY149" s="1700">
        <v>263.85000000000002</v>
      </c>
      <c r="CZ149" s="1700">
        <v>267.58</v>
      </c>
      <c r="DA149" s="1700">
        <v>271.3</v>
      </c>
      <c r="DB149" s="1700">
        <v>275.02999999999997</v>
      </c>
      <c r="DC149" s="1700">
        <v>278.75</v>
      </c>
      <c r="DD149" s="1700">
        <v>282.48</v>
      </c>
      <c r="DE149" s="1700">
        <v>286.20999999999998</v>
      </c>
      <c r="DF149" s="1700">
        <v>289.93</v>
      </c>
      <c r="DG149" s="1700">
        <v>293.66000000000003</v>
      </c>
      <c r="DH149" s="1700">
        <v>297.39</v>
      </c>
      <c r="DI149" s="1700">
        <v>301.11</v>
      </c>
      <c r="DJ149" s="1700">
        <v>304.83999999999997</v>
      </c>
      <c r="DK149" s="1700">
        <v>308.57</v>
      </c>
      <c r="DL149" s="1700">
        <v>312.29000000000002</v>
      </c>
      <c r="DM149" s="1700">
        <v>316.02</v>
      </c>
      <c r="DN149" s="1700">
        <v>319.75</v>
      </c>
      <c r="DO149" s="1700">
        <v>323.47000000000003</v>
      </c>
      <c r="DP149" s="1700">
        <v>327.2</v>
      </c>
      <c r="DQ149" s="1700">
        <v>330.93</v>
      </c>
      <c r="DR149" s="1700">
        <v>334.65</v>
      </c>
      <c r="DS149" s="1700"/>
      <c r="DT149" s="1700"/>
      <c r="DU149" s="1700"/>
      <c r="DV149" s="1700"/>
      <c r="DW149" s="1700"/>
      <c r="DX149" s="1700"/>
    </row>
    <row r="150" spans="1:128">
      <c r="A150" s="1622"/>
      <c r="B150" s="1691">
        <f t="shared" si="14"/>
        <v>146</v>
      </c>
      <c r="C150" s="1668" t="str">
        <f t="shared" si="11"/>
        <v>392.14</v>
      </c>
      <c r="D150" s="1672">
        <f t="shared" si="12"/>
        <v>549</v>
      </c>
      <c r="E150" s="1670"/>
      <c r="F150" s="1671" t="str">
        <f t="shared" si="13"/>
        <v>246.47</v>
      </c>
      <c r="G150" s="1672">
        <f t="shared" si="10"/>
        <v>345.06</v>
      </c>
      <c r="H150" s="1670"/>
      <c r="I150" s="1670"/>
      <c r="J150" s="1708">
        <v>146</v>
      </c>
      <c r="K150" s="1693">
        <v>285.85000000000002</v>
      </c>
      <c r="L150" s="1693">
        <v>291.16000000000003</v>
      </c>
      <c r="M150" s="1693">
        <v>296.48</v>
      </c>
      <c r="N150" s="1693">
        <v>301.79000000000002</v>
      </c>
      <c r="O150" s="1693">
        <v>307.10000000000002</v>
      </c>
      <c r="P150" s="1694">
        <v>312.42</v>
      </c>
      <c r="Q150" s="1694">
        <v>317.73</v>
      </c>
      <c r="R150" s="1694">
        <v>323.05</v>
      </c>
      <c r="S150" s="1695">
        <v>328.36</v>
      </c>
      <c r="T150" s="1696">
        <v>333.68</v>
      </c>
      <c r="U150" s="1696">
        <v>338.99</v>
      </c>
      <c r="V150" s="1695">
        <v>344.31</v>
      </c>
      <c r="W150" s="1695">
        <v>349.62</v>
      </c>
      <c r="X150" s="1695">
        <v>354.93</v>
      </c>
      <c r="Y150" s="1697">
        <v>360.25</v>
      </c>
      <c r="Z150" s="1698">
        <v>365.56</v>
      </c>
      <c r="AA150" s="1699">
        <v>370.88</v>
      </c>
      <c r="AB150" s="1699">
        <v>376.19</v>
      </c>
      <c r="AC150" s="1699">
        <v>381.51</v>
      </c>
      <c r="AD150" s="1699">
        <v>386.82</v>
      </c>
      <c r="AE150" s="1699">
        <v>392.14</v>
      </c>
      <c r="AF150" s="1700">
        <v>323.37</v>
      </c>
      <c r="AG150" s="1700">
        <v>328.68</v>
      </c>
      <c r="AH150" s="1700">
        <v>334</v>
      </c>
      <c r="AI150" s="1700">
        <v>339.31</v>
      </c>
      <c r="AJ150" s="1701">
        <v>344.62</v>
      </c>
      <c r="AK150" s="1701">
        <v>349.94</v>
      </c>
      <c r="AL150" s="1701">
        <v>355.25</v>
      </c>
      <c r="AM150" s="1701">
        <v>360.57</v>
      </c>
      <c r="AN150" s="1701">
        <v>365.88</v>
      </c>
      <c r="AO150" s="1702">
        <v>371.2</v>
      </c>
      <c r="AP150" s="1700">
        <v>376.51</v>
      </c>
      <c r="AQ150" s="1700">
        <v>381.83</v>
      </c>
      <c r="AR150" s="1700">
        <v>387.14</v>
      </c>
      <c r="AS150" s="1700">
        <v>392.45</v>
      </c>
      <c r="AT150" s="1700">
        <v>397.77</v>
      </c>
      <c r="AU150" s="1700">
        <v>403.08</v>
      </c>
      <c r="AV150" s="1683">
        <v>408.4</v>
      </c>
      <c r="AW150" s="1700">
        <v>413.71</v>
      </c>
      <c r="AX150" s="1700">
        <v>419.03</v>
      </c>
      <c r="AY150" s="1700">
        <v>424.34</v>
      </c>
      <c r="AZ150" s="1700">
        <v>429.66</v>
      </c>
      <c r="BA150" s="1700">
        <v>434.97</v>
      </c>
      <c r="BB150" s="1700">
        <v>440.28</v>
      </c>
      <c r="BC150" s="1700">
        <v>445.6</v>
      </c>
      <c r="BD150" s="1683">
        <v>450.91</v>
      </c>
      <c r="BE150" s="1700">
        <v>456.23</v>
      </c>
      <c r="BF150" s="1700">
        <v>461.54</v>
      </c>
      <c r="BG150" s="1700">
        <v>466.86</v>
      </c>
      <c r="BH150" s="1700">
        <v>472.17</v>
      </c>
      <c r="BI150" s="1700">
        <v>477.48</v>
      </c>
      <c r="BJ150" s="1700">
        <v>482.8</v>
      </c>
      <c r="BK150" s="1700">
        <v>488.11</v>
      </c>
      <c r="BL150" s="1700">
        <v>493.43</v>
      </c>
      <c r="BM150" s="1700">
        <v>498.74</v>
      </c>
      <c r="BN150" s="1700"/>
      <c r="BO150" s="1703">
        <v>146</v>
      </c>
      <c r="BP150" s="1693">
        <v>171.43</v>
      </c>
      <c r="BQ150" s="1693">
        <v>175.18</v>
      </c>
      <c r="BR150" s="1693">
        <v>178.93</v>
      </c>
      <c r="BS150" s="1693">
        <v>182.68</v>
      </c>
      <c r="BT150" s="1693">
        <v>186.43</v>
      </c>
      <c r="BU150" s="1694">
        <v>190.19</v>
      </c>
      <c r="BV150" s="1694">
        <v>193.94</v>
      </c>
      <c r="BW150" s="1694">
        <v>197.69</v>
      </c>
      <c r="BX150" s="1695">
        <v>201.44</v>
      </c>
      <c r="BY150" s="1696">
        <v>205.19</v>
      </c>
      <c r="BZ150" s="1696">
        <v>208.95</v>
      </c>
      <c r="CA150" s="1695">
        <v>212.7</v>
      </c>
      <c r="CB150" s="1695">
        <v>216.45</v>
      </c>
      <c r="CC150" s="1704">
        <v>220.2</v>
      </c>
      <c r="CD150" s="1697">
        <v>223.96</v>
      </c>
      <c r="CE150" s="1698">
        <v>227.71</v>
      </c>
      <c r="CF150" s="1699">
        <v>231.46</v>
      </c>
      <c r="CG150" s="1699">
        <v>235.21</v>
      </c>
      <c r="CH150" s="1699">
        <v>238.96</v>
      </c>
      <c r="CI150" s="1699">
        <v>242.72</v>
      </c>
      <c r="CJ150" s="1699">
        <v>246.47</v>
      </c>
      <c r="CK150" s="1700">
        <v>213.12</v>
      </c>
      <c r="CL150" s="1700">
        <v>216.88</v>
      </c>
      <c r="CM150" s="1700">
        <v>220.63</v>
      </c>
      <c r="CN150" s="1700">
        <v>224.38</v>
      </c>
      <c r="CO150" s="1705">
        <v>228.13</v>
      </c>
      <c r="CP150" s="1706">
        <v>231.88</v>
      </c>
      <c r="CQ150" s="1701">
        <v>235.64</v>
      </c>
      <c r="CR150" s="1701">
        <v>239.39</v>
      </c>
      <c r="CS150" s="1707">
        <v>243.14</v>
      </c>
      <c r="CT150" s="1700">
        <v>246.89</v>
      </c>
      <c r="CU150" s="1700">
        <v>250.64</v>
      </c>
      <c r="CV150" s="1700">
        <v>254.4</v>
      </c>
      <c r="CW150" s="1700">
        <v>258.14999999999998</v>
      </c>
      <c r="CX150" s="1700">
        <v>261.89999999999998</v>
      </c>
      <c r="CY150" s="1700">
        <v>265.64999999999998</v>
      </c>
      <c r="CZ150" s="1700">
        <v>269.41000000000003</v>
      </c>
      <c r="DA150" s="1700">
        <v>273.16000000000003</v>
      </c>
      <c r="DB150" s="1700">
        <v>276.91000000000003</v>
      </c>
      <c r="DC150" s="1700">
        <v>280.66000000000003</v>
      </c>
      <c r="DD150" s="1700">
        <v>284.41000000000003</v>
      </c>
      <c r="DE150" s="1700">
        <v>288.17</v>
      </c>
      <c r="DF150" s="1700">
        <v>291.92</v>
      </c>
      <c r="DG150" s="1700">
        <v>295.67</v>
      </c>
      <c r="DH150" s="1700">
        <v>299.42</v>
      </c>
      <c r="DI150" s="1700">
        <v>303.18</v>
      </c>
      <c r="DJ150" s="1700">
        <v>306.93</v>
      </c>
      <c r="DK150" s="1700">
        <v>310.68</v>
      </c>
      <c r="DL150" s="1700">
        <v>314.43</v>
      </c>
      <c r="DM150" s="1700">
        <v>318.18</v>
      </c>
      <c r="DN150" s="1700">
        <v>321.94</v>
      </c>
      <c r="DO150" s="1700">
        <v>325.69</v>
      </c>
      <c r="DP150" s="1700">
        <v>329.44</v>
      </c>
      <c r="DQ150" s="1700">
        <v>333.19</v>
      </c>
      <c r="DR150" s="1700">
        <v>336.95</v>
      </c>
      <c r="DS150" s="1700"/>
      <c r="DT150" s="1700"/>
      <c r="DU150" s="1700"/>
      <c r="DV150" s="1700"/>
      <c r="DW150" s="1700"/>
      <c r="DX150" s="1700"/>
    </row>
    <row r="151" spans="1:128">
      <c r="A151" s="1622"/>
      <c r="B151" s="1691">
        <f t="shared" si="14"/>
        <v>147</v>
      </c>
      <c r="C151" s="1668" t="str">
        <f t="shared" si="11"/>
        <v>394.73</v>
      </c>
      <c r="D151" s="1672">
        <f t="shared" si="12"/>
        <v>552.62</v>
      </c>
      <c r="E151" s="1670"/>
      <c r="F151" s="1671" t="str">
        <f t="shared" si="13"/>
        <v>248.13</v>
      </c>
      <c r="G151" s="1672">
        <f t="shared" si="10"/>
        <v>347.38</v>
      </c>
      <c r="H151" s="1670"/>
      <c r="I151" s="1670"/>
      <c r="J151" s="1708">
        <v>147</v>
      </c>
      <c r="K151" s="1693">
        <v>287.70999999999998</v>
      </c>
      <c r="L151" s="1693">
        <v>293.06</v>
      </c>
      <c r="M151" s="1693">
        <v>298.42</v>
      </c>
      <c r="N151" s="1693">
        <v>303.77</v>
      </c>
      <c r="O151" s="1693">
        <v>309.12</v>
      </c>
      <c r="P151" s="1694">
        <v>314.47000000000003</v>
      </c>
      <c r="Q151" s="1694">
        <v>319.82</v>
      </c>
      <c r="R151" s="1694">
        <v>325.17</v>
      </c>
      <c r="S151" s="1695">
        <v>330.52</v>
      </c>
      <c r="T151" s="1696">
        <v>335.87</v>
      </c>
      <c r="U151" s="1696">
        <v>341.22</v>
      </c>
      <c r="V151" s="1695">
        <v>346.57</v>
      </c>
      <c r="W151" s="1695">
        <v>351.92</v>
      </c>
      <c r="X151" s="1695">
        <v>357.27</v>
      </c>
      <c r="Y151" s="1697">
        <v>362.63</v>
      </c>
      <c r="Z151" s="1698">
        <v>367.98</v>
      </c>
      <c r="AA151" s="1699">
        <v>373.33</v>
      </c>
      <c r="AB151" s="1699">
        <v>378.68</v>
      </c>
      <c r="AC151" s="1699">
        <v>384.03</v>
      </c>
      <c r="AD151" s="1699">
        <v>389.38</v>
      </c>
      <c r="AE151" s="1699">
        <v>394.73</v>
      </c>
      <c r="AF151" s="1700">
        <v>325.52999999999997</v>
      </c>
      <c r="AG151" s="1700">
        <v>330.88</v>
      </c>
      <c r="AH151" s="1700">
        <v>336.23</v>
      </c>
      <c r="AI151" s="1700">
        <v>341.58</v>
      </c>
      <c r="AJ151" s="1701">
        <v>346.93</v>
      </c>
      <c r="AK151" s="1701">
        <v>352.28</v>
      </c>
      <c r="AL151" s="1701">
        <v>357.63</v>
      </c>
      <c r="AM151" s="1701">
        <v>362.98</v>
      </c>
      <c r="AN151" s="1701">
        <v>368.34</v>
      </c>
      <c r="AO151" s="1702">
        <v>373.69</v>
      </c>
      <c r="AP151" s="1700">
        <v>379.04</v>
      </c>
      <c r="AQ151" s="1700">
        <v>384.39</v>
      </c>
      <c r="AR151" s="1683">
        <v>389.74</v>
      </c>
      <c r="AS151" s="1700">
        <v>395.09</v>
      </c>
      <c r="AT151" s="1700">
        <v>400.44</v>
      </c>
      <c r="AU151" s="1700">
        <v>405.79</v>
      </c>
      <c r="AV151" s="1700">
        <v>411.14</v>
      </c>
      <c r="AW151" s="1700">
        <v>416.49</v>
      </c>
      <c r="AX151" s="1700">
        <v>421.84</v>
      </c>
      <c r="AY151" s="1700">
        <v>427.19</v>
      </c>
      <c r="AZ151" s="1700">
        <v>432.54</v>
      </c>
      <c r="BA151" s="1700">
        <v>437.9</v>
      </c>
      <c r="BB151" s="1683">
        <v>443.25</v>
      </c>
      <c r="BC151" s="1700">
        <v>448.6</v>
      </c>
      <c r="BD151" s="1700">
        <v>453.95</v>
      </c>
      <c r="BE151" s="1700">
        <v>459.3</v>
      </c>
      <c r="BF151" s="1700">
        <v>464.65</v>
      </c>
      <c r="BG151" s="1700">
        <v>470</v>
      </c>
      <c r="BH151" s="1700">
        <v>475.35</v>
      </c>
      <c r="BI151" s="1700">
        <v>480.7</v>
      </c>
      <c r="BJ151" s="1700">
        <v>486.05</v>
      </c>
      <c r="BK151" s="1700">
        <v>491.4</v>
      </c>
      <c r="BL151" s="1700">
        <v>496.75</v>
      </c>
      <c r="BM151" s="1700">
        <v>502.11</v>
      </c>
      <c r="BN151" s="1700"/>
      <c r="BO151" s="1703">
        <v>147</v>
      </c>
      <c r="BP151" s="1693">
        <v>172.58</v>
      </c>
      <c r="BQ151" s="1693">
        <v>176.35</v>
      </c>
      <c r="BR151" s="1693">
        <v>180.13</v>
      </c>
      <c r="BS151" s="1693">
        <v>183.91</v>
      </c>
      <c r="BT151" s="1693">
        <v>187.69</v>
      </c>
      <c r="BU151" s="1694">
        <v>191.47</v>
      </c>
      <c r="BV151" s="1694">
        <v>195.24</v>
      </c>
      <c r="BW151" s="1694">
        <v>199.02</v>
      </c>
      <c r="BX151" s="1695">
        <v>202.8</v>
      </c>
      <c r="BY151" s="1696">
        <v>206.58</v>
      </c>
      <c r="BZ151" s="1696">
        <v>210.36</v>
      </c>
      <c r="CA151" s="1695">
        <v>214.13</v>
      </c>
      <c r="CB151" s="1695">
        <v>217.91</v>
      </c>
      <c r="CC151" s="1704">
        <v>221.69</v>
      </c>
      <c r="CD151" s="1697">
        <v>225.47</v>
      </c>
      <c r="CE151" s="1698">
        <v>229.25</v>
      </c>
      <c r="CF151" s="1699">
        <v>233.02</v>
      </c>
      <c r="CG151" s="1699">
        <v>236.8</v>
      </c>
      <c r="CH151" s="1699">
        <v>240.58</v>
      </c>
      <c r="CI151" s="1699">
        <v>244.36</v>
      </c>
      <c r="CJ151" s="1699">
        <v>248.13</v>
      </c>
      <c r="CK151" s="1700">
        <v>214.57</v>
      </c>
      <c r="CL151" s="1700">
        <v>218.35</v>
      </c>
      <c r="CM151" s="1700">
        <v>222.12</v>
      </c>
      <c r="CN151" s="1700">
        <v>225.9</v>
      </c>
      <c r="CO151" s="1705">
        <v>229.68</v>
      </c>
      <c r="CP151" s="1706">
        <v>233.46</v>
      </c>
      <c r="CQ151" s="1701">
        <v>237.24</v>
      </c>
      <c r="CR151" s="1701">
        <v>241.01</v>
      </c>
      <c r="CS151" s="1707">
        <v>244.79</v>
      </c>
      <c r="CT151" s="1700">
        <v>248.57</v>
      </c>
      <c r="CU151" s="1700">
        <v>252.35</v>
      </c>
      <c r="CV151" s="1700">
        <v>256.13</v>
      </c>
      <c r="CW151" s="1700">
        <v>259.89999999999998</v>
      </c>
      <c r="CX151" s="1700">
        <v>263.68</v>
      </c>
      <c r="CY151" s="1700">
        <v>267.45999999999998</v>
      </c>
      <c r="CZ151" s="1700">
        <v>271.24</v>
      </c>
      <c r="DA151" s="1700">
        <v>275.02</v>
      </c>
      <c r="DB151" s="1700">
        <v>278.79000000000002</v>
      </c>
      <c r="DC151" s="1700">
        <v>282.57</v>
      </c>
      <c r="DD151" s="1700">
        <v>286.35000000000002</v>
      </c>
      <c r="DE151" s="1700">
        <v>290.13</v>
      </c>
      <c r="DF151" s="1700">
        <v>293.89999999999998</v>
      </c>
      <c r="DG151" s="1700">
        <v>297.68</v>
      </c>
      <c r="DH151" s="1700">
        <v>301.45999999999998</v>
      </c>
      <c r="DI151" s="1700">
        <v>305.24</v>
      </c>
      <c r="DJ151" s="1700">
        <v>309.02</v>
      </c>
      <c r="DK151" s="1700">
        <v>312.79000000000002</v>
      </c>
      <c r="DL151" s="1700">
        <v>316.57</v>
      </c>
      <c r="DM151" s="1700">
        <v>320.35000000000002</v>
      </c>
      <c r="DN151" s="1700">
        <v>324.13</v>
      </c>
      <c r="DO151" s="1700">
        <v>327.91</v>
      </c>
      <c r="DP151" s="1700">
        <v>331.68</v>
      </c>
      <c r="DQ151" s="1700">
        <v>335.46</v>
      </c>
      <c r="DR151" s="1700">
        <v>339.24</v>
      </c>
      <c r="DS151" s="1700"/>
      <c r="DT151" s="1700"/>
      <c r="DU151" s="1700"/>
      <c r="DV151" s="1700"/>
      <c r="DW151" s="1700"/>
      <c r="DX151" s="1700"/>
    </row>
    <row r="152" spans="1:128">
      <c r="A152" s="1622"/>
      <c r="B152" s="1691">
        <f t="shared" si="14"/>
        <v>148</v>
      </c>
      <c r="C152" s="1668" t="str">
        <f t="shared" si="11"/>
        <v>397.33</v>
      </c>
      <c r="D152" s="1672">
        <f t="shared" si="12"/>
        <v>556.26</v>
      </c>
      <c r="E152" s="1670"/>
      <c r="F152" s="1671" t="str">
        <f t="shared" si="13"/>
        <v>249.8</v>
      </c>
      <c r="G152" s="1672">
        <f t="shared" si="10"/>
        <v>349.72</v>
      </c>
      <c r="H152" s="1670"/>
      <c r="I152" s="1670"/>
      <c r="J152" s="1708">
        <v>148</v>
      </c>
      <c r="K152" s="1693">
        <v>289.58</v>
      </c>
      <c r="L152" s="1693">
        <v>294.97000000000003</v>
      </c>
      <c r="M152" s="1693">
        <v>300.36</v>
      </c>
      <c r="N152" s="1693">
        <v>305.75</v>
      </c>
      <c r="O152" s="1693">
        <v>311.13</v>
      </c>
      <c r="P152" s="1694">
        <v>316.52</v>
      </c>
      <c r="Q152" s="1694">
        <v>321.91000000000003</v>
      </c>
      <c r="R152" s="1694">
        <v>327.29000000000002</v>
      </c>
      <c r="S152" s="1695">
        <v>332.68</v>
      </c>
      <c r="T152" s="1696">
        <v>338.07</v>
      </c>
      <c r="U152" s="1696">
        <v>343.46</v>
      </c>
      <c r="V152" s="1695">
        <v>348.84</v>
      </c>
      <c r="W152" s="1695">
        <v>354.23</v>
      </c>
      <c r="X152" s="1695">
        <v>359.62</v>
      </c>
      <c r="Y152" s="1697">
        <v>365.01</v>
      </c>
      <c r="Z152" s="1698">
        <v>370.39</v>
      </c>
      <c r="AA152" s="1699">
        <v>375.78</v>
      </c>
      <c r="AB152" s="1699">
        <v>381.17</v>
      </c>
      <c r="AC152" s="1699">
        <v>386.55</v>
      </c>
      <c r="AD152" s="1699">
        <v>391.94</v>
      </c>
      <c r="AE152" s="1699">
        <v>397.33</v>
      </c>
      <c r="AF152" s="1683">
        <v>327.69</v>
      </c>
      <c r="AG152" s="1683">
        <v>333.08</v>
      </c>
      <c r="AH152" s="1683">
        <v>338.47</v>
      </c>
      <c r="AI152" s="1683">
        <v>343.85</v>
      </c>
      <c r="AJ152" s="1701">
        <v>349.24</v>
      </c>
      <c r="AK152" s="1701">
        <v>354.63</v>
      </c>
      <c r="AL152" s="1701">
        <v>360.02</v>
      </c>
      <c r="AM152" s="1701">
        <v>365.4</v>
      </c>
      <c r="AN152" s="1701">
        <v>370.79</v>
      </c>
      <c r="AO152" s="1702">
        <v>376.18</v>
      </c>
      <c r="AP152" s="1700">
        <v>381.56</v>
      </c>
      <c r="AQ152" s="1700">
        <v>386.95</v>
      </c>
      <c r="AR152" s="1700">
        <v>392.34</v>
      </c>
      <c r="AS152" s="1700">
        <v>397.73</v>
      </c>
      <c r="AT152" s="1683">
        <v>403.11</v>
      </c>
      <c r="AU152" s="1700">
        <v>408.5</v>
      </c>
      <c r="AV152" s="1700">
        <v>413.89</v>
      </c>
      <c r="AW152" s="1683">
        <v>419.28</v>
      </c>
      <c r="AX152" s="1683">
        <v>424.66</v>
      </c>
      <c r="AY152" s="1683">
        <v>430.05</v>
      </c>
      <c r="AZ152" s="1683">
        <v>435.44</v>
      </c>
      <c r="BA152" s="1683">
        <v>440.82</v>
      </c>
      <c r="BB152" s="1700">
        <v>446.21</v>
      </c>
      <c r="BC152" s="1683">
        <v>451.6</v>
      </c>
      <c r="BD152" s="1683">
        <v>456.99</v>
      </c>
      <c r="BE152" s="1683">
        <v>462.37</v>
      </c>
      <c r="BF152" s="1683">
        <v>467.76</v>
      </c>
      <c r="BG152" s="1683">
        <v>473.15</v>
      </c>
      <c r="BH152" s="1683">
        <v>478.53</v>
      </c>
      <c r="BI152" s="1683">
        <v>483.92</v>
      </c>
      <c r="BJ152" s="1683">
        <v>489.31</v>
      </c>
      <c r="BK152" s="1683">
        <v>494.7</v>
      </c>
      <c r="BL152" s="1683">
        <v>500.08</v>
      </c>
      <c r="BM152" s="1683">
        <v>505.47</v>
      </c>
      <c r="BN152" s="1683"/>
      <c r="BO152" s="1703">
        <v>148</v>
      </c>
      <c r="BP152" s="1693">
        <v>173.73</v>
      </c>
      <c r="BQ152" s="1693">
        <v>177.53</v>
      </c>
      <c r="BR152" s="1693">
        <v>181.34</v>
      </c>
      <c r="BS152" s="1693">
        <v>185.14</v>
      </c>
      <c r="BT152" s="1693">
        <v>188.94</v>
      </c>
      <c r="BU152" s="1694">
        <v>192.75</v>
      </c>
      <c r="BV152" s="1694">
        <v>196.55</v>
      </c>
      <c r="BW152" s="1694">
        <v>200.36</v>
      </c>
      <c r="BX152" s="1695">
        <v>204.16</v>
      </c>
      <c r="BY152" s="1696">
        <v>207.96</v>
      </c>
      <c r="BZ152" s="1696">
        <v>211.77</v>
      </c>
      <c r="CA152" s="1695">
        <v>215.57</v>
      </c>
      <c r="CB152" s="1695">
        <v>219.37</v>
      </c>
      <c r="CC152" s="1704">
        <v>223.18</v>
      </c>
      <c r="CD152" s="1697">
        <v>226.98</v>
      </c>
      <c r="CE152" s="1698">
        <v>230.78</v>
      </c>
      <c r="CF152" s="1699">
        <v>234.59</v>
      </c>
      <c r="CG152" s="1699">
        <v>238.39</v>
      </c>
      <c r="CH152" s="1699">
        <v>242.19</v>
      </c>
      <c r="CI152" s="1699">
        <v>246</v>
      </c>
      <c r="CJ152" s="1699">
        <v>249.8</v>
      </c>
      <c r="CK152" s="1700">
        <v>216.02</v>
      </c>
      <c r="CL152" s="1700">
        <v>219.82</v>
      </c>
      <c r="CM152" s="1700">
        <v>223.62</v>
      </c>
      <c r="CN152" s="1700">
        <v>227.43</v>
      </c>
      <c r="CO152" s="1705">
        <v>231.23</v>
      </c>
      <c r="CP152" s="1706">
        <v>235.03</v>
      </c>
      <c r="CQ152" s="1701">
        <v>238.84</v>
      </c>
      <c r="CR152" s="1701">
        <v>242.64</v>
      </c>
      <c r="CS152" s="1707">
        <v>246.44</v>
      </c>
      <c r="CT152" s="1700">
        <v>250.25</v>
      </c>
      <c r="CU152" s="1700">
        <v>254.05</v>
      </c>
      <c r="CV152" s="1700">
        <v>257.85000000000002</v>
      </c>
      <c r="CW152" s="1700">
        <v>261.66000000000003</v>
      </c>
      <c r="CX152" s="1700">
        <v>265.45999999999998</v>
      </c>
      <c r="CY152" s="1700">
        <v>269.27</v>
      </c>
      <c r="CZ152" s="1700">
        <v>273.07</v>
      </c>
      <c r="DA152" s="1700">
        <v>276.87</v>
      </c>
      <c r="DB152" s="1700">
        <v>280.68</v>
      </c>
      <c r="DC152" s="1700">
        <v>284.48</v>
      </c>
      <c r="DD152" s="1700">
        <v>288.27999999999997</v>
      </c>
      <c r="DE152" s="1700">
        <v>292.08999999999997</v>
      </c>
      <c r="DF152" s="1700">
        <v>195.89</v>
      </c>
      <c r="DG152" s="1700">
        <v>299.69</v>
      </c>
      <c r="DH152" s="1700">
        <v>303.5</v>
      </c>
      <c r="DI152" s="1700">
        <v>307.3</v>
      </c>
      <c r="DJ152" s="1700">
        <v>311.11</v>
      </c>
      <c r="DK152" s="1700">
        <v>314.91000000000003</v>
      </c>
      <c r="DL152" s="1700">
        <v>318.70999999999998</v>
      </c>
      <c r="DM152" s="1700">
        <v>322.52</v>
      </c>
      <c r="DN152" s="1700">
        <v>326.32</v>
      </c>
      <c r="DO152" s="1700">
        <v>330.12</v>
      </c>
      <c r="DP152" s="1700">
        <v>333.93</v>
      </c>
      <c r="DQ152" s="1700">
        <v>337.73</v>
      </c>
      <c r="DR152" s="1700">
        <v>341.53</v>
      </c>
      <c r="DS152" s="1700"/>
      <c r="DT152" s="1700"/>
      <c r="DU152" s="1700"/>
      <c r="DV152" s="1700"/>
      <c r="DW152" s="1700"/>
      <c r="DX152" s="1700"/>
    </row>
    <row r="153" spans="1:128">
      <c r="A153" s="1622"/>
      <c r="B153" s="1691">
        <f t="shared" si="14"/>
        <v>149</v>
      </c>
      <c r="C153" s="1668" t="str">
        <f t="shared" si="11"/>
        <v>399.93</v>
      </c>
      <c r="D153" s="1672">
        <f t="shared" si="12"/>
        <v>559.9</v>
      </c>
      <c r="E153" s="1670"/>
      <c r="F153" s="1671" t="str">
        <f t="shared" si="13"/>
        <v>251.57</v>
      </c>
      <c r="G153" s="1672">
        <f t="shared" si="10"/>
        <v>352.2</v>
      </c>
      <c r="H153" s="1670"/>
      <c r="I153" s="1670"/>
      <c r="J153" s="1708">
        <v>149</v>
      </c>
      <c r="K153" s="1693">
        <v>291.45999999999998</v>
      </c>
      <c r="L153" s="1693">
        <v>296.88</v>
      </c>
      <c r="M153" s="1693">
        <v>302.31</v>
      </c>
      <c r="N153" s="1693">
        <v>307.73</v>
      </c>
      <c r="O153" s="1693">
        <v>313.14999999999998</v>
      </c>
      <c r="P153" s="1694">
        <v>318.58</v>
      </c>
      <c r="Q153" s="1694">
        <v>324</v>
      </c>
      <c r="R153" s="1694">
        <v>329.42</v>
      </c>
      <c r="S153" s="1695">
        <v>334.85</v>
      </c>
      <c r="T153" s="1696">
        <v>340.27</v>
      </c>
      <c r="U153" s="1696">
        <v>345.7</v>
      </c>
      <c r="V153" s="1695">
        <v>351.12</v>
      </c>
      <c r="W153" s="1695">
        <v>356.54</v>
      </c>
      <c r="X153" s="1695">
        <v>361.97</v>
      </c>
      <c r="Y153" s="1697">
        <v>367.39</v>
      </c>
      <c r="Z153" s="1698">
        <v>372.81</v>
      </c>
      <c r="AA153" s="1699">
        <v>378.24</v>
      </c>
      <c r="AB153" s="1699">
        <v>383.66</v>
      </c>
      <c r="AC153" s="1699">
        <v>389.08</v>
      </c>
      <c r="AD153" s="1699">
        <v>394.51</v>
      </c>
      <c r="AE153" s="1699">
        <v>399.93</v>
      </c>
      <c r="AF153" s="1700">
        <v>329.86</v>
      </c>
      <c r="AG153" s="1700">
        <v>335.28</v>
      </c>
      <c r="AH153" s="1700">
        <v>340.71</v>
      </c>
      <c r="AI153" s="1700">
        <v>346.13</v>
      </c>
      <c r="AJ153" s="1701">
        <v>351.55</v>
      </c>
      <c r="AK153" s="1701">
        <v>356.98</v>
      </c>
      <c r="AL153" s="1701">
        <v>362.4</v>
      </c>
      <c r="AM153" s="1701">
        <v>367.82</v>
      </c>
      <c r="AN153" s="1701">
        <v>373.25</v>
      </c>
      <c r="AO153" s="1702">
        <v>378.67</v>
      </c>
      <c r="AP153" s="1700">
        <v>384.1</v>
      </c>
      <c r="AQ153" s="1700">
        <v>389.52</v>
      </c>
      <c r="AR153" s="1683">
        <v>394.94</v>
      </c>
      <c r="AS153" s="1700">
        <v>400.37</v>
      </c>
      <c r="AT153" s="1700">
        <v>405.79</v>
      </c>
      <c r="AU153" s="1700">
        <v>411.21</v>
      </c>
      <c r="AV153" s="1683">
        <v>416.64</v>
      </c>
      <c r="AW153" s="1700">
        <v>422.06</v>
      </c>
      <c r="AX153" s="1700">
        <v>427.48</v>
      </c>
      <c r="AY153" s="1700">
        <v>432.91</v>
      </c>
      <c r="AZ153" s="1700">
        <v>438.33</v>
      </c>
      <c r="BA153" s="1700">
        <v>443.75</v>
      </c>
      <c r="BB153" s="1700">
        <v>449.18</v>
      </c>
      <c r="BC153" s="1700">
        <v>454.6</v>
      </c>
      <c r="BD153" s="1700">
        <v>460.03</v>
      </c>
      <c r="BE153" s="1700">
        <v>462.45</v>
      </c>
      <c r="BF153" s="1700">
        <v>470.87</v>
      </c>
      <c r="BG153" s="1700">
        <v>476.3</v>
      </c>
      <c r="BH153" s="1700">
        <v>481.72</v>
      </c>
      <c r="BI153" s="1700">
        <v>487.14</v>
      </c>
      <c r="BJ153" s="1700">
        <v>492.57</v>
      </c>
      <c r="BK153" s="1700">
        <v>497.99</v>
      </c>
      <c r="BL153" s="1700">
        <v>503.41</v>
      </c>
      <c r="BM153" s="1700">
        <v>508.84</v>
      </c>
      <c r="BN153" s="1700"/>
      <c r="BO153" s="1703">
        <v>149</v>
      </c>
      <c r="BP153" s="1693">
        <v>174.98</v>
      </c>
      <c r="BQ153" s="1693">
        <v>178.81</v>
      </c>
      <c r="BR153" s="1693">
        <v>182.64</v>
      </c>
      <c r="BS153" s="1693">
        <v>186.47</v>
      </c>
      <c r="BT153" s="1693">
        <v>190.3</v>
      </c>
      <c r="BU153" s="1694">
        <v>194.13</v>
      </c>
      <c r="BV153" s="1694">
        <v>197.96</v>
      </c>
      <c r="BW153" s="1694">
        <v>201.79</v>
      </c>
      <c r="BX153" s="1695">
        <v>205.62</v>
      </c>
      <c r="BY153" s="1696">
        <v>209.45</v>
      </c>
      <c r="BZ153" s="1696">
        <v>213.28</v>
      </c>
      <c r="CA153" s="1695">
        <v>217.11</v>
      </c>
      <c r="CB153" s="1695">
        <v>220.93</v>
      </c>
      <c r="CC153" s="1704">
        <v>224.76</v>
      </c>
      <c r="CD153" s="1697">
        <v>228.59</v>
      </c>
      <c r="CE153" s="1698">
        <v>232.42</v>
      </c>
      <c r="CF153" s="1699">
        <v>236.25</v>
      </c>
      <c r="CG153" s="1699">
        <v>240.08</v>
      </c>
      <c r="CH153" s="1699">
        <v>243.91</v>
      </c>
      <c r="CI153" s="1699">
        <v>247.74</v>
      </c>
      <c r="CJ153" s="1699">
        <v>251.57</v>
      </c>
      <c r="CK153" s="1700">
        <v>217.52</v>
      </c>
      <c r="CL153" s="1700">
        <v>221.35</v>
      </c>
      <c r="CM153" s="1700">
        <v>225.18</v>
      </c>
      <c r="CN153" s="1700">
        <v>229.01</v>
      </c>
      <c r="CO153" s="1705">
        <v>232.84</v>
      </c>
      <c r="CP153" s="1706">
        <v>236.67</v>
      </c>
      <c r="CQ153" s="1701">
        <v>240.5</v>
      </c>
      <c r="CR153" s="1701">
        <v>244.33</v>
      </c>
      <c r="CS153" s="1707">
        <v>248.16</v>
      </c>
      <c r="CT153" s="1700">
        <v>251.99</v>
      </c>
      <c r="CU153" s="1700">
        <v>255.82</v>
      </c>
      <c r="CV153" s="1700">
        <v>259.64999999999998</v>
      </c>
      <c r="CW153" s="1700">
        <v>263.48</v>
      </c>
      <c r="CX153" s="1700">
        <v>267.31</v>
      </c>
      <c r="CY153" s="1700">
        <v>271.13</v>
      </c>
      <c r="CZ153" s="1700">
        <v>274.95999999999998</v>
      </c>
      <c r="DA153" s="1700">
        <v>278.79000000000002</v>
      </c>
      <c r="DB153" s="1700">
        <v>282.62</v>
      </c>
      <c r="DC153" s="1700">
        <v>286.45</v>
      </c>
      <c r="DD153" s="1700">
        <v>290.27999999999997</v>
      </c>
      <c r="DE153" s="1700">
        <v>294.11</v>
      </c>
      <c r="DF153" s="1700">
        <v>297.94</v>
      </c>
      <c r="DG153" s="1700">
        <v>301.77</v>
      </c>
      <c r="DH153" s="1700">
        <v>305.60000000000002</v>
      </c>
      <c r="DI153" s="1700">
        <v>309.43</v>
      </c>
      <c r="DJ153" s="1700">
        <v>313.26</v>
      </c>
      <c r="DK153" s="1700">
        <v>317.08999999999997</v>
      </c>
      <c r="DL153" s="1700">
        <v>320.92</v>
      </c>
      <c r="DM153" s="1700">
        <v>324.74</v>
      </c>
      <c r="DN153" s="1700">
        <v>328.57</v>
      </c>
      <c r="DO153" s="1700">
        <v>332.4</v>
      </c>
      <c r="DP153" s="1700">
        <v>336.23</v>
      </c>
      <c r="DQ153" s="1700">
        <v>340.06</v>
      </c>
      <c r="DR153" s="1700">
        <v>434.89</v>
      </c>
      <c r="DS153" s="1700"/>
      <c r="DT153" s="1700"/>
      <c r="DU153" s="1700"/>
      <c r="DV153" s="1700"/>
      <c r="DW153" s="1700"/>
      <c r="DX153" s="1700"/>
    </row>
    <row r="154" spans="1:128">
      <c r="A154" s="1622"/>
      <c r="B154" s="1691">
        <f t="shared" si="14"/>
        <v>150</v>
      </c>
      <c r="C154" s="1668" t="str">
        <f t="shared" si="11"/>
        <v>402.91</v>
      </c>
      <c r="D154" s="1672">
        <f t="shared" si="12"/>
        <v>564.07000000000005</v>
      </c>
      <c r="E154" s="1670"/>
      <c r="F154" s="1671" t="str">
        <f t="shared" si="13"/>
        <v>253.24</v>
      </c>
      <c r="G154" s="1672">
        <f t="shared" si="10"/>
        <v>354.54</v>
      </c>
      <c r="H154" s="1670"/>
      <c r="I154" s="1670"/>
      <c r="J154" s="1708">
        <v>150</v>
      </c>
      <c r="K154" s="1693">
        <v>293.70999999999998</v>
      </c>
      <c r="L154" s="1693">
        <v>299.17</v>
      </c>
      <c r="M154" s="1693">
        <v>304.63</v>
      </c>
      <c r="N154" s="1693">
        <v>310.08999999999997</v>
      </c>
      <c r="O154" s="1693">
        <v>315.55</v>
      </c>
      <c r="P154" s="1694">
        <v>321.01</v>
      </c>
      <c r="Q154" s="1694">
        <v>326.47000000000003</v>
      </c>
      <c r="R154" s="1694">
        <v>331.93</v>
      </c>
      <c r="S154" s="1695">
        <v>337.39</v>
      </c>
      <c r="T154" s="1696">
        <v>342.85</v>
      </c>
      <c r="U154" s="1696">
        <v>348.31</v>
      </c>
      <c r="V154" s="1695">
        <v>353.77</v>
      </c>
      <c r="W154" s="1695">
        <v>359.23</v>
      </c>
      <c r="X154" s="1695">
        <v>364.69</v>
      </c>
      <c r="Y154" s="1697">
        <v>370.15</v>
      </c>
      <c r="Z154" s="1698">
        <v>375.61</v>
      </c>
      <c r="AA154" s="1699">
        <v>381.07</v>
      </c>
      <c r="AB154" s="1699">
        <v>386.53</v>
      </c>
      <c r="AC154" s="1699">
        <v>391.99</v>
      </c>
      <c r="AD154" s="1699">
        <v>397.45</v>
      </c>
      <c r="AE154" s="1699">
        <v>402.91</v>
      </c>
      <c r="AF154" s="1700">
        <v>332.25</v>
      </c>
      <c r="AG154" s="1700">
        <v>337.71</v>
      </c>
      <c r="AH154" s="1700">
        <v>343.17</v>
      </c>
      <c r="AI154" s="1700">
        <v>348.63</v>
      </c>
      <c r="AJ154" s="1701">
        <v>354.09</v>
      </c>
      <c r="AK154" s="1701">
        <v>359.55</v>
      </c>
      <c r="AL154" s="1701">
        <v>365.01</v>
      </c>
      <c r="AM154" s="1701">
        <v>370.47</v>
      </c>
      <c r="AN154" s="1701">
        <v>375.93</v>
      </c>
      <c r="AO154" s="1702">
        <v>381.39</v>
      </c>
      <c r="AP154" s="1700">
        <v>386.85</v>
      </c>
      <c r="AQ154" s="1700">
        <v>392.31</v>
      </c>
      <c r="AR154" s="1700">
        <v>397.77</v>
      </c>
      <c r="AS154" s="1700">
        <v>403.23</v>
      </c>
      <c r="AT154" s="1700">
        <v>408.69</v>
      </c>
      <c r="AU154" s="1700">
        <v>414.15</v>
      </c>
      <c r="AV154" s="1700">
        <v>419.61</v>
      </c>
      <c r="AW154" s="1700">
        <v>425.07</v>
      </c>
      <c r="AX154" s="1700">
        <v>430.53</v>
      </c>
      <c r="AY154" s="1700">
        <v>435.99</v>
      </c>
      <c r="AZ154" s="1700">
        <v>441.45</v>
      </c>
      <c r="BA154" s="1700">
        <v>446.91</v>
      </c>
      <c r="BB154" s="1683">
        <v>452.37</v>
      </c>
      <c r="BC154" s="1700">
        <v>457.83</v>
      </c>
      <c r="BD154" s="1700">
        <v>463.29</v>
      </c>
      <c r="BE154" s="1700">
        <v>468.75</v>
      </c>
      <c r="BF154" s="1700">
        <v>474.21</v>
      </c>
      <c r="BG154" s="1700">
        <v>479.67</v>
      </c>
      <c r="BH154" s="1700">
        <v>485.13</v>
      </c>
      <c r="BI154" s="1700">
        <v>490.59</v>
      </c>
      <c r="BJ154" s="1700">
        <v>496.05</v>
      </c>
      <c r="BK154" s="1700">
        <v>501.51</v>
      </c>
      <c r="BL154" s="1700">
        <v>506.97</v>
      </c>
      <c r="BM154" s="1700">
        <v>512.42999999999995</v>
      </c>
      <c r="BN154" s="1700"/>
      <c r="BO154" s="1703">
        <v>150</v>
      </c>
      <c r="BP154" s="1693">
        <v>176.14</v>
      </c>
      <c r="BQ154" s="1693">
        <v>179.99</v>
      </c>
      <c r="BR154" s="1693">
        <v>183.85</v>
      </c>
      <c r="BS154" s="1693">
        <v>187.7</v>
      </c>
      <c r="BT154" s="1693">
        <v>191.56</v>
      </c>
      <c r="BU154" s="1694">
        <v>195.41</v>
      </c>
      <c r="BV154" s="1694">
        <v>199.27</v>
      </c>
      <c r="BW154" s="1694">
        <v>203.12</v>
      </c>
      <c r="BX154" s="1695">
        <v>206.98</v>
      </c>
      <c r="BY154" s="1696">
        <v>210.83</v>
      </c>
      <c r="BZ154" s="1696">
        <v>214.69</v>
      </c>
      <c r="CA154" s="1695">
        <v>218.54</v>
      </c>
      <c r="CB154" s="1695">
        <v>222.4</v>
      </c>
      <c r="CC154" s="1704">
        <v>226.25</v>
      </c>
      <c r="CD154" s="1697">
        <v>230.11</v>
      </c>
      <c r="CE154" s="1698">
        <v>233.96</v>
      </c>
      <c r="CF154" s="1699">
        <v>237.82</v>
      </c>
      <c r="CG154" s="1699">
        <v>241.67</v>
      </c>
      <c r="CH154" s="1699">
        <v>245.53</v>
      </c>
      <c r="CI154" s="1699">
        <v>249.38</v>
      </c>
      <c r="CJ154" s="1699">
        <v>253.24</v>
      </c>
      <c r="CK154" s="1700">
        <v>218.97</v>
      </c>
      <c r="CL154" s="1700">
        <v>222.83</v>
      </c>
      <c r="CM154" s="1700">
        <v>226.68</v>
      </c>
      <c r="CN154" s="1700">
        <v>230.54</v>
      </c>
      <c r="CO154" s="1705">
        <v>234.39</v>
      </c>
      <c r="CP154" s="1706">
        <v>238.25</v>
      </c>
      <c r="CQ154" s="1701">
        <v>242.1</v>
      </c>
      <c r="CR154" s="1701">
        <v>245.96</v>
      </c>
      <c r="CS154" s="1707">
        <v>249.81</v>
      </c>
      <c r="CT154" s="1700">
        <v>253.67</v>
      </c>
      <c r="CU154" s="1700">
        <v>257.52</v>
      </c>
      <c r="CV154" s="1700">
        <v>261.38</v>
      </c>
      <c r="CW154" s="1700">
        <v>265.23</v>
      </c>
      <c r="CX154" s="1461">
        <v>269.08999999999997</v>
      </c>
      <c r="CY154" s="1700">
        <v>272.94</v>
      </c>
      <c r="CZ154" s="1700">
        <v>276.8</v>
      </c>
      <c r="DA154" s="1700">
        <v>280.64999999999998</v>
      </c>
      <c r="DB154" s="1700">
        <v>284.51</v>
      </c>
      <c r="DC154" s="1700">
        <v>288.36</v>
      </c>
      <c r="DD154" s="1700">
        <v>292.22000000000003</v>
      </c>
      <c r="DE154" s="1700">
        <v>296.07</v>
      </c>
      <c r="DF154" s="1700">
        <v>299.93</v>
      </c>
      <c r="DG154" s="1700">
        <v>303.77999999999997</v>
      </c>
      <c r="DH154" s="1700">
        <v>307.64</v>
      </c>
      <c r="DI154" s="1700">
        <v>311.49</v>
      </c>
      <c r="DJ154" s="1700">
        <v>315.35000000000002</v>
      </c>
      <c r="DK154" s="1700">
        <v>319.2</v>
      </c>
      <c r="DL154" s="1700">
        <v>323.06</v>
      </c>
      <c r="DM154" s="1700">
        <v>326.91000000000003</v>
      </c>
      <c r="DN154" s="1700">
        <v>330.77</v>
      </c>
      <c r="DO154" s="1700">
        <v>334.62</v>
      </c>
      <c r="DP154" s="1700">
        <v>338.48</v>
      </c>
      <c r="DQ154" s="1700">
        <v>342.33</v>
      </c>
      <c r="DR154" s="1700">
        <v>346.19</v>
      </c>
      <c r="DS154" s="1700"/>
      <c r="DT154" s="1700"/>
      <c r="DU154" s="1700"/>
      <c r="DV154" s="1700"/>
      <c r="DW154" s="1700"/>
      <c r="DX154" s="1700"/>
    </row>
    <row r="155" spans="1:128">
      <c r="A155" s="1622"/>
      <c r="B155" s="1691">
        <f t="shared" si="14"/>
        <v>151</v>
      </c>
      <c r="C155" s="1668" t="str">
        <f t="shared" si="11"/>
        <v>405.53</v>
      </c>
      <c r="D155" s="1672">
        <f t="shared" si="12"/>
        <v>567.74</v>
      </c>
      <c r="E155" s="1670"/>
      <c r="F155" s="1671" t="str">
        <f t="shared" si="13"/>
        <v>254.91</v>
      </c>
      <c r="G155" s="1672">
        <f t="shared" si="10"/>
        <v>356.87</v>
      </c>
      <c r="H155" s="1670"/>
      <c r="I155" s="1670"/>
      <c r="J155" s="1708">
        <v>151</v>
      </c>
      <c r="K155" s="1693">
        <v>295.60000000000002</v>
      </c>
      <c r="L155" s="1693">
        <v>301.10000000000002</v>
      </c>
      <c r="M155" s="1693">
        <v>306.58999999999997</v>
      </c>
      <c r="N155" s="1693">
        <v>312.08999999999997</v>
      </c>
      <c r="O155" s="1693">
        <v>317.58999999999997</v>
      </c>
      <c r="P155" s="1694">
        <v>323.08</v>
      </c>
      <c r="Q155" s="1694">
        <v>328.58</v>
      </c>
      <c r="R155" s="1694">
        <v>334.08</v>
      </c>
      <c r="S155" s="1695">
        <v>339.57</v>
      </c>
      <c r="T155" s="1696">
        <v>345.07</v>
      </c>
      <c r="U155" s="1696">
        <v>350.56</v>
      </c>
      <c r="V155" s="1695">
        <v>356.06</v>
      </c>
      <c r="W155" s="1695">
        <v>361.56</v>
      </c>
      <c r="X155" s="1695">
        <v>367.05</v>
      </c>
      <c r="Y155" s="1697">
        <v>372.55</v>
      </c>
      <c r="Z155" s="1698">
        <v>378.05</v>
      </c>
      <c r="AA155" s="1699">
        <v>383.54</v>
      </c>
      <c r="AB155" s="1699">
        <v>389.04</v>
      </c>
      <c r="AC155" s="1699">
        <v>394.54</v>
      </c>
      <c r="AD155" s="1699">
        <v>400.03</v>
      </c>
      <c r="AE155" s="1699">
        <v>405.53</v>
      </c>
      <c r="AF155" s="1683">
        <v>334.42</v>
      </c>
      <c r="AG155" s="1683">
        <v>339.92</v>
      </c>
      <c r="AH155" s="1683">
        <v>345.41</v>
      </c>
      <c r="AI155" s="1683">
        <v>350.91</v>
      </c>
      <c r="AJ155" s="1701">
        <v>356.41</v>
      </c>
      <c r="AK155" s="1701">
        <v>361.9</v>
      </c>
      <c r="AL155" s="1701">
        <v>367.4</v>
      </c>
      <c r="AM155" s="1701">
        <v>372.9</v>
      </c>
      <c r="AN155" s="1701">
        <v>378.39</v>
      </c>
      <c r="AO155" s="1702">
        <v>383.89</v>
      </c>
      <c r="AP155" s="1700">
        <v>389.38</v>
      </c>
      <c r="AQ155" s="1700">
        <v>394.88</v>
      </c>
      <c r="AR155" s="1683">
        <v>400.38</v>
      </c>
      <c r="AS155" s="1700">
        <v>405.87</v>
      </c>
      <c r="AT155" s="1683">
        <v>411.37</v>
      </c>
      <c r="AU155" s="1700">
        <v>416.87</v>
      </c>
      <c r="AV155" s="1700">
        <v>422.36</v>
      </c>
      <c r="AW155" s="1683">
        <v>427.86</v>
      </c>
      <c r="AX155" s="1683">
        <v>433.36</v>
      </c>
      <c r="AY155" s="1683">
        <v>438.85</v>
      </c>
      <c r="AZ155" s="1683">
        <v>444.35</v>
      </c>
      <c r="BA155" s="1683">
        <v>449.85</v>
      </c>
      <c r="BB155" s="1700">
        <v>455.34</v>
      </c>
      <c r="BC155" s="1683">
        <v>460.84</v>
      </c>
      <c r="BD155" s="1683">
        <v>466.33</v>
      </c>
      <c r="BE155" s="1683">
        <v>471.83</v>
      </c>
      <c r="BF155" s="1683">
        <v>477.33</v>
      </c>
      <c r="BG155" s="1683">
        <v>482.82</v>
      </c>
      <c r="BH155" s="1683">
        <v>488.32</v>
      </c>
      <c r="BI155" s="1683">
        <v>493.82</v>
      </c>
      <c r="BJ155" s="1683">
        <v>499.31</v>
      </c>
      <c r="BK155" s="1683">
        <v>504.81</v>
      </c>
      <c r="BL155" s="1683">
        <v>510.31</v>
      </c>
      <c r="BM155" s="1683">
        <v>515.79999999999995</v>
      </c>
      <c r="BN155" s="1683"/>
      <c r="BO155" s="1703">
        <v>151</v>
      </c>
      <c r="BP155" s="1693">
        <v>177.3</v>
      </c>
      <c r="BQ155" s="1693">
        <v>181.18</v>
      </c>
      <c r="BR155" s="1693">
        <v>185.06</v>
      </c>
      <c r="BS155" s="1693">
        <v>188.94</v>
      </c>
      <c r="BT155" s="1693">
        <v>192.82</v>
      </c>
      <c r="BU155" s="1694">
        <v>196.7</v>
      </c>
      <c r="BV155" s="1694">
        <v>200.58</v>
      </c>
      <c r="BW155" s="1694">
        <v>204.46</v>
      </c>
      <c r="BX155" s="1695">
        <v>208.34</v>
      </c>
      <c r="BY155" s="1696">
        <v>212.22</v>
      </c>
      <c r="BZ155" s="1696">
        <v>216.1</v>
      </c>
      <c r="CA155" s="1695">
        <v>219.98</v>
      </c>
      <c r="CB155" s="1695">
        <v>223.86</v>
      </c>
      <c r="CC155" s="1704">
        <v>227.75</v>
      </c>
      <c r="CD155" s="1697">
        <v>231.63</v>
      </c>
      <c r="CE155" s="1698">
        <v>235.51</v>
      </c>
      <c r="CF155" s="1699">
        <v>239.39</v>
      </c>
      <c r="CG155" s="1699">
        <v>243.27</v>
      </c>
      <c r="CH155" s="1699">
        <v>247.15</v>
      </c>
      <c r="CI155" s="1699">
        <v>251.03</v>
      </c>
      <c r="CJ155" s="1699">
        <v>254.91</v>
      </c>
      <c r="CK155" s="1700">
        <v>220.42</v>
      </c>
      <c r="CL155" s="1700">
        <v>224.3</v>
      </c>
      <c r="CM155" s="1700">
        <v>228.18</v>
      </c>
      <c r="CN155" s="1700">
        <v>232.06</v>
      </c>
      <c r="CO155" s="1705">
        <v>235.94</v>
      </c>
      <c r="CP155" s="1706">
        <v>239.83</v>
      </c>
      <c r="CQ155" s="1701">
        <v>243.71</v>
      </c>
      <c r="CR155" s="1701">
        <v>247.59</v>
      </c>
      <c r="CS155" s="1707">
        <v>251.47</v>
      </c>
      <c r="CT155" s="1700">
        <v>255.35</v>
      </c>
      <c r="CU155" s="1700">
        <v>259.23</v>
      </c>
      <c r="CV155" s="1700">
        <v>263.11</v>
      </c>
      <c r="CW155" s="1700">
        <v>266.99</v>
      </c>
      <c r="CX155" s="1700">
        <v>270.87</v>
      </c>
      <c r="CY155" s="1700">
        <v>274.75</v>
      </c>
      <c r="CZ155" s="1700">
        <v>278.63</v>
      </c>
      <c r="DA155" s="1700">
        <v>282.51</v>
      </c>
      <c r="DB155" s="1700">
        <v>286.39</v>
      </c>
      <c r="DC155" s="1700">
        <v>290.27</v>
      </c>
      <c r="DD155" s="1700">
        <v>294.16000000000003</v>
      </c>
      <c r="DE155" s="1700">
        <v>298.04000000000002</v>
      </c>
      <c r="DF155" s="1700">
        <v>301.92</v>
      </c>
      <c r="DG155" s="1700">
        <v>305.8</v>
      </c>
      <c r="DH155" s="1700">
        <v>309.68</v>
      </c>
      <c r="DI155" s="1700">
        <v>313.56</v>
      </c>
      <c r="DJ155" s="1700">
        <v>317.44</v>
      </c>
      <c r="DK155" s="1700">
        <v>321.32</v>
      </c>
      <c r="DL155" s="1700">
        <v>325.2</v>
      </c>
      <c r="DM155" s="1700">
        <v>329.08</v>
      </c>
      <c r="DN155" s="1700">
        <v>332.96</v>
      </c>
      <c r="DO155" s="1700">
        <v>336.84</v>
      </c>
      <c r="DP155" s="1700">
        <v>340.72</v>
      </c>
      <c r="DQ155" s="1700">
        <v>344.6</v>
      </c>
      <c r="DR155" s="1700">
        <v>348.49</v>
      </c>
      <c r="DS155" s="1700"/>
      <c r="DT155" s="1700"/>
      <c r="DU155" s="1700"/>
      <c r="DV155" s="1700"/>
      <c r="DW155" s="1700"/>
      <c r="DX155" s="1700"/>
    </row>
    <row r="156" spans="1:128">
      <c r="A156" s="1622"/>
      <c r="B156" s="1691">
        <f t="shared" si="14"/>
        <v>152</v>
      </c>
      <c r="C156" s="1668" t="str">
        <f t="shared" si="11"/>
        <v>408.15</v>
      </c>
      <c r="D156" s="1672">
        <f t="shared" si="12"/>
        <v>571.41</v>
      </c>
      <c r="E156" s="1670"/>
      <c r="F156" s="1671" t="str">
        <f t="shared" si="13"/>
        <v>256.58</v>
      </c>
      <c r="G156" s="1672">
        <f t="shared" si="10"/>
        <v>359.21</v>
      </c>
      <c r="H156" s="1670"/>
      <c r="I156" s="1670"/>
      <c r="J156" s="1708">
        <v>152</v>
      </c>
      <c r="K156" s="1693">
        <v>297.49</v>
      </c>
      <c r="L156" s="1693">
        <v>303.02999999999997</v>
      </c>
      <c r="M156" s="1693">
        <v>308.56</v>
      </c>
      <c r="N156" s="1693">
        <v>314.08999999999997</v>
      </c>
      <c r="O156" s="1693">
        <v>319.62</v>
      </c>
      <c r="P156" s="1694">
        <v>325.16000000000003</v>
      </c>
      <c r="Q156" s="1694">
        <v>330.69</v>
      </c>
      <c r="R156" s="1694">
        <v>336.22</v>
      </c>
      <c r="S156" s="1695">
        <v>341.75</v>
      </c>
      <c r="T156" s="1696">
        <v>347.29</v>
      </c>
      <c r="U156" s="1696">
        <v>352.82</v>
      </c>
      <c r="V156" s="1695">
        <v>358.35</v>
      </c>
      <c r="W156" s="1695">
        <v>363.89</v>
      </c>
      <c r="X156" s="1695">
        <v>369.42</v>
      </c>
      <c r="Y156" s="1697">
        <v>374.95</v>
      </c>
      <c r="Z156" s="1698">
        <v>380.48</v>
      </c>
      <c r="AA156" s="1699">
        <v>386.02</v>
      </c>
      <c r="AB156" s="1699">
        <v>391.55</v>
      </c>
      <c r="AC156" s="1699">
        <v>397.08</v>
      </c>
      <c r="AD156" s="1699">
        <v>402.62</v>
      </c>
      <c r="AE156" s="1699">
        <v>408.15</v>
      </c>
      <c r="AF156" s="1700">
        <v>336.6</v>
      </c>
      <c r="AG156" s="1700">
        <v>342.13</v>
      </c>
      <c r="AH156" s="1700">
        <v>347.66</v>
      </c>
      <c r="AI156" s="1700">
        <v>353.2</v>
      </c>
      <c r="AJ156" s="1701">
        <v>358.73</v>
      </c>
      <c r="AK156" s="1701">
        <v>364.26</v>
      </c>
      <c r="AL156" s="1701">
        <v>369.79</v>
      </c>
      <c r="AM156" s="1701">
        <v>375.33</v>
      </c>
      <c r="AN156" s="1701">
        <v>380.86</v>
      </c>
      <c r="AO156" s="1702">
        <v>386.39</v>
      </c>
      <c r="AP156" s="1700">
        <v>391.92</v>
      </c>
      <c r="AQ156" s="1700">
        <v>397.46</v>
      </c>
      <c r="AR156" s="1700">
        <v>402.99</v>
      </c>
      <c r="AS156" s="1700">
        <v>408.52</v>
      </c>
      <c r="AT156" s="1700">
        <v>414.06</v>
      </c>
      <c r="AU156" s="1700">
        <v>419.59</v>
      </c>
      <c r="AV156" s="1683">
        <v>425.12</v>
      </c>
      <c r="AW156" s="1700">
        <v>430.65</v>
      </c>
      <c r="AX156" s="1700">
        <v>436.19</v>
      </c>
      <c r="AY156" s="1700">
        <v>441.72</v>
      </c>
      <c r="AZ156" s="1700">
        <v>447.25</v>
      </c>
      <c r="BA156" s="1700">
        <v>452.79</v>
      </c>
      <c r="BB156" s="1700">
        <v>458.32</v>
      </c>
      <c r="BC156" s="1700">
        <v>463.85</v>
      </c>
      <c r="BD156" s="1700">
        <v>469.38</v>
      </c>
      <c r="BE156" s="1700">
        <v>474.92</v>
      </c>
      <c r="BF156" s="1700">
        <v>480.45</v>
      </c>
      <c r="BG156" s="1700">
        <v>485.98</v>
      </c>
      <c r="BH156" s="1700">
        <v>491.52</v>
      </c>
      <c r="BI156" s="1700">
        <v>497.05</v>
      </c>
      <c r="BJ156" s="1700">
        <v>502.58</v>
      </c>
      <c r="BK156" s="1700">
        <v>508.11</v>
      </c>
      <c r="BL156" s="1700">
        <v>513.65</v>
      </c>
      <c r="BM156" s="1700">
        <v>519.17999999999995</v>
      </c>
      <c r="BN156" s="1700"/>
      <c r="BO156" s="1703">
        <v>152</v>
      </c>
      <c r="BP156" s="1693">
        <v>178.46</v>
      </c>
      <c r="BQ156" s="1693">
        <v>182.36</v>
      </c>
      <c r="BR156" s="1693">
        <v>186.27</v>
      </c>
      <c r="BS156" s="1693">
        <v>190.17</v>
      </c>
      <c r="BT156" s="1693">
        <v>194.08</v>
      </c>
      <c r="BU156" s="1694">
        <v>197.99</v>
      </c>
      <c r="BV156" s="1694">
        <v>201.89</v>
      </c>
      <c r="BW156" s="1694">
        <v>205.8</v>
      </c>
      <c r="BX156" s="1695">
        <v>209.71</v>
      </c>
      <c r="BY156" s="1696">
        <v>213.61</v>
      </c>
      <c r="BZ156" s="1696">
        <v>217.52</v>
      </c>
      <c r="CA156" s="1695">
        <v>221.43</v>
      </c>
      <c r="CB156" s="1695">
        <v>225.33</v>
      </c>
      <c r="CC156" s="1704">
        <v>229.24</v>
      </c>
      <c r="CD156" s="1697">
        <v>233.14</v>
      </c>
      <c r="CE156" s="1698">
        <v>237.05</v>
      </c>
      <c r="CF156" s="1699">
        <v>240.96</v>
      </c>
      <c r="CG156" s="1699">
        <v>244.86</v>
      </c>
      <c r="CH156" s="1699">
        <v>248.77</v>
      </c>
      <c r="CI156" s="1699">
        <v>252.68</v>
      </c>
      <c r="CJ156" s="1699">
        <v>256.58</v>
      </c>
      <c r="CK156" s="1700">
        <v>221.87</v>
      </c>
      <c r="CL156" s="1700">
        <v>225.78</v>
      </c>
      <c r="CM156" s="1700">
        <v>229.68</v>
      </c>
      <c r="CN156" s="1700">
        <v>233.59</v>
      </c>
      <c r="CO156" s="1705">
        <v>237.5</v>
      </c>
      <c r="CP156" s="1706">
        <v>241.4</v>
      </c>
      <c r="CQ156" s="1701">
        <v>245.31</v>
      </c>
      <c r="CR156" s="1701">
        <v>249.22</v>
      </c>
      <c r="CS156" s="1707">
        <v>253.12</v>
      </c>
      <c r="CT156" s="1700">
        <v>257.02999999999997</v>
      </c>
      <c r="CU156" s="1700">
        <v>260.94</v>
      </c>
      <c r="CV156" s="1700">
        <v>264.83999999999997</v>
      </c>
      <c r="CW156" s="1700">
        <v>268.75</v>
      </c>
      <c r="CX156" s="1700">
        <v>272.66000000000003</v>
      </c>
      <c r="CY156" s="1700">
        <v>276.56</v>
      </c>
      <c r="CZ156" s="1700">
        <v>280.47000000000003</v>
      </c>
      <c r="DA156" s="1700">
        <v>284.37</v>
      </c>
      <c r="DB156" s="1700">
        <v>288.27999999999997</v>
      </c>
      <c r="DC156" s="1700">
        <v>292.19</v>
      </c>
      <c r="DD156" s="1700">
        <v>296.08999999999997</v>
      </c>
      <c r="DE156" s="1700">
        <v>300</v>
      </c>
      <c r="DF156" s="1700">
        <v>303.91000000000003</v>
      </c>
      <c r="DG156" s="1700">
        <v>307.81</v>
      </c>
      <c r="DH156" s="1700">
        <v>311.72000000000003</v>
      </c>
      <c r="DI156" s="1700">
        <v>315.63</v>
      </c>
      <c r="DJ156" s="1700">
        <v>319.52999999999997</v>
      </c>
      <c r="DK156" s="1700">
        <v>323.44</v>
      </c>
      <c r="DL156" s="1700">
        <v>327.33999999999997</v>
      </c>
      <c r="DM156" s="1700">
        <v>331.25</v>
      </c>
      <c r="DN156" s="1700">
        <v>335.16</v>
      </c>
      <c r="DO156" s="1700">
        <v>339.06</v>
      </c>
      <c r="DP156" s="1700">
        <v>342.97</v>
      </c>
      <c r="DQ156" s="1700">
        <v>346.88</v>
      </c>
      <c r="DR156" s="1700">
        <v>350.78</v>
      </c>
      <c r="DS156" s="1700"/>
      <c r="DT156" s="1700"/>
      <c r="DU156" s="1700"/>
      <c r="DV156" s="1700"/>
      <c r="DW156" s="1700"/>
      <c r="DX156" s="1700"/>
    </row>
    <row r="157" spans="1:128">
      <c r="A157" s="1622"/>
      <c r="B157" s="1691">
        <f t="shared" si="14"/>
        <v>153</v>
      </c>
      <c r="C157" s="1668" t="str">
        <f t="shared" si="11"/>
        <v>410.77</v>
      </c>
      <c r="D157" s="1672">
        <f t="shared" si="12"/>
        <v>575.08000000000004</v>
      </c>
      <c r="E157" s="1670"/>
      <c r="F157" s="1671" t="str">
        <f t="shared" si="13"/>
        <v>258.26</v>
      </c>
      <c r="G157" s="1672">
        <f t="shared" si="10"/>
        <v>361.56</v>
      </c>
      <c r="H157" s="1670"/>
      <c r="I157" s="1670"/>
      <c r="J157" s="1708">
        <v>153</v>
      </c>
      <c r="K157" s="1693">
        <v>299.39</v>
      </c>
      <c r="L157" s="1693">
        <v>304.95999999999998</v>
      </c>
      <c r="M157" s="1693">
        <v>310.43</v>
      </c>
      <c r="N157" s="1693">
        <v>316.10000000000002</v>
      </c>
      <c r="O157" s="1693">
        <v>321.67</v>
      </c>
      <c r="P157" s="1694">
        <v>327.23</v>
      </c>
      <c r="Q157" s="1694">
        <v>332.8</v>
      </c>
      <c r="R157" s="1694">
        <v>338.37</v>
      </c>
      <c r="S157" s="1695">
        <v>343.94</v>
      </c>
      <c r="T157" s="1696">
        <v>349.51</v>
      </c>
      <c r="U157" s="1696">
        <v>355.08</v>
      </c>
      <c r="V157" s="1695">
        <v>360.65</v>
      </c>
      <c r="W157" s="1695">
        <v>366.22</v>
      </c>
      <c r="X157" s="1695">
        <v>371.79</v>
      </c>
      <c r="Y157" s="1697">
        <v>377.36</v>
      </c>
      <c r="Z157" s="1698">
        <v>382.93</v>
      </c>
      <c r="AA157" s="1699">
        <v>388.5</v>
      </c>
      <c r="AB157" s="1699">
        <v>394.06</v>
      </c>
      <c r="AC157" s="1699">
        <v>399.63</v>
      </c>
      <c r="AD157" s="1699">
        <v>405.2</v>
      </c>
      <c r="AE157" s="1699">
        <v>410.77</v>
      </c>
      <c r="AF157" s="1700">
        <v>338.78</v>
      </c>
      <c r="AG157" s="1700">
        <v>344.34</v>
      </c>
      <c r="AH157" s="1700">
        <v>349.91</v>
      </c>
      <c r="AI157" s="1700">
        <v>355.48</v>
      </c>
      <c r="AJ157" s="1701">
        <v>361.05</v>
      </c>
      <c r="AK157" s="1701">
        <v>366.62</v>
      </c>
      <c r="AL157" s="1701">
        <v>372.19</v>
      </c>
      <c r="AM157" s="1701">
        <v>377.76</v>
      </c>
      <c r="AN157" s="1701">
        <v>383.33</v>
      </c>
      <c r="AO157" s="1702">
        <v>388.9</v>
      </c>
      <c r="AP157" s="1700">
        <v>394.47</v>
      </c>
      <c r="AQ157" s="1700">
        <v>400.04</v>
      </c>
      <c r="AR157" s="1683">
        <v>405.61</v>
      </c>
      <c r="AS157" s="1700">
        <v>411.17</v>
      </c>
      <c r="AT157" s="1700">
        <v>416.74</v>
      </c>
      <c r="AU157" s="1700">
        <v>422.31</v>
      </c>
      <c r="AV157" s="1700">
        <v>427.88</v>
      </c>
      <c r="AW157" s="1700">
        <v>433.45</v>
      </c>
      <c r="AX157" s="1700">
        <v>439.02</v>
      </c>
      <c r="AY157" s="1700">
        <v>444.59</v>
      </c>
      <c r="AZ157" s="1700">
        <v>450.16</v>
      </c>
      <c r="BA157" s="1700">
        <v>455.73</v>
      </c>
      <c r="BB157" s="1683">
        <v>461.3</v>
      </c>
      <c r="BC157" s="1700">
        <v>466.87</v>
      </c>
      <c r="BD157" s="1700">
        <v>472.44</v>
      </c>
      <c r="BE157" s="1700">
        <v>478.01</v>
      </c>
      <c r="BF157" s="1700">
        <v>483.57</v>
      </c>
      <c r="BG157" s="1700">
        <v>489.14</v>
      </c>
      <c r="BH157" s="1700">
        <v>494.71</v>
      </c>
      <c r="BI157" s="1700">
        <v>500.28</v>
      </c>
      <c r="BJ157" s="1700">
        <v>505.85</v>
      </c>
      <c r="BK157" s="1700">
        <v>511.42</v>
      </c>
      <c r="BL157" s="1700">
        <v>516.99</v>
      </c>
      <c r="BM157" s="1700">
        <v>522.55999999999995</v>
      </c>
      <c r="BN157" s="1700"/>
      <c r="BO157" s="1703">
        <v>153</v>
      </c>
      <c r="BP157" s="1693">
        <v>179.61</v>
      </c>
      <c r="BQ157" s="1693">
        <v>183.55</v>
      </c>
      <c r="BR157" s="1693">
        <v>187.48</v>
      </c>
      <c r="BS157" s="1693">
        <v>191.41</v>
      </c>
      <c r="BT157" s="1693">
        <v>195.34</v>
      </c>
      <c r="BU157" s="1694">
        <v>199.28</v>
      </c>
      <c r="BV157" s="1694">
        <v>203.21</v>
      </c>
      <c r="BW157" s="1694">
        <v>207.14</v>
      </c>
      <c r="BX157" s="1695">
        <v>211.07</v>
      </c>
      <c r="BY157" s="1696">
        <v>215</v>
      </c>
      <c r="BZ157" s="1696">
        <v>218.94</v>
      </c>
      <c r="CA157" s="1695">
        <v>222.87</v>
      </c>
      <c r="CB157" s="1695">
        <v>226.8</v>
      </c>
      <c r="CC157" s="1704">
        <v>230.73</v>
      </c>
      <c r="CD157" s="1697">
        <v>234.66</v>
      </c>
      <c r="CE157" s="1698">
        <v>238.6</v>
      </c>
      <c r="CF157" s="1699">
        <v>242.53</v>
      </c>
      <c r="CG157" s="1699">
        <v>246.46</v>
      </c>
      <c r="CH157" s="1699">
        <v>250.39</v>
      </c>
      <c r="CI157" s="1699">
        <v>254.32</v>
      </c>
      <c r="CJ157" s="1699">
        <v>258.26</v>
      </c>
      <c r="CK157" s="1700">
        <v>223.32</v>
      </c>
      <c r="CL157" s="1700">
        <v>227.25</v>
      </c>
      <c r="CM157" s="1700">
        <v>231.19</v>
      </c>
      <c r="CN157" s="1700">
        <v>235.12</v>
      </c>
      <c r="CO157" s="1705">
        <v>239.05</v>
      </c>
      <c r="CP157" s="1706">
        <v>242.98</v>
      </c>
      <c r="CQ157" s="1701">
        <v>246.92</v>
      </c>
      <c r="CR157" s="1701">
        <v>250.85</v>
      </c>
      <c r="CS157" s="1707">
        <v>254.78</v>
      </c>
      <c r="CT157" s="1700">
        <v>258.70999999999998</v>
      </c>
      <c r="CU157" s="1700">
        <v>262.64</v>
      </c>
      <c r="CV157" s="1700">
        <v>266.58</v>
      </c>
      <c r="CW157" s="1700">
        <v>270.51</v>
      </c>
      <c r="CX157" s="1700">
        <v>274.44</v>
      </c>
      <c r="CY157" s="1700">
        <v>278.37</v>
      </c>
      <c r="CZ157" s="1700">
        <v>282.3</v>
      </c>
      <c r="DA157" s="1700">
        <v>286.24</v>
      </c>
      <c r="DB157" s="1700">
        <v>290.17</v>
      </c>
      <c r="DC157" s="1700">
        <v>294.10000000000002</v>
      </c>
      <c r="DD157" s="1700">
        <v>298.02999999999997</v>
      </c>
      <c r="DE157" s="1700">
        <v>301.95999999999998</v>
      </c>
      <c r="DF157" s="1700">
        <v>305.89999999999998</v>
      </c>
      <c r="DG157" s="1700">
        <v>309.83</v>
      </c>
      <c r="DH157" s="1700">
        <v>313.76</v>
      </c>
      <c r="DI157" s="1700">
        <v>317.69</v>
      </c>
      <c r="DJ157" s="1700">
        <v>321.63</v>
      </c>
      <c r="DK157" s="1700">
        <v>325.56</v>
      </c>
      <c r="DL157" s="1700">
        <v>329.49</v>
      </c>
      <c r="DM157" s="1700">
        <v>333.42</v>
      </c>
      <c r="DN157" s="1700">
        <v>337.35</v>
      </c>
      <c r="DO157" s="1700">
        <v>341.29</v>
      </c>
      <c r="DP157" s="1700">
        <v>345.22</v>
      </c>
      <c r="DQ157" s="1700">
        <v>349.15</v>
      </c>
      <c r="DR157" s="1700">
        <v>353.08</v>
      </c>
      <c r="DS157" s="1700"/>
      <c r="DT157" s="1700"/>
      <c r="DU157" s="1700"/>
      <c r="DV157" s="1700"/>
      <c r="DW157" s="1700"/>
      <c r="DX157" s="1700"/>
    </row>
    <row r="158" spans="1:128">
      <c r="A158" s="1622"/>
      <c r="B158" s="1691">
        <f t="shared" si="14"/>
        <v>154</v>
      </c>
      <c r="C158" s="1668" t="str">
        <f t="shared" si="11"/>
        <v>413.4</v>
      </c>
      <c r="D158" s="1672">
        <f t="shared" si="12"/>
        <v>578.76</v>
      </c>
      <c r="E158" s="1670"/>
      <c r="F158" s="1671" t="str">
        <f t="shared" si="13"/>
        <v>259.93</v>
      </c>
      <c r="G158" s="1672">
        <f t="shared" si="10"/>
        <v>363.9</v>
      </c>
      <c r="H158" s="1670"/>
      <c r="I158" s="1670"/>
      <c r="J158" s="1708">
        <v>154</v>
      </c>
      <c r="K158" s="1693">
        <v>301.29000000000002</v>
      </c>
      <c r="L158" s="1693">
        <v>306.89</v>
      </c>
      <c r="M158" s="1693">
        <v>312.5</v>
      </c>
      <c r="N158" s="1693">
        <v>318.11</v>
      </c>
      <c r="O158" s="1693">
        <v>323.70999999999998</v>
      </c>
      <c r="P158" s="1694">
        <v>329.32</v>
      </c>
      <c r="Q158" s="1694">
        <v>334.92</v>
      </c>
      <c r="R158" s="1694">
        <v>340.53</v>
      </c>
      <c r="S158" s="1695">
        <v>346.13</v>
      </c>
      <c r="T158" s="1696">
        <v>351.74</v>
      </c>
      <c r="U158" s="1696">
        <v>357.34</v>
      </c>
      <c r="V158" s="1695">
        <v>362.95</v>
      </c>
      <c r="W158" s="1695">
        <v>368.56</v>
      </c>
      <c r="X158" s="1695">
        <v>374.16</v>
      </c>
      <c r="Y158" s="1697">
        <v>379.77</v>
      </c>
      <c r="Z158" s="1698">
        <v>385.37</v>
      </c>
      <c r="AA158" s="1699">
        <v>390.98</v>
      </c>
      <c r="AB158" s="1699">
        <v>396.58</v>
      </c>
      <c r="AC158" s="1699">
        <v>402.19</v>
      </c>
      <c r="AD158" s="1699">
        <v>407.79</v>
      </c>
      <c r="AE158" s="1699">
        <v>413.4</v>
      </c>
      <c r="AF158" s="1683">
        <v>340.96</v>
      </c>
      <c r="AG158" s="1683">
        <v>346.56</v>
      </c>
      <c r="AH158" s="1683">
        <v>352.17</v>
      </c>
      <c r="AI158" s="1683">
        <v>357.77</v>
      </c>
      <c r="AJ158" s="1701">
        <v>363.38</v>
      </c>
      <c r="AK158" s="1701">
        <v>368.98</v>
      </c>
      <c r="AL158" s="1701">
        <v>374.59</v>
      </c>
      <c r="AM158" s="1701">
        <v>380.2</v>
      </c>
      <c r="AN158" s="1701">
        <v>385.8</v>
      </c>
      <c r="AO158" s="1702">
        <v>391.41</v>
      </c>
      <c r="AP158" s="1700">
        <v>397.01</v>
      </c>
      <c r="AQ158" s="1700">
        <v>402.62</v>
      </c>
      <c r="AR158" s="1700">
        <v>408.22</v>
      </c>
      <c r="AS158" s="1700">
        <v>413.83</v>
      </c>
      <c r="AT158" s="1683">
        <v>419.44</v>
      </c>
      <c r="AU158" s="1700">
        <v>425.04</v>
      </c>
      <c r="AV158" s="1700">
        <v>430.65</v>
      </c>
      <c r="AW158" s="1683">
        <v>436.25</v>
      </c>
      <c r="AX158" s="1683">
        <v>441.86</v>
      </c>
      <c r="AY158" s="1683">
        <v>447.46</v>
      </c>
      <c r="AZ158" s="1683">
        <v>453.07</v>
      </c>
      <c r="BA158" s="1683">
        <v>458.67</v>
      </c>
      <c r="BB158" s="1700">
        <v>464.28</v>
      </c>
      <c r="BC158" s="1683">
        <v>469.89</v>
      </c>
      <c r="BD158" s="1683">
        <v>475.49</v>
      </c>
      <c r="BE158" s="1683">
        <v>481.1</v>
      </c>
      <c r="BF158" s="1683">
        <v>486.7</v>
      </c>
      <c r="BG158" s="1683">
        <v>492.31</v>
      </c>
      <c r="BH158" s="1683">
        <v>497.91</v>
      </c>
      <c r="BI158" s="1683">
        <v>503.52</v>
      </c>
      <c r="BJ158" s="1683">
        <v>509.12</v>
      </c>
      <c r="BK158" s="1683">
        <v>514.73</v>
      </c>
      <c r="BL158" s="1683">
        <v>520.34</v>
      </c>
      <c r="BM158" s="1683">
        <v>525.94000000000005</v>
      </c>
      <c r="BN158" s="1683"/>
      <c r="BO158" s="1703">
        <v>154</v>
      </c>
      <c r="BP158" s="1693">
        <v>180.78</v>
      </c>
      <c r="BQ158" s="1693">
        <v>184.73</v>
      </c>
      <c r="BR158" s="1693">
        <v>188.69</v>
      </c>
      <c r="BS158" s="1693">
        <v>192.65</v>
      </c>
      <c r="BT158" s="1693">
        <v>196.61</v>
      </c>
      <c r="BU158" s="1694">
        <v>200.56</v>
      </c>
      <c r="BV158" s="1694">
        <v>204.52</v>
      </c>
      <c r="BW158" s="1694">
        <v>208.48</v>
      </c>
      <c r="BX158" s="1695">
        <v>212.44</v>
      </c>
      <c r="BY158" s="1696">
        <v>216.4</v>
      </c>
      <c r="BZ158" s="1696">
        <v>220.35</v>
      </c>
      <c r="CA158" s="1695">
        <v>224.31</v>
      </c>
      <c r="CB158" s="1695">
        <v>228.27</v>
      </c>
      <c r="CC158" s="1704">
        <v>232.23</v>
      </c>
      <c r="CD158" s="1697">
        <v>236.18</v>
      </c>
      <c r="CE158" s="1698">
        <v>240.14</v>
      </c>
      <c r="CF158" s="1699">
        <v>244.1</v>
      </c>
      <c r="CG158" s="1699">
        <v>248.06</v>
      </c>
      <c r="CH158" s="1699">
        <v>252.02</v>
      </c>
      <c r="CI158" s="1699">
        <v>255.97</v>
      </c>
      <c r="CJ158" s="1699">
        <v>259.93</v>
      </c>
      <c r="CK158" s="1700">
        <v>224.77</v>
      </c>
      <c r="CL158" s="1700">
        <v>228.73</v>
      </c>
      <c r="CM158" s="1700">
        <v>232.69</v>
      </c>
      <c r="CN158" s="1700">
        <v>236.65</v>
      </c>
      <c r="CO158" s="1705">
        <v>240.61</v>
      </c>
      <c r="CP158" s="1706">
        <v>244.56</v>
      </c>
      <c r="CQ158" s="1701">
        <v>248.52</v>
      </c>
      <c r="CR158" s="1701">
        <v>252.48</v>
      </c>
      <c r="CS158" s="1707">
        <v>256.44</v>
      </c>
      <c r="CT158" s="1700">
        <v>260.39</v>
      </c>
      <c r="CU158" s="1700">
        <v>264.35000000000002</v>
      </c>
      <c r="CV158" s="1700">
        <v>268.31</v>
      </c>
      <c r="CW158" s="1700">
        <v>272.27</v>
      </c>
      <c r="CX158" s="1700">
        <v>276.23</v>
      </c>
      <c r="CY158" s="1700">
        <v>280.18</v>
      </c>
      <c r="CZ158" s="1700">
        <v>284.14</v>
      </c>
      <c r="DA158" s="1700">
        <v>288.10000000000002</v>
      </c>
      <c r="DB158" s="1700">
        <v>292.06</v>
      </c>
      <c r="DC158" s="1700">
        <v>296.01</v>
      </c>
      <c r="DD158" s="1700">
        <v>299.97000000000003</v>
      </c>
      <c r="DE158" s="1700">
        <v>303.93</v>
      </c>
      <c r="DF158" s="1700">
        <v>307.89</v>
      </c>
      <c r="DG158" s="1700">
        <v>311.85000000000002</v>
      </c>
      <c r="DH158" s="1700">
        <v>315.8</v>
      </c>
      <c r="DI158" s="1700">
        <v>319.76</v>
      </c>
      <c r="DJ158" s="1700">
        <v>323.72000000000003</v>
      </c>
      <c r="DK158" s="1700">
        <v>327.68</v>
      </c>
      <c r="DL158" s="1700">
        <v>331.63</v>
      </c>
      <c r="DM158" s="1700">
        <v>335.59</v>
      </c>
      <c r="DN158" s="1700">
        <v>339.55</v>
      </c>
      <c r="DO158" s="1700">
        <v>343.51</v>
      </c>
      <c r="DP158" s="1700">
        <v>347.47</v>
      </c>
      <c r="DQ158" s="1700">
        <v>351.42</v>
      </c>
      <c r="DR158" s="1700">
        <v>355.38</v>
      </c>
      <c r="DS158" s="1700"/>
      <c r="DT158" s="1700"/>
      <c r="DU158" s="1700"/>
      <c r="DV158" s="1700"/>
      <c r="DW158" s="1700"/>
      <c r="DX158" s="1700"/>
    </row>
    <row r="159" spans="1:128">
      <c r="A159" s="1622"/>
      <c r="B159" s="1691">
        <f t="shared" si="14"/>
        <v>155</v>
      </c>
      <c r="C159" s="1668" t="str">
        <f t="shared" si="11"/>
        <v>416.03</v>
      </c>
      <c r="D159" s="1672">
        <f t="shared" si="12"/>
        <v>582.44000000000005</v>
      </c>
      <c r="E159" s="1670"/>
      <c r="F159" s="1671" t="str">
        <f t="shared" si="13"/>
        <v>261.61</v>
      </c>
      <c r="G159" s="1672">
        <f t="shared" si="10"/>
        <v>366.25</v>
      </c>
      <c r="H159" s="1670"/>
      <c r="I159" s="1670"/>
      <c r="J159" s="1708">
        <v>155</v>
      </c>
      <c r="K159" s="1693">
        <v>303.19</v>
      </c>
      <c r="L159" s="1693">
        <v>308.83999999999997</v>
      </c>
      <c r="M159" s="1693">
        <v>314.48</v>
      </c>
      <c r="N159" s="1693">
        <v>320.12</v>
      </c>
      <c r="O159" s="1693">
        <v>325.76</v>
      </c>
      <c r="P159" s="1694">
        <v>331.4</v>
      </c>
      <c r="Q159" s="1694">
        <v>337.05</v>
      </c>
      <c r="R159" s="1694">
        <v>342.69</v>
      </c>
      <c r="S159" s="1695">
        <v>348.33</v>
      </c>
      <c r="T159" s="1696">
        <v>353.97</v>
      </c>
      <c r="U159" s="1696">
        <v>359.61</v>
      </c>
      <c r="V159" s="1695">
        <v>365.26</v>
      </c>
      <c r="W159" s="1695">
        <v>370.9</v>
      </c>
      <c r="X159" s="1695">
        <v>376.54</v>
      </c>
      <c r="Y159" s="1697">
        <v>382.18</v>
      </c>
      <c r="Z159" s="1698">
        <v>387.82</v>
      </c>
      <c r="AA159" s="1699">
        <v>393.47</v>
      </c>
      <c r="AB159" s="1699">
        <v>399.11</v>
      </c>
      <c r="AC159" s="1699">
        <v>404.75</v>
      </c>
      <c r="AD159" s="1699">
        <v>410.39</v>
      </c>
      <c r="AE159" s="1699">
        <v>416.03</v>
      </c>
      <c r="AF159" s="1700">
        <v>343.14</v>
      </c>
      <c r="AG159" s="1700">
        <v>348.78</v>
      </c>
      <c r="AH159" s="1700">
        <v>354.42</v>
      </c>
      <c r="AI159" s="1700">
        <v>360.07</v>
      </c>
      <c r="AJ159" s="1701">
        <v>365.71</v>
      </c>
      <c r="AK159" s="1701">
        <v>371.35</v>
      </c>
      <c r="AL159" s="1701">
        <v>376.99</v>
      </c>
      <c r="AM159" s="1701">
        <v>382.63</v>
      </c>
      <c r="AN159" s="1701">
        <v>388.28</v>
      </c>
      <c r="AO159" s="1702">
        <v>393.92</v>
      </c>
      <c r="AP159" s="1700">
        <v>399.56</v>
      </c>
      <c r="AQ159" s="1700">
        <v>405.2</v>
      </c>
      <c r="AR159" s="1683">
        <v>410.84</v>
      </c>
      <c r="AS159" s="1700">
        <v>416.49</v>
      </c>
      <c r="AT159" s="1700">
        <v>422.13</v>
      </c>
      <c r="AU159" s="1700">
        <v>427.77</v>
      </c>
      <c r="AV159" s="1683">
        <v>433.41</v>
      </c>
      <c r="AW159" s="1700">
        <v>439.05</v>
      </c>
      <c r="AX159" s="1700">
        <v>444.7</v>
      </c>
      <c r="AY159" s="1700">
        <v>450.34</v>
      </c>
      <c r="AZ159" s="1700">
        <v>455.98</v>
      </c>
      <c r="BA159" s="1700">
        <v>461.62</v>
      </c>
      <c r="BB159" s="1700">
        <v>467.26</v>
      </c>
      <c r="BC159" s="1700">
        <v>472.91</v>
      </c>
      <c r="BD159" s="1700">
        <v>478.55</v>
      </c>
      <c r="BE159" s="1700">
        <v>484.19</v>
      </c>
      <c r="BF159" s="1700">
        <v>489.83</v>
      </c>
      <c r="BG159" s="1700">
        <v>495.47</v>
      </c>
      <c r="BH159" s="1700">
        <v>501.12</v>
      </c>
      <c r="BI159" s="1700">
        <v>506.76</v>
      </c>
      <c r="BJ159" s="1700">
        <v>512.4</v>
      </c>
      <c r="BK159" s="1700">
        <v>518.04</v>
      </c>
      <c r="BL159" s="1700">
        <v>523.67999999999995</v>
      </c>
      <c r="BM159" s="1700">
        <v>529.33000000000004</v>
      </c>
      <c r="BN159" s="1700"/>
      <c r="BO159" s="1703">
        <v>155</v>
      </c>
      <c r="BP159" s="1693">
        <v>181.94</v>
      </c>
      <c r="BQ159" s="1693">
        <v>185.92</v>
      </c>
      <c r="BR159" s="1693">
        <v>189.9</v>
      </c>
      <c r="BS159" s="1693">
        <v>193.89</v>
      </c>
      <c r="BT159" s="1693">
        <v>197.87</v>
      </c>
      <c r="BU159" s="1694">
        <v>201.86</v>
      </c>
      <c r="BV159" s="1694">
        <v>205.84</v>
      </c>
      <c r="BW159" s="1694">
        <v>209.82</v>
      </c>
      <c r="BX159" s="1695">
        <v>213.81</v>
      </c>
      <c r="BY159" s="1696">
        <v>217.79</v>
      </c>
      <c r="BZ159" s="1696">
        <v>221.77</v>
      </c>
      <c r="CA159" s="1695">
        <v>225.76</v>
      </c>
      <c r="CB159" s="1695">
        <v>229.74</v>
      </c>
      <c r="CC159" s="1704">
        <v>233.72</v>
      </c>
      <c r="CD159" s="1697">
        <v>237.71</v>
      </c>
      <c r="CE159" s="1698">
        <v>241.69</v>
      </c>
      <c r="CF159" s="1699">
        <v>245.67</v>
      </c>
      <c r="CG159" s="1699">
        <v>249.66</v>
      </c>
      <c r="CH159" s="1699">
        <v>253.64</v>
      </c>
      <c r="CI159" s="1699">
        <v>257.62</v>
      </c>
      <c r="CJ159" s="1699">
        <v>261.61</v>
      </c>
      <c r="CK159" s="1700">
        <v>226.23</v>
      </c>
      <c r="CL159" s="1700">
        <v>230.21</v>
      </c>
      <c r="CM159" s="1700">
        <v>234.19</v>
      </c>
      <c r="CN159" s="1700">
        <v>238.18</v>
      </c>
      <c r="CO159" s="1705">
        <v>242.16</v>
      </c>
      <c r="CP159" s="1706">
        <v>246.14</v>
      </c>
      <c r="CQ159" s="1701">
        <v>250.13</v>
      </c>
      <c r="CR159" s="1701">
        <v>254.11</v>
      </c>
      <c r="CS159" s="1707">
        <v>258.08999999999997</v>
      </c>
      <c r="CT159" s="1700">
        <v>262.08</v>
      </c>
      <c r="CU159" s="1700">
        <v>266.06</v>
      </c>
      <c r="CV159" s="1700">
        <v>270.05</v>
      </c>
      <c r="CW159" s="1700">
        <v>274.02999999999997</v>
      </c>
      <c r="CX159" s="1700">
        <v>278.01</v>
      </c>
      <c r="CY159" s="1700">
        <v>282</v>
      </c>
      <c r="CZ159" s="1700">
        <v>285.98</v>
      </c>
      <c r="DA159" s="1700">
        <v>289.95999999999998</v>
      </c>
      <c r="DB159" s="1700">
        <v>293.95</v>
      </c>
      <c r="DC159" s="1700">
        <v>297.93</v>
      </c>
      <c r="DD159" s="1700">
        <v>301.91000000000003</v>
      </c>
      <c r="DE159" s="1700">
        <v>305.89999999999998</v>
      </c>
      <c r="DF159" s="1700">
        <v>309.88</v>
      </c>
      <c r="DG159" s="1700">
        <v>313.86</v>
      </c>
      <c r="DH159" s="1700">
        <v>317.85000000000002</v>
      </c>
      <c r="DI159" s="1700">
        <v>321.83</v>
      </c>
      <c r="DJ159" s="1700">
        <v>325.81</v>
      </c>
      <c r="DK159" s="1700">
        <v>329.8</v>
      </c>
      <c r="DL159" s="1700">
        <v>333.78</v>
      </c>
      <c r="DM159" s="1700">
        <v>337.76</v>
      </c>
      <c r="DN159" s="1700">
        <v>341.75</v>
      </c>
      <c r="DO159" s="1700">
        <v>345.73</v>
      </c>
      <c r="DP159" s="1700">
        <v>349.72</v>
      </c>
      <c r="DQ159" s="1700">
        <v>353.7</v>
      </c>
      <c r="DR159" s="1700">
        <v>357.68</v>
      </c>
      <c r="DS159" s="1700"/>
      <c r="DT159" s="1700"/>
      <c r="DU159" s="1700"/>
      <c r="DV159" s="1700"/>
      <c r="DW159" s="1700"/>
      <c r="DX159" s="1700"/>
    </row>
    <row r="160" spans="1:128">
      <c r="A160" s="1622"/>
      <c r="B160" s="1691">
        <f t="shared" si="14"/>
        <v>156</v>
      </c>
      <c r="C160" s="1668" t="str">
        <f t="shared" si="11"/>
        <v>418.67</v>
      </c>
      <c r="D160" s="1672">
        <f t="shared" si="12"/>
        <v>586.14</v>
      </c>
      <c r="E160" s="1670"/>
      <c r="F160" s="1671" t="str">
        <f t="shared" si="13"/>
        <v>263.29</v>
      </c>
      <c r="G160" s="1672">
        <f t="shared" si="10"/>
        <v>368.61</v>
      </c>
      <c r="H160" s="1670"/>
      <c r="I160" s="1670"/>
      <c r="J160" s="1708">
        <v>156</v>
      </c>
      <c r="K160" s="1693">
        <v>305.10000000000002</v>
      </c>
      <c r="L160" s="1693">
        <v>310.77999999999997</v>
      </c>
      <c r="M160" s="1693">
        <v>316.45999999999998</v>
      </c>
      <c r="N160" s="1693">
        <v>322.14</v>
      </c>
      <c r="O160" s="1693">
        <v>327.82</v>
      </c>
      <c r="P160" s="1694">
        <v>333.49</v>
      </c>
      <c r="Q160" s="1694">
        <v>339.17</v>
      </c>
      <c r="R160" s="1694">
        <v>344.85</v>
      </c>
      <c r="S160" s="1695">
        <v>350.53</v>
      </c>
      <c r="T160" s="1696">
        <v>356.21</v>
      </c>
      <c r="U160" s="1696">
        <v>361.89</v>
      </c>
      <c r="V160" s="1695">
        <v>367.57</v>
      </c>
      <c r="W160" s="1695">
        <v>373.24</v>
      </c>
      <c r="X160" s="1695">
        <v>378.92</v>
      </c>
      <c r="Y160" s="1697">
        <v>384.6</v>
      </c>
      <c r="Z160" s="1698">
        <v>390.28</v>
      </c>
      <c r="AA160" s="1699">
        <v>395.96</v>
      </c>
      <c r="AB160" s="1699">
        <v>401.64</v>
      </c>
      <c r="AC160" s="1699">
        <v>407.31</v>
      </c>
      <c r="AD160" s="1699">
        <v>412.99</v>
      </c>
      <c r="AE160" s="1699">
        <v>418.67</v>
      </c>
      <c r="AF160" s="1700">
        <v>345.33</v>
      </c>
      <c r="AG160" s="1700">
        <v>351.01</v>
      </c>
      <c r="AH160" s="1700">
        <v>356.68</v>
      </c>
      <c r="AI160" s="1700">
        <v>362.36</v>
      </c>
      <c r="AJ160" s="1701">
        <v>368.04</v>
      </c>
      <c r="AK160" s="1701">
        <v>373.72</v>
      </c>
      <c r="AL160" s="1701">
        <v>379.4</v>
      </c>
      <c r="AM160" s="1701">
        <v>385.08</v>
      </c>
      <c r="AN160" s="1701">
        <v>390.75</v>
      </c>
      <c r="AO160" s="1702">
        <v>396.43</v>
      </c>
      <c r="AP160" s="1700">
        <v>402.11</v>
      </c>
      <c r="AQ160" s="1700">
        <v>407.79</v>
      </c>
      <c r="AR160" s="1700">
        <v>413.47</v>
      </c>
      <c r="AS160" s="1700">
        <v>419.15</v>
      </c>
      <c r="AT160" s="1700">
        <v>424.82</v>
      </c>
      <c r="AU160" s="1700">
        <v>430.5</v>
      </c>
      <c r="AV160" s="1700">
        <v>436.18</v>
      </c>
      <c r="AW160" s="1700">
        <v>441.86</v>
      </c>
      <c r="AX160" s="1700">
        <v>447.54</v>
      </c>
      <c r="AY160" s="1700">
        <v>453.22</v>
      </c>
      <c r="AZ160" s="1700">
        <v>458.9</v>
      </c>
      <c r="BA160" s="1700">
        <v>464.57</v>
      </c>
      <c r="BB160" s="1683">
        <v>470.25</v>
      </c>
      <c r="BC160" s="1700">
        <v>475.93</v>
      </c>
      <c r="BD160" s="1700">
        <v>481.51</v>
      </c>
      <c r="BE160" s="1700">
        <v>487.29</v>
      </c>
      <c r="BF160" s="1700">
        <v>492.97</v>
      </c>
      <c r="BG160" s="1700">
        <v>498.64</v>
      </c>
      <c r="BH160" s="1700">
        <v>504.32</v>
      </c>
      <c r="BI160" s="1700">
        <v>510</v>
      </c>
      <c r="BJ160" s="1700">
        <v>515.67999999999995</v>
      </c>
      <c r="BK160" s="1700">
        <v>521.36</v>
      </c>
      <c r="BL160" s="1700">
        <v>527.04</v>
      </c>
      <c r="BM160" s="1700">
        <v>532.71</v>
      </c>
      <c r="BN160" s="1700"/>
      <c r="BO160" s="1703">
        <v>156</v>
      </c>
      <c r="BP160" s="1693">
        <v>183.1</v>
      </c>
      <c r="BQ160" s="1693">
        <v>187.11</v>
      </c>
      <c r="BR160" s="1693">
        <v>191.12</v>
      </c>
      <c r="BS160" s="1693">
        <v>195.13</v>
      </c>
      <c r="BT160" s="1693">
        <v>199.14</v>
      </c>
      <c r="BU160" s="1694">
        <v>203.15</v>
      </c>
      <c r="BV160" s="1694">
        <v>207.16</v>
      </c>
      <c r="BW160" s="1694">
        <v>211.17</v>
      </c>
      <c r="BX160" s="1695">
        <v>215.17</v>
      </c>
      <c r="BY160" s="1696">
        <v>219.18</v>
      </c>
      <c r="BZ160" s="1696">
        <v>223.19</v>
      </c>
      <c r="CA160" s="1695">
        <v>227.2</v>
      </c>
      <c r="CB160" s="1695">
        <v>231.21</v>
      </c>
      <c r="CC160" s="1704">
        <v>235.22</v>
      </c>
      <c r="CD160" s="1697">
        <v>239.23</v>
      </c>
      <c r="CE160" s="1698">
        <v>243.24</v>
      </c>
      <c r="CF160" s="1699">
        <v>247.25</v>
      </c>
      <c r="CG160" s="1699">
        <v>251.26</v>
      </c>
      <c r="CH160" s="1699">
        <v>255.27</v>
      </c>
      <c r="CI160" s="1699">
        <v>259.27999999999997</v>
      </c>
      <c r="CJ160" s="1699">
        <v>263.29000000000002</v>
      </c>
      <c r="CK160" s="1700">
        <v>227.68</v>
      </c>
      <c r="CL160" s="1700">
        <v>231.69</v>
      </c>
      <c r="CM160" s="1700">
        <v>235.7</v>
      </c>
      <c r="CN160" s="1700">
        <v>239.71</v>
      </c>
      <c r="CO160" s="1705">
        <v>243.72</v>
      </c>
      <c r="CP160" s="1706">
        <v>247.73</v>
      </c>
      <c r="CQ160" s="1701">
        <v>251.73</v>
      </c>
      <c r="CR160" s="1701">
        <v>255.74</v>
      </c>
      <c r="CS160" s="1707">
        <v>259.75</v>
      </c>
      <c r="CT160" s="1700">
        <v>263.76</v>
      </c>
      <c r="CU160" s="1700">
        <v>267.77</v>
      </c>
      <c r="CV160" s="1700">
        <v>271.77999999999997</v>
      </c>
      <c r="CW160" s="1700">
        <v>275.79000000000002</v>
      </c>
      <c r="CX160" s="1700">
        <v>279.8</v>
      </c>
      <c r="CY160" s="1700">
        <v>283.81</v>
      </c>
      <c r="CZ160" s="1700">
        <v>287.82</v>
      </c>
      <c r="DA160" s="1700">
        <v>291.83</v>
      </c>
      <c r="DB160" s="1700">
        <v>295.83999999999997</v>
      </c>
      <c r="DC160" s="1700">
        <v>299.85000000000002</v>
      </c>
      <c r="DD160" s="1700">
        <v>303.85000000000002</v>
      </c>
      <c r="DE160" s="1700">
        <v>307.86</v>
      </c>
      <c r="DF160" s="1700">
        <v>311.87</v>
      </c>
      <c r="DG160" s="1700">
        <v>315.88</v>
      </c>
      <c r="DH160" s="1700">
        <v>319.89</v>
      </c>
      <c r="DI160" s="1700">
        <v>323.89999999999998</v>
      </c>
      <c r="DJ160" s="1700">
        <v>327.91</v>
      </c>
      <c r="DK160" s="1700">
        <v>331.92</v>
      </c>
      <c r="DL160" s="1700">
        <v>335.93</v>
      </c>
      <c r="DM160" s="1700">
        <v>339.94</v>
      </c>
      <c r="DN160" s="1700">
        <v>343.95</v>
      </c>
      <c r="DO160" s="1700">
        <v>347.96</v>
      </c>
      <c r="DP160" s="1700">
        <v>351.96</v>
      </c>
      <c r="DQ160" s="1700">
        <v>355.97</v>
      </c>
      <c r="DR160" s="1700">
        <v>359.98</v>
      </c>
      <c r="DS160" s="1700"/>
      <c r="DT160" s="1700"/>
      <c r="DU160" s="1700"/>
      <c r="DV160" s="1700"/>
      <c r="DW160" s="1700"/>
      <c r="DX160" s="1700"/>
    </row>
    <row r="161" spans="1:128">
      <c r="A161" s="1622"/>
      <c r="B161" s="1691">
        <f t="shared" si="14"/>
        <v>157</v>
      </c>
      <c r="C161" s="1668" t="str">
        <f t="shared" si="11"/>
        <v>421.31</v>
      </c>
      <c r="D161" s="1672">
        <f t="shared" si="12"/>
        <v>589.83000000000004</v>
      </c>
      <c r="E161" s="1670"/>
      <c r="F161" s="1671" t="str">
        <f t="shared" si="13"/>
        <v>264.96</v>
      </c>
      <c r="G161" s="1672">
        <f t="shared" si="10"/>
        <v>370.94</v>
      </c>
      <c r="H161" s="1670"/>
      <c r="I161" s="1670"/>
      <c r="J161" s="1708">
        <v>157</v>
      </c>
      <c r="K161" s="1693">
        <v>307.02</v>
      </c>
      <c r="L161" s="1693">
        <v>312.73</v>
      </c>
      <c r="M161" s="1693">
        <v>318.45</v>
      </c>
      <c r="N161" s="1693">
        <v>324.16000000000003</v>
      </c>
      <c r="O161" s="1693">
        <v>329.88</v>
      </c>
      <c r="P161" s="1694">
        <v>335.59</v>
      </c>
      <c r="Q161" s="1694">
        <v>341.31</v>
      </c>
      <c r="R161" s="1694">
        <v>347.02</v>
      </c>
      <c r="S161" s="1695">
        <v>352.74</v>
      </c>
      <c r="T161" s="1696">
        <v>358.45</v>
      </c>
      <c r="U161" s="1696">
        <v>364.16</v>
      </c>
      <c r="V161" s="1695">
        <v>369.88</v>
      </c>
      <c r="W161" s="1695">
        <v>375.59</v>
      </c>
      <c r="X161" s="1695">
        <v>381.31</v>
      </c>
      <c r="Y161" s="1697">
        <v>387.02</v>
      </c>
      <c r="Z161" s="1698">
        <v>392.74</v>
      </c>
      <c r="AA161" s="1699">
        <v>398.45</v>
      </c>
      <c r="AB161" s="1699">
        <v>404.17</v>
      </c>
      <c r="AC161" s="1699">
        <v>409.88</v>
      </c>
      <c r="AD161" s="1699">
        <v>415.6</v>
      </c>
      <c r="AE161" s="1699">
        <v>421.31</v>
      </c>
      <c r="AF161" s="1683">
        <v>347.52</v>
      </c>
      <c r="AG161" s="1683">
        <v>353.23</v>
      </c>
      <c r="AH161" s="1683">
        <v>358.95</v>
      </c>
      <c r="AI161" s="1683">
        <v>364.66</v>
      </c>
      <c r="AJ161" s="1701">
        <v>370.38</v>
      </c>
      <c r="AK161" s="1701">
        <v>376.09</v>
      </c>
      <c r="AL161" s="1701">
        <v>381.81</v>
      </c>
      <c r="AM161" s="1701">
        <v>387.52</v>
      </c>
      <c r="AN161" s="1701">
        <v>393.23</v>
      </c>
      <c r="AO161" s="1702">
        <v>398.95</v>
      </c>
      <c r="AP161" s="1700">
        <v>404.66</v>
      </c>
      <c r="AQ161" s="1700">
        <v>410.38</v>
      </c>
      <c r="AR161" s="1683">
        <v>416.09</v>
      </c>
      <c r="AS161" s="1700">
        <v>421.81</v>
      </c>
      <c r="AT161" s="1683">
        <v>427.52</v>
      </c>
      <c r="AU161" s="1700">
        <v>433.24</v>
      </c>
      <c r="AV161" s="1700">
        <v>438.95</v>
      </c>
      <c r="AW161" s="1683">
        <v>444.67</v>
      </c>
      <c r="AX161" s="1683">
        <v>450.38</v>
      </c>
      <c r="AY161" s="1683">
        <v>456.1</v>
      </c>
      <c r="AZ161" s="1683">
        <v>461.81</v>
      </c>
      <c r="BA161" s="1683">
        <v>467.53</v>
      </c>
      <c r="BB161" s="1700">
        <v>473.24</v>
      </c>
      <c r="BC161" s="1683">
        <v>478.96</v>
      </c>
      <c r="BD161" s="1683">
        <v>484.67</v>
      </c>
      <c r="BE161" s="1683">
        <v>490.39</v>
      </c>
      <c r="BF161" s="1683">
        <v>496.1</v>
      </c>
      <c r="BG161" s="1683">
        <v>501.82</v>
      </c>
      <c r="BH161" s="1683">
        <v>507.53</v>
      </c>
      <c r="BI161" s="1683">
        <v>513.25</v>
      </c>
      <c r="BJ161" s="1683">
        <v>518.96</v>
      </c>
      <c r="BK161" s="1683">
        <v>524.67999999999995</v>
      </c>
      <c r="BL161" s="1683">
        <v>530.39</v>
      </c>
      <c r="BM161" s="1683">
        <v>536.1</v>
      </c>
      <c r="BN161" s="1683"/>
      <c r="BO161" s="1703">
        <v>157</v>
      </c>
      <c r="BP161" s="1693">
        <v>184.27</v>
      </c>
      <c r="BQ161" s="1693">
        <v>188.3</v>
      </c>
      <c r="BR161" s="1693">
        <v>192.34</v>
      </c>
      <c r="BS161" s="1693">
        <v>196.37</v>
      </c>
      <c r="BT161" s="1693">
        <v>200.41</v>
      </c>
      <c r="BU161" s="1694">
        <v>204.44</v>
      </c>
      <c r="BV161" s="1694">
        <v>208.48</v>
      </c>
      <c r="BW161" s="1694">
        <v>212.51</v>
      </c>
      <c r="BX161" s="1695">
        <v>216.55</v>
      </c>
      <c r="BY161" s="1696">
        <v>220.58</v>
      </c>
      <c r="BZ161" s="1696">
        <v>224.62</v>
      </c>
      <c r="CA161" s="1695">
        <v>228.65</v>
      </c>
      <c r="CB161" s="1695">
        <v>232.68</v>
      </c>
      <c r="CC161" s="1704">
        <v>236.72</v>
      </c>
      <c r="CD161" s="1697">
        <v>240.75</v>
      </c>
      <c r="CE161" s="1698">
        <v>244.79</v>
      </c>
      <c r="CF161" s="1699">
        <v>248.82</v>
      </c>
      <c r="CG161" s="1699">
        <v>252.86</v>
      </c>
      <c r="CH161" s="1699">
        <v>256.89</v>
      </c>
      <c r="CI161" s="1699">
        <v>260.93</v>
      </c>
      <c r="CJ161" s="1699">
        <v>264.95999999999998</v>
      </c>
      <c r="CK161" s="1700">
        <v>229.13</v>
      </c>
      <c r="CL161" s="1700">
        <v>233.17</v>
      </c>
      <c r="CM161" s="1700">
        <v>237.2</v>
      </c>
      <c r="CN161" s="1700">
        <v>241.24</v>
      </c>
      <c r="CO161" s="1705">
        <v>245.27</v>
      </c>
      <c r="CP161" s="1706">
        <v>249.31</v>
      </c>
      <c r="CQ161" s="1701">
        <v>253.34</v>
      </c>
      <c r="CR161" s="1701">
        <v>257.38</v>
      </c>
      <c r="CS161" s="1707">
        <v>261.41000000000003</v>
      </c>
      <c r="CT161" s="1700">
        <v>265.45</v>
      </c>
      <c r="CU161" s="1700">
        <v>269.48</v>
      </c>
      <c r="CV161" s="1700">
        <v>273.52</v>
      </c>
      <c r="CW161" s="1700">
        <v>277.55</v>
      </c>
      <c r="CX161" s="1700">
        <v>281.58999999999997</v>
      </c>
      <c r="CY161" s="1700">
        <v>285.62</v>
      </c>
      <c r="CZ161" s="1700">
        <v>289.66000000000003</v>
      </c>
      <c r="DA161" s="1700">
        <v>293.69</v>
      </c>
      <c r="DB161" s="1700">
        <v>297.73</v>
      </c>
      <c r="DC161" s="1700">
        <v>301.76</v>
      </c>
      <c r="DD161" s="1700">
        <v>305.8</v>
      </c>
      <c r="DE161" s="1700">
        <v>309.83</v>
      </c>
      <c r="DF161" s="1700">
        <v>313.87</v>
      </c>
      <c r="DG161" s="1700">
        <v>317.89999999999998</v>
      </c>
      <c r="DH161" s="1700">
        <v>321.94</v>
      </c>
      <c r="DI161" s="1700">
        <v>325.97000000000003</v>
      </c>
      <c r="DJ161" s="1700">
        <v>330.01</v>
      </c>
      <c r="DK161" s="1700">
        <v>334.04</v>
      </c>
      <c r="DL161" s="1700">
        <v>338.08</v>
      </c>
      <c r="DM161" s="1700">
        <v>342.11</v>
      </c>
      <c r="DN161" s="1700">
        <v>346.15</v>
      </c>
      <c r="DO161" s="1700">
        <v>350.18</v>
      </c>
      <c r="DP161" s="1700">
        <v>354.22</v>
      </c>
      <c r="DQ161" s="1700">
        <v>358.25</v>
      </c>
      <c r="DR161" s="1700">
        <v>362.29</v>
      </c>
      <c r="DS161" s="1700"/>
      <c r="DT161" s="1700"/>
      <c r="DU161" s="1700"/>
      <c r="DV161" s="1700"/>
      <c r="DW161" s="1700"/>
      <c r="DX161" s="1700"/>
    </row>
    <row r="162" spans="1:128">
      <c r="A162" s="1622"/>
      <c r="B162" s="1691">
        <f t="shared" si="14"/>
        <v>158</v>
      </c>
      <c r="C162" s="1668" t="str">
        <f t="shared" si="11"/>
        <v>424.38</v>
      </c>
      <c r="D162" s="1672">
        <f t="shared" si="12"/>
        <v>594.13</v>
      </c>
      <c r="E162" s="1670"/>
      <c r="F162" s="1671" t="str">
        <f t="shared" si="13"/>
        <v>266.64</v>
      </c>
      <c r="G162" s="1672">
        <f t="shared" si="10"/>
        <v>373.3</v>
      </c>
      <c r="H162" s="1670"/>
      <c r="I162" s="1670"/>
      <c r="J162" s="1708">
        <v>158</v>
      </c>
      <c r="K162" s="1693">
        <v>309.35000000000002</v>
      </c>
      <c r="L162" s="1693">
        <v>315.10000000000002</v>
      </c>
      <c r="M162" s="1693">
        <v>320.85000000000002</v>
      </c>
      <c r="N162" s="1693">
        <v>326.61</v>
      </c>
      <c r="O162" s="1693">
        <v>332.36</v>
      </c>
      <c r="P162" s="1694">
        <v>338.11</v>
      </c>
      <c r="Q162" s="1694">
        <v>343.86</v>
      </c>
      <c r="R162" s="1694">
        <v>349.61</v>
      </c>
      <c r="S162" s="1695">
        <v>355.36</v>
      </c>
      <c r="T162" s="1696">
        <v>361.11</v>
      </c>
      <c r="U162" s="1696">
        <v>366.86</v>
      </c>
      <c r="V162" s="1695">
        <v>372.62</v>
      </c>
      <c r="W162" s="1695">
        <v>378.37</v>
      </c>
      <c r="X162" s="1695">
        <v>384.12</v>
      </c>
      <c r="Y162" s="1697">
        <v>389.87</v>
      </c>
      <c r="Z162" s="1698">
        <v>395.62</v>
      </c>
      <c r="AA162" s="1699">
        <v>401.37</v>
      </c>
      <c r="AB162" s="1699">
        <v>407.12</v>
      </c>
      <c r="AC162" s="1699">
        <v>412.87</v>
      </c>
      <c r="AD162" s="1699">
        <v>418.62</v>
      </c>
      <c r="AE162" s="1699">
        <v>424.38</v>
      </c>
      <c r="AF162" s="1700">
        <v>349.95</v>
      </c>
      <c r="AG162" s="1700">
        <v>355.7</v>
      </c>
      <c r="AH162" s="1700">
        <v>361.45</v>
      </c>
      <c r="AI162" s="1700">
        <v>367.21</v>
      </c>
      <c r="AJ162" s="1701">
        <v>372.96</v>
      </c>
      <c r="AK162" s="1701">
        <v>378.71</v>
      </c>
      <c r="AL162" s="1701">
        <v>384.46</v>
      </c>
      <c r="AM162" s="1701">
        <v>390.21</v>
      </c>
      <c r="AN162" s="1701">
        <v>395.96</v>
      </c>
      <c r="AO162" s="1702">
        <v>401.71</v>
      </c>
      <c r="AP162" s="1700">
        <v>407.46</v>
      </c>
      <c r="AQ162" s="1700">
        <v>413.21</v>
      </c>
      <c r="AR162" s="1700">
        <v>418.97</v>
      </c>
      <c r="AS162" s="1700">
        <v>424.72</v>
      </c>
      <c r="AT162" s="1700">
        <v>430.47</v>
      </c>
      <c r="AU162" s="1700">
        <v>436.22</v>
      </c>
      <c r="AV162" s="1683">
        <v>441.97</v>
      </c>
      <c r="AW162" s="1700">
        <v>447.72</v>
      </c>
      <c r="AX162" s="1700">
        <v>453.47</v>
      </c>
      <c r="AY162" s="1700">
        <v>459.22</v>
      </c>
      <c r="AZ162" s="1700">
        <v>464.98</v>
      </c>
      <c r="BA162" s="1700">
        <v>470.73</v>
      </c>
      <c r="BB162" s="1700">
        <v>476.48</v>
      </c>
      <c r="BC162" s="1700">
        <v>482.23</v>
      </c>
      <c r="BD162" s="1700">
        <v>487.98</v>
      </c>
      <c r="BE162" s="1700">
        <v>493.73</v>
      </c>
      <c r="BF162" s="1700">
        <v>199.48</v>
      </c>
      <c r="BG162" s="1700">
        <v>505.23</v>
      </c>
      <c r="BH162" s="1700">
        <v>510.99</v>
      </c>
      <c r="BI162" s="1700">
        <v>516.74</v>
      </c>
      <c r="BJ162" s="1700">
        <v>522.49</v>
      </c>
      <c r="BK162" s="1700">
        <v>528.24</v>
      </c>
      <c r="BL162" s="1700">
        <v>533.99</v>
      </c>
      <c r="BM162" s="1700">
        <v>539.74</v>
      </c>
      <c r="BN162" s="1700"/>
      <c r="BO162" s="1703">
        <v>158</v>
      </c>
      <c r="BP162" s="1693">
        <v>185.43</v>
      </c>
      <c r="BQ162" s="1693">
        <v>189.49</v>
      </c>
      <c r="BR162" s="1693">
        <v>193.55</v>
      </c>
      <c r="BS162" s="1693">
        <v>197.61</v>
      </c>
      <c r="BT162" s="1693">
        <v>201.67</v>
      </c>
      <c r="BU162" s="1694">
        <v>205.74</v>
      </c>
      <c r="BV162" s="1694">
        <v>209.8</v>
      </c>
      <c r="BW162" s="1694">
        <v>213.86</v>
      </c>
      <c r="BX162" s="1695">
        <v>217.92</v>
      </c>
      <c r="BY162" s="1696">
        <v>221.98</v>
      </c>
      <c r="BZ162" s="1696">
        <v>226.04</v>
      </c>
      <c r="CA162" s="1695">
        <v>230.1</v>
      </c>
      <c r="CB162" s="1695">
        <v>234.16</v>
      </c>
      <c r="CC162" s="1704">
        <v>238.22</v>
      </c>
      <c r="CD162" s="1697">
        <v>242.28</v>
      </c>
      <c r="CE162" s="1698">
        <v>246.34</v>
      </c>
      <c r="CF162" s="1699">
        <v>250.4</v>
      </c>
      <c r="CG162" s="1699">
        <v>254.46</v>
      </c>
      <c r="CH162" s="1699">
        <v>258.52</v>
      </c>
      <c r="CI162" s="1699">
        <v>262.58</v>
      </c>
      <c r="CJ162" s="1699">
        <v>266.64</v>
      </c>
      <c r="CK162" s="1700">
        <v>230.59</v>
      </c>
      <c r="CL162" s="1700">
        <v>234.65</v>
      </c>
      <c r="CM162" s="1700">
        <v>238.71</v>
      </c>
      <c r="CN162" s="1700">
        <v>242.77</v>
      </c>
      <c r="CO162" s="1705">
        <v>246.83</v>
      </c>
      <c r="CP162" s="1706">
        <v>250.89</v>
      </c>
      <c r="CQ162" s="1701">
        <v>254.95</v>
      </c>
      <c r="CR162" s="1701">
        <v>259.01</v>
      </c>
      <c r="CS162" s="1707">
        <v>263.07</v>
      </c>
      <c r="CT162" s="1700">
        <v>267.13</v>
      </c>
      <c r="CU162" s="1700">
        <v>271.19</v>
      </c>
      <c r="CV162" s="1700">
        <v>275.25</v>
      </c>
      <c r="CW162" s="1700">
        <v>279.32</v>
      </c>
      <c r="CX162" s="1700">
        <v>283.38</v>
      </c>
      <c r="CY162" s="1700">
        <v>287.44</v>
      </c>
      <c r="CZ162" s="1700">
        <v>291.5</v>
      </c>
      <c r="DA162" s="1700">
        <v>295.56</v>
      </c>
      <c r="DB162" s="1700">
        <v>299.62</v>
      </c>
      <c r="DC162" s="1700">
        <v>303.68</v>
      </c>
      <c r="DD162" s="1700">
        <v>307.74</v>
      </c>
      <c r="DE162" s="1700">
        <v>311.8</v>
      </c>
      <c r="DF162" s="1700">
        <v>315.86</v>
      </c>
      <c r="DG162" s="1700">
        <v>319.92</v>
      </c>
      <c r="DH162" s="1700">
        <v>323.98</v>
      </c>
      <c r="DI162" s="1700">
        <v>328.04</v>
      </c>
      <c r="DJ162" s="1700">
        <v>332.1</v>
      </c>
      <c r="DK162" s="1700">
        <v>336.16</v>
      </c>
      <c r="DL162" s="1700">
        <v>340.22</v>
      </c>
      <c r="DM162" s="1700">
        <v>344.29</v>
      </c>
      <c r="DN162" s="1700">
        <v>348.35</v>
      </c>
      <c r="DO162" s="1700">
        <v>352.41</v>
      </c>
      <c r="DP162" s="1700">
        <v>356.47</v>
      </c>
      <c r="DQ162" s="1700">
        <v>360.53</v>
      </c>
      <c r="DR162" s="1700">
        <v>364.59</v>
      </c>
      <c r="DS162" s="1700"/>
      <c r="DT162" s="1700"/>
      <c r="DU162" s="1700"/>
      <c r="DV162" s="1700"/>
      <c r="DW162" s="1700"/>
      <c r="DX162" s="1700"/>
    </row>
    <row r="163" spans="1:128">
      <c r="A163" s="1622"/>
      <c r="B163" s="1691">
        <f t="shared" si="14"/>
        <v>159</v>
      </c>
      <c r="C163" s="1668" t="str">
        <f t="shared" si="11"/>
        <v>427.03</v>
      </c>
      <c r="D163" s="1672">
        <f t="shared" si="12"/>
        <v>597.84</v>
      </c>
      <c r="E163" s="1670"/>
      <c r="F163" s="1671" t="str">
        <f t="shared" si="13"/>
        <v>268.33</v>
      </c>
      <c r="G163" s="1672">
        <f t="shared" si="10"/>
        <v>375.66</v>
      </c>
      <c r="H163" s="1670"/>
      <c r="I163" s="1670"/>
      <c r="J163" s="1708">
        <v>159</v>
      </c>
      <c r="K163" s="1693">
        <v>311.27999999999997</v>
      </c>
      <c r="L163" s="1693">
        <v>317.07</v>
      </c>
      <c r="M163" s="1693">
        <v>322.86</v>
      </c>
      <c r="N163" s="1693">
        <v>328.64</v>
      </c>
      <c r="O163" s="1693">
        <v>334.43</v>
      </c>
      <c r="P163" s="1694">
        <v>340.22</v>
      </c>
      <c r="Q163" s="1694">
        <v>346.01</v>
      </c>
      <c r="R163" s="1694">
        <v>351.79</v>
      </c>
      <c r="S163" s="1695">
        <v>357.58</v>
      </c>
      <c r="T163" s="1696">
        <v>363.37</v>
      </c>
      <c r="U163" s="1696">
        <v>369.16</v>
      </c>
      <c r="V163" s="1695">
        <v>374.94</v>
      </c>
      <c r="W163" s="1695">
        <v>380.73</v>
      </c>
      <c r="X163" s="1695">
        <v>386.52</v>
      </c>
      <c r="Y163" s="1697">
        <v>392.31</v>
      </c>
      <c r="Z163" s="1698">
        <v>398.09</v>
      </c>
      <c r="AA163" s="1699">
        <v>403.88</v>
      </c>
      <c r="AB163" s="1699">
        <v>409.67</v>
      </c>
      <c r="AC163" s="1699">
        <v>415.46</v>
      </c>
      <c r="AD163" s="1699">
        <v>421.24</v>
      </c>
      <c r="AE163" s="1699">
        <v>427.03</v>
      </c>
      <c r="AF163" s="1700">
        <v>352.15</v>
      </c>
      <c r="AG163" s="1700">
        <v>357.94</v>
      </c>
      <c r="AH163" s="1700">
        <v>363.72</v>
      </c>
      <c r="AI163" s="1700">
        <v>369.51</v>
      </c>
      <c r="AJ163" s="1701">
        <v>375.3</v>
      </c>
      <c r="AK163" s="1701">
        <v>381.09</v>
      </c>
      <c r="AL163" s="1701">
        <v>386.87</v>
      </c>
      <c r="AM163" s="1701">
        <v>392.66</v>
      </c>
      <c r="AN163" s="1701">
        <v>398.45</v>
      </c>
      <c r="AO163" s="1702">
        <v>404.24</v>
      </c>
      <c r="AP163" s="1700">
        <v>410.03</v>
      </c>
      <c r="AQ163" s="1700">
        <v>415.81</v>
      </c>
      <c r="AR163" s="1683">
        <v>421.6</v>
      </c>
      <c r="AS163" s="1700">
        <v>427.39</v>
      </c>
      <c r="AT163" s="1700">
        <v>433.18</v>
      </c>
      <c r="AU163" s="1700">
        <v>438.96</v>
      </c>
      <c r="AV163" s="1700">
        <v>444.75</v>
      </c>
      <c r="AW163" s="1700">
        <v>450.54</v>
      </c>
      <c r="AX163" s="1700">
        <v>456.33</v>
      </c>
      <c r="AY163" s="1700">
        <v>462.11</v>
      </c>
      <c r="AZ163" s="1700">
        <v>467.9</v>
      </c>
      <c r="BA163" s="1700">
        <v>473.69</v>
      </c>
      <c r="BB163" s="1683">
        <v>479.48</v>
      </c>
      <c r="BC163" s="1700">
        <v>485.26</v>
      </c>
      <c r="BD163" s="1700">
        <v>491.05</v>
      </c>
      <c r="BE163" s="1700">
        <v>496.84</v>
      </c>
      <c r="BF163" s="1700">
        <v>502.63</v>
      </c>
      <c r="BG163" s="1700">
        <v>508.41</v>
      </c>
      <c r="BH163" s="1700">
        <v>514.20000000000005</v>
      </c>
      <c r="BI163" s="1700">
        <v>519.99</v>
      </c>
      <c r="BJ163" s="1700">
        <v>525.78</v>
      </c>
      <c r="BK163" s="1700">
        <v>531.55999999999995</v>
      </c>
      <c r="BL163" s="1700">
        <v>537.35</v>
      </c>
      <c r="BM163" s="1700">
        <v>543.14</v>
      </c>
      <c r="BN163" s="1700"/>
      <c r="BO163" s="1703">
        <v>159</v>
      </c>
      <c r="BP163" s="1693">
        <v>186.6</v>
      </c>
      <c r="BQ163" s="1693">
        <v>190.69</v>
      </c>
      <c r="BR163" s="1693">
        <v>194.77</v>
      </c>
      <c r="BS163" s="1693">
        <v>198.86</v>
      </c>
      <c r="BT163" s="1693">
        <v>202.94</v>
      </c>
      <c r="BU163" s="1694">
        <v>207.03</v>
      </c>
      <c r="BV163" s="1694">
        <v>211.12</v>
      </c>
      <c r="BW163" s="1694">
        <v>215.2</v>
      </c>
      <c r="BX163" s="1695">
        <v>219.29</v>
      </c>
      <c r="BY163" s="1696">
        <v>223.38</v>
      </c>
      <c r="BZ163" s="1696">
        <v>227.46</v>
      </c>
      <c r="CA163" s="1695">
        <v>231.55</v>
      </c>
      <c r="CB163" s="1695">
        <v>235.63</v>
      </c>
      <c r="CC163" s="1704">
        <v>239.72</v>
      </c>
      <c r="CD163" s="1697">
        <v>243.81</v>
      </c>
      <c r="CE163" s="1698">
        <v>247.89</v>
      </c>
      <c r="CF163" s="1699">
        <v>251.98</v>
      </c>
      <c r="CG163" s="1699">
        <v>256.07</v>
      </c>
      <c r="CH163" s="1699">
        <v>260.14999999999998</v>
      </c>
      <c r="CI163" s="1699">
        <v>264.24</v>
      </c>
      <c r="CJ163" s="1699">
        <v>268.33</v>
      </c>
      <c r="CK163" s="1700">
        <v>232.04</v>
      </c>
      <c r="CL163" s="1700">
        <v>236.13</v>
      </c>
      <c r="CM163" s="1700">
        <v>240.22</v>
      </c>
      <c r="CN163" s="1700">
        <v>244.3</v>
      </c>
      <c r="CO163" s="1705">
        <v>248.39</v>
      </c>
      <c r="CP163" s="1706">
        <v>252.48</v>
      </c>
      <c r="CQ163" s="1701">
        <v>256.56</v>
      </c>
      <c r="CR163" s="1701">
        <v>260.64999999999998</v>
      </c>
      <c r="CS163" s="1707">
        <v>264.73</v>
      </c>
      <c r="CT163" s="1700">
        <v>268.82</v>
      </c>
      <c r="CU163" s="1700">
        <v>272.91000000000003</v>
      </c>
      <c r="CV163" s="1700">
        <v>276.99</v>
      </c>
      <c r="CW163" s="1700">
        <v>281.08</v>
      </c>
      <c r="CX163" s="1700">
        <v>285.17</v>
      </c>
      <c r="CY163" s="1700">
        <v>289.25</v>
      </c>
      <c r="CZ163" s="1700">
        <v>293.33999999999997</v>
      </c>
      <c r="DA163" s="1700">
        <v>297.42</v>
      </c>
      <c r="DB163" s="1700">
        <v>301.51</v>
      </c>
      <c r="DC163" s="1700">
        <v>305.60000000000002</v>
      </c>
      <c r="DD163" s="1700">
        <v>309.68</v>
      </c>
      <c r="DE163" s="1700">
        <v>313.77</v>
      </c>
      <c r="DF163" s="1700">
        <v>317.86</v>
      </c>
      <c r="DG163" s="1700">
        <v>321.94</v>
      </c>
      <c r="DH163" s="1700">
        <v>326.02999999999997</v>
      </c>
      <c r="DI163" s="1700">
        <v>330.11</v>
      </c>
      <c r="DJ163" s="1700">
        <v>334.2</v>
      </c>
      <c r="DK163" s="1700">
        <v>338.29</v>
      </c>
      <c r="DL163" s="1700">
        <v>342.37</v>
      </c>
      <c r="DM163" s="1700">
        <v>346.46</v>
      </c>
      <c r="DN163" s="1700">
        <v>350.55</v>
      </c>
      <c r="DO163" s="1700">
        <v>354.63</v>
      </c>
      <c r="DP163" s="1700">
        <v>358.72</v>
      </c>
      <c r="DQ163" s="1700">
        <v>362.81</v>
      </c>
      <c r="DR163" s="1700">
        <v>366.89</v>
      </c>
      <c r="DS163" s="1700"/>
      <c r="DT163" s="1700"/>
      <c r="DU163" s="1700"/>
      <c r="DV163" s="1700"/>
      <c r="DW163" s="1700"/>
      <c r="DX163" s="1700"/>
    </row>
    <row r="164" spans="1:128">
      <c r="A164" s="1622"/>
      <c r="B164" s="1691">
        <f t="shared" si="14"/>
        <v>160</v>
      </c>
      <c r="C164" s="1668" t="str">
        <f t="shared" si="11"/>
        <v>429.69</v>
      </c>
      <c r="D164" s="1672">
        <f t="shared" si="12"/>
        <v>601.57000000000005</v>
      </c>
      <c r="E164" s="1670"/>
      <c r="F164" s="1671" t="str">
        <f t="shared" si="13"/>
        <v>270.01</v>
      </c>
      <c r="G164" s="1672">
        <f t="shared" si="10"/>
        <v>378.01</v>
      </c>
      <c r="H164" s="1670"/>
      <c r="I164" s="1670"/>
      <c r="J164" s="1708">
        <v>160</v>
      </c>
      <c r="K164" s="1693">
        <v>313.20999999999998</v>
      </c>
      <c r="L164" s="1693">
        <v>319.04000000000002</v>
      </c>
      <c r="M164" s="1693">
        <v>324.86</v>
      </c>
      <c r="N164" s="1693">
        <v>330.69</v>
      </c>
      <c r="O164" s="1693">
        <v>336.51</v>
      </c>
      <c r="P164" s="1694">
        <v>342.33</v>
      </c>
      <c r="Q164" s="1694">
        <v>348.16</v>
      </c>
      <c r="R164" s="1694">
        <v>353.98</v>
      </c>
      <c r="S164" s="1695">
        <v>359.81</v>
      </c>
      <c r="T164" s="1696">
        <v>365.63</v>
      </c>
      <c r="U164" s="1696">
        <v>371.45</v>
      </c>
      <c r="V164" s="1695">
        <v>377.28</v>
      </c>
      <c r="W164" s="1695">
        <v>383.1</v>
      </c>
      <c r="X164" s="1695">
        <v>388.93</v>
      </c>
      <c r="Y164" s="1697">
        <v>394.75</v>
      </c>
      <c r="Z164" s="1698">
        <v>400.57</v>
      </c>
      <c r="AA164" s="1699">
        <v>406.4</v>
      </c>
      <c r="AB164" s="1699">
        <v>412.22</v>
      </c>
      <c r="AC164" s="1699">
        <v>418.05</v>
      </c>
      <c r="AD164" s="1699">
        <v>423.87</v>
      </c>
      <c r="AE164" s="1699">
        <v>429.69</v>
      </c>
      <c r="AF164" s="1683">
        <v>354.35</v>
      </c>
      <c r="AG164" s="1683">
        <v>360.17</v>
      </c>
      <c r="AH164" s="1683">
        <v>366</v>
      </c>
      <c r="AI164" s="1683">
        <v>371.82</v>
      </c>
      <c r="AJ164" s="1701">
        <v>377.65</v>
      </c>
      <c r="AK164" s="1701">
        <v>383.47</v>
      </c>
      <c r="AL164" s="1701">
        <v>389.29</v>
      </c>
      <c r="AM164" s="1701">
        <v>395.12</v>
      </c>
      <c r="AN164" s="1701">
        <v>400.94</v>
      </c>
      <c r="AO164" s="1702">
        <v>406.77</v>
      </c>
      <c r="AP164" s="1700">
        <v>412.59</v>
      </c>
      <c r="AQ164" s="1700">
        <v>418.41</v>
      </c>
      <c r="AR164" s="1700">
        <v>424.24</v>
      </c>
      <c r="AS164" s="1700">
        <v>430.06</v>
      </c>
      <c r="AT164" s="1683">
        <v>435.89</v>
      </c>
      <c r="AU164" s="1700">
        <v>441.71</v>
      </c>
      <c r="AV164" s="1700">
        <v>447.53</v>
      </c>
      <c r="AW164" s="1683">
        <v>453.36</v>
      </c>
      <c r="AX164" s="1683">
        <v>459.18</v>
      </c>
      <c r="AY164" s="1683">
        <v>465.01</v>
      </c>
      <c r="AZ164" s="1683">
        <v>470.83</v>
      </c>
      <c r="BA164" s="1683">
        <v>476.65</v>
      </c>
      <c r="BB164" s="1700">
        <v>482.48</v>
      </c>
      <c r="BC164" s="1683">
        <v>488.3</v>
      </c>
      <c r="BD164" s="1683">
        <v>494.13</v>
      </c>
      <c r="BE164" s="1683">
        <v>499.95</v>
      </c>
      <c r="BF164" s="1683">
        <v>505.77</v>
      </c>
      <c r="BG164" s="1683">
        <v>511.6</v>
      </c>
      <c r="BH164" s="1683">
        <v>517.41999999999996</v>
      </c>
      <c r="BI164" s="1683">
        <v>523.25</v>
      </c>
      <c r="BJ164" s="1683">
        <v>529.07000000000005</v>
      </c>
      <c r="BK164" s="1683">
        <v>534.89</v>
      </c>
      <c r="BL164" s="1683">
        <v>540.72</v>
      </c>
      <c r="BM164" s="1683">
        <v>546.54</v>
      </c>
      <c r="BN164" s="1683"/>
      <c r="BO164" s="1703">
        <v>160</v>
      </c>
      <c r="BP164" s="1693">
        <v>187.77</v>
      </c>
      <c r="BQ164" s="1693">
        <v>191.88</v>
      </c>
      <c r="BR164" s="1693">
        <v>195.99</v>
      </c>
      <c r="BS164" s="1693">
        <v>200.1</v>
      </c>
      <c r="BT164" s="1693">
        <v>204.22</v>
      </c>
      <c r="BU164" s="1694">
        <v>208.33</v>
      </c>
      <c r="BV164" s="1694">
        <v>212.44</v>
      </c>
      <c r="BW164" s="1694">
        <v>216.55</v>
      </c>
      <c r="BX164" s="1695">
        <v>220.66</v>
      </c>
      <c r="BY164" s="1696">
        <v>224.78</v>
      </c>
      <c r="BZ164" s="1696">
        <v>228.89</v>
      </c>
      <c r="CA164" s="1695">
        <v>233</v>
      </c>
      <c r="CB164" s="1695">
        <v>237.11</v>
      </c>
      <c r="CC164" s="1704">
        <v>241.22</v>
      </c>
      <c r="CD164" s="1697">
        <v>245.34</v>
      </c>
      <c r="CE164" s="1698">
        <v>249.45</v>
      </c>
      <c r="CF164" s="1699">
        <v>253.56</v>
      </c>
      <c r="CG164" s="1699">
        <v>257.67</v>
      </c>
      <c r="CH164" s="1699">
        <v>261.77999999999997</v>
      </c>
      <c r="CI164" s="1699">
        <v>265.89999999999998</v>
      </c>
      <c r="CJ164" s="1699">
        <v>270.01</v>
      </c>
      <c r="CK164" s="1700">
        <v>233.5</v>
      </c>
      <c r="CL164" s="1700">
        <v>237.61</v>
      </c>
      <c r="CM164" s="1700">
        <v>241.72</v>
      </c>
      <c r="CN164" s="1700">
        <v>245.84</v>
      </c>
      <c r="CO164" s="1705">
        <v>249.95</v>
      </c>
      <c r="CP164" s="1706">
        <v>254.06</v>
      </c>
      <c r="CQ164" s="1701">
        <v>258.17</v>
      </c>
      <c r="CR164" s="1701">
        <v>262.27999999999997</v>
      </c>
      <c r="CS164" s="1707">
        <v>266.39999999999998</v>
      </c>
      <c r="CT164" s="1700">
        <v>270.51</v>
      </c>
      <c r="CU164" s="1700">
        <v>274.62</v>
      </c>
      <c r="CV164" s="1700">
        <v>278.73</v>
      </c>
      <c r="CW164" s="1700">
        <v>282.83999999999997</v>
      </c>
      <c r="CX164" s="1700">
        <v>286.95999999999998</v>
      </c>
      <c r="CY164" s="1700">
        <v>291.07</v>
      </c>
      <c r="CZ164" s="1700">
        <v>295.18</v>
      </c>
      <c r="DA164" s="1700">
        <v>299.29000000000002</v>
      </c>
      <c r="DB164" s="1700">
        <v>303.39999999999998</v>
      </c>
      <c r="DC164" s="1700">
        <v>307.52</v>
      </c>
      <c r="DD164" s="1700">
        <v>311.63</v>
      </c>
      <c r="DE164" s="1700">
        <v>315.74</v>
      </c>
      <c r="DF164" s="1700">
        <v>319.85000000000002</v>
      </c>
      <c r="DG164" s="1700">
        <v>323.95999999999998</v>
      </c>
      <c r="DH164" s="1700">
        <v>328.08</v>
      </c>
      <c r="DI164" s="1700">
        <v>332.19</v>
      </c>
      <c r="DJ164" s="1700">
        <v>336.3</v>
      </c>
      <c r="DK164" s="1700">
        <v>340.41</v>
      </c>
      <c r="DL164" s="1700">
        <v>344.52</v>
      </c>
      <c r="DM164" s="1700">
        <v>348.64</v>
      </c>
      <c r="DN164" s="1700">
        <v>352.75</v>
      </c>
      <c r="DO164" s="1700">
        <v>356.86</v>
      </c>
      <c r="DP164" s="1700">
        <v>360.97</v>
      </c>
      <c r="DQ164" s="1700">
        <v>365.08</v>
      </c>
      <c r="DR164" s="1700">
        <v>369.2</v>
      </c>
      <c r="DS164" s="1700"/>
      <c r="DT164" s="1700"/>
      <c r="DU164" s="1700"/>
      <c r="DV164" s="1700"/>
      <c r="DW164" s="1700"/>
      <c r="DX164" s="1700"/>
    </row>
    <row r="165" spans="1:128">
      <c r="A165" s="1622"/>
      <c r="B165" s="1691">
        <f t="shared" si="14"/>
        <v>161</v>
      </c>
      <c r="C165" s="1668" t="str">
        <f t="shared" si="11"/>
        <v>432.36</v>
      </c>
      <c r="D165" s="1672">
        <f t="shared" si="12"/>
        <v>605.29999999999995</v>
      </c>
      <c r="E165" s="1670"/>
      <c r="F165" s="1671" t="str">
        <f t="shared" si="13"/>
        <v>271.69</v>
      </c>
      <c r="G165" s="1672">
        <f t="shared" si="10"/>
        <v>380.37</v>
      </c>
      <c r="H165" s="1670"/>
      <c r="I165" s="1670"/>
      <c r="J165" s="1708">
        <v>161</v>
      </c>
      <c r="K165" s="1693">
        <v>315.14999999999998</v>
      </c>
      <c r="L165" s="1693">
        <v>321.01</v>
      </c>
      <c r="M165" s="1693">
        <v>326.87</v>
      </c>
      <c r="N165" s="1693">
        <v>332.73</v>
      </c>
      <c r="O165" s="1693">
        <v>338.59</v>
      </c>
      <c r="P165" s="1694">
        <v>344.45</v>
      </c>
      <c r="Q165" s="1694">
        <v>350.32</v>
      </c>
      <c r="R165" s="1694">
        <v>356.18</v>
      </c>
      <c r="S165" s="1695">
        <v>362.04</v>
      </c>
      <c r="T165" s="1696">
        <v>367.9</v>
      </c>
      <c r="U165" s="1696">
        <v>373.76</v>
      </c>
      <c r="V165" s="1695">
        <v>379.62</v>
      </c>
      <c r="W165" s="1695">
        <v>385.48</v>
      </c>
      <c r="X165" s="1695">
        <v>391.34</v>
      </c>
      <c r="Y165" s="1697">
        <v>397.2</v>
      </c>
      <c r="Z165" s="1698">
        <v>403.06</v>
      </c>
      <c r="AA165" s="1699">
        <v>408.92</v>
      </c>
      <c r="AB165" s="1699">
        <v>414.78</v>
      </c>
      <c r="AC165" s="1699">
        <v>420.64</v>
      </c>
      <c r="AD165" s="1699">
        <v>426.5</v>
      </c>
      <c r="AE165" s="1699">
        <v>432.36</v>
      </c>
      <c r="AF165" s="1700">
        <v>356.55</v>
      </c>
      <c r="AG165" s="1700">
        <v>362.41</v>
      </c>
      <c r="AH165" s="1700">
        <v>368.27</v>
      </c>
      <c r="AI165" s="1700">
        <v>374.13</v>
      </c>
      <c r="AJ165" s="1701">
        <v>380</v>
      </c>
      <c r="AK165" s="1701">
        <v>385.86</v>
      </c>
      <c r="AL165" s="1701">
        <v>391.72</v>
      </c>
      <c r="AM165" s="1701">
        <v>397.58</v>
      </c>
      <c r="AN165" s="1701">
        <v>403.44</v>
      </c>
      <c r="AO165" s="1702">
        <v>409.3</v>
      </c>
      <c r="AP165" s="1700">
        <v>415.16</v>
      </c>
      <c r="AQ165" s="1700">
        <v>421.02</v>
      </c>
      <c r="AR165" s="1683">
        <v>426.88</v>
      </c>
      <c r="AS165" s="1700">
        <v>432.74</v>
      </c>
      <c r="AT165" s="1700">
        <v>438.6</v>
      </c>
      <c r="AU165" s="1700">
        <v>444.46</v>
      </c>
      <c r="AV165" s="1683">
        <v>450.32</v>
      </c>
      <c r="AW165" s="1700">
        <v>456.18</v>
      </c>
      <c r="AX165" s="1700">
        <v>462.04</v>
      </c>
      <c r="AY165" s="1700">
        <v>467.9</v>
      </c>
      <c r="AZ165" s="1700">
        <v>473.76</v>
      </c>
      <c r="BA165" s="1700">
        <v>479.62</v>
      </c>
      <c r="BB165" s="1700">
        <v>485.48</v>
      </c>
      <c r="BC165" s="1700">
        <v>491.34</v>
      </c>
      <c r="BD165" s="1700">
        <v>497.2</v>
      </c>
      <c r="BE165" s="1700">
        <v>503.06</v>
      </c>
      <c r="BF165" s="1700">
        <v>508.92</v>
      </c>
      <c r="BG165" s="1700">
        <v>514.78</v>
      </c>
      <c r="BH165" s="1700">
        <v>520.64</v>
      </c>
      <c r="BI165" s="1700">
        <v>526.51</v>
      </c>
      <c r="BJ165" s="1700">
        <v>532.37</v>
      </c>
      <c r="BK165" s="1700">
        <v>538.23</v>
      </c>
      <c r="BL165" s="1700">
        <v>544.09</v>
      </c>
      <c r="BM165" s="1700">
        <v>549.95000000000005</v>
      </c>
      <c r="BN165" s="1700"/>
      <c r="BO165" s="1703">
        <v>161</v>
      </c>
      <c r="BP165" s="1693">
        <v>188.94</v>
      </c>
      <c r="BQ165" s="1693">
        <v>193.08</v>
      </c>
      <c r="BR165" s="1693">
        <v>197.21</v>
      </c>
      <c r="BS165" s="1693">
        <v>201.35</v>
      </c>
      <c r="BT165" s="1693">
        <v>205.49</v>
      </c>
      <c r="BU165" s="1694">
        <v>209.63</v>
      </c>
      <c r="BV165" s="1694">
        <v>213.76</v>
      </c>
      <c r="BW165" s="1694">
        <v>217.9</v>
      </c>
      <c r="BX165" s="1695">
        <v>222.04</v>
      </c>
      <c r="BY165" s="1696">
        <v>226.18</v>
      </c>
      <c r="BZ165" s="1696">
        <v>230.31</v>
      </c>
      <c r="CA165" s="1695">
        <v>234.45</v>
      </c>
      <c r="CB165" s="1695">
        <v>238.59</v>
      </c>
      <c r="CC165" s="1704">
        <v>242.73</v>
      </c>
      <c r="CD165" s="1697">
        <v>246.87</v>
      </c>
      <c r="CE165" s="1698">
        <v>251</v>
      </c>
      <c r="CF165" s="1699">
        <v>255.14</v>
      </c>
      <c r="CG165" s="1699">
        <v>259.27999999999997</v>
      </c>
      <c r="CH165" s="1699">
        <v>263.42</v>
      </c>
      <c r="CI165" s="1699">
        <v>267.55</v>
      </c>
      <c r="CJ165" s="1699">
        <v>271.69</v>
      </c>
      <c r="CK165" s="1700">
        <v>234.96</v>
      </c>
      <c r="CL165" s="1700">
        <v>239.09</v>
      </c>
      <c r="CM165" s="1700">
        <v>243.23</v>
      </c>
      <c r="CN165" s="1700">
        <v>247.37</v>
      </c>
      <c r="CO165" s="1705">
        <v>251.51</v>
      </c>
      <c r="CP165" s="1706">
        <v>255.65</v>
      </c>
      <c r="CQ165" s="1701">
        <v>259.77999999999997</v>
      </c>
      <c r="CR165" s="1701">
        <v>263.92</v>
      </c>
      <c r="CS165" s="1707">
        <v>268.06</v>
      </c>
      <c r="CT165" s="1700">
        <v>272.2</v>
      </c>
      <c r="CU165" s="1700">
        <v>276.33</v>
      </c>
      <c r="CV165" s="1700">
        <v>280.47000000000003</v>
      </c>
      <c r="CW165" s="1700">
        <v>284.61</v>
      </c>
      <c r="CX165" s="1700">
        <v>288.75</v>
      </c>
      <c r="CY165" s="1700">
        <v>292.88</v>
      </c>
      <c r="CZ165" s="1700">
        <v>297.02</v>
      </c>
      <c r="DA165" s="1700">
        <v>301.16000000000003</v>
      </c>
      <c r="DB165" s="1700">
        <v>305.3</v>
      </c>
      <c r="DC165" s="1700">
        <v>309.44</v>
      </c>
      <c r="DD165" s="1700">
        <v>313.57</v>
      </c>
      <c r="DE165" s="1700">
        <v>317.70999999999998</v>
      </c>
      <c r="DF165" s="1700">
        <v>321.85000000000002</v>
      </c>
      <c r="DG165" s="1700">
        <v>325.99</v>
      </c>
      <c r="DH165" s="1700">
        <v>330.12</v>
      </c>
      <c r="DI165" s="1700">
        <v>334.26</v>
      </c>
      <c r="DJ165" s="1700">
        <v>338.4</v>
      </c>
      <c r="DK165" s="1700">
        <v>342.54</v>
      </c>
      <c r="DL165" s="1700">
        <v>346.68</v>
      </c>
      <c r="DM165" s="1700">
        <v>350.81</v>
      </c>
      <c r="DN165" s="1700">
        <v>354.95</v>
      </c>
      <c r="DO165" s="1700">
        <v>359.09</v>
      </c>
      <c r="DP165" s="1700">
        <v>363.23</v>
      </c>
      <c r="DQ165" s="1700">
        <v>367.36</v>
      </c>
      <c r="DR165" s="1700">
        <v>371.5</v>
      </c>
      <c r="DS165" s="1700"/>
      <c r="DT165" s="1700"/>
      <c r="DU165" s="1700"/>
      <c r="DV165" s="1700"/>
      <c r="DW165" s="1700"/>
      <c r="DX165" s="1700"/>
    </row>
    <row r="166" spans="1:128">
      <c r="A166" s="1622"/>
      <c r="B166" s="1691">
        <f t="shared" si="14"/>
        <v>162</v>
      </c>
      <c r="C166" s="1668" t="str">
        <f t="shared" si="11"/>
        <v>435.03</v>
      </c>
      <c r="D166" s="1672">
        <f t="shared" si="12"/>
        <v>609.04</v>
      </c>
      <c r="E166" s="1670"/>
      <c r="F166" s="1671" t="str">
        <f t="shared" si="13"/>
        <v>273.38</v>
      </c>
      <c r="G166" s="1672">
        <f t="shared" si="10"/>
        <v>382.73</v>
      </c>
      <c r="H166" s="1670"/>
      <c r="I166" s="1670"/>
      <c r="J166" s="1708">
        <v>162</v>
      </c>
      <c r="K166" s="1693">
        <v>317.10000000000002</v>
      </c>
      <c r="L166" s="1693">
        <v>322.99</v>
      </c>
      <c r="M166" s="1693">
        <v>328.89</v>
      </c>
      <c r="N166" s="1693">
        <v>334.79</v>
      </c>
      <c r="O166" s="1693">
        <v>340.68</v>
      </c>
      <c r="P166" s="1694">
        <v>346.58</v>
      </c>
      <c r="Q166" s="1694">
        <v>352.48</v>
      </c>
      <c r="R166" s="1694">
        <v>358.37</v>
      </c>
      <c r="S166" s="1695">
        <v>364.27</v>
      </c>
      <c r="T166" s="1696">
        <v>370.17</v>
      </c>
      <c r="U166" s="1696">
        <v>376.06</v>
      </c>
      <c r="V166" s="1695">
        <v>381.96</v>
      </c>
      <c r="W166" s="1695">
        <v>387.86</v>
      </c>
      <c r="X166" s="1695">
        <v>393.76</v>
      </c>
      <c r="Y166" s="1697">
        <v>399.65</v>
      </c>
      <c r="Z166" s="1698">
        <v>405.55</v>
      </c>
      <c r="AA166" s="1699">
        <v>411.45</v>
      </c>
      <c r="AB166" s="1699">
        <v>417.34</v>
      </c>
      <c r="AC166" s="1699">
        <v>423.24</v>
      </c>
      <c r="AD166" s="1699">
        <v>429.14</v>
      </c>
      <c r="AE166" s="1699">
        <v>435.03</v>
      </c>
      <c r="AF166" s="1700">
        <v>358.76</v>
      </c>
      <c r="AG166" s="1700">
        <v>364.66</v>
      </c>
      <c r="AH166" s="1700">
        <v>370.55</v>
      </c>
      <c r="AI166" s="1700">
        <v>376.45</v>
      </c>
      <c r="AJ166" s="1701">
        <v>382.35</v>
      </c>
      <c r="AK166" s="1701">
        <v>388.24</v>
      </c>
      <c r="AL166" s="1701">
        <v>394.14</v>
      </c>
      <c r="AM166" s="1701">
        <v>400.04</v>
      </c>
      <c r="AN166" s="1701">
        <v>405.93</v>
      </c>
      <c r="AO166" s="1702">
        <v>411.83</v>
      </c>
      <c r="AP166" s="1700">
        <v>417.73</v>
      </c>
      <c r="AQ166" s="1700">
        <v>423.63</v>
      </c>
      <c r="AR166" s="1700">
        <v>429.52</v>
      </c>
      <c r="AS166" s="1700">
        <v>435.42</v>
      </c>
      <c r="AT166" s="1700">
        <v>441.32</v>
      </c>
      <c r="AU166" s="1700">
        <v>447.21</v>
      </c>
      <c r="AV166" s="1700">
        <v>453.11</v>
      </c>
      <c r="AW166" s="1700">
        <v>459.01</v>
      </c>
      <c r="AX166" s="1700">
        <v>464.9</v>
      </c>
      <c r="AY166" s="1700">
        <v>470.8</v>
      </c>
      <c r="AZ166" s="1700">
        <v>476.7</v>
      </c>
      <c r="BA166" s="1700">
        <v>482.59</v>
      </c>
      <c r="BB166" s="1683">
        <v>488.49</v>
      </c>
      <c r="BC166" s="1700">
        <v>494.39</v>
      </c>
      <c r="BD166" s="1700">
        <v>500.28</v>
      </c>
      <c r="BE166" s="1700">
        <v>506.18</v>
      </c>
      <c r="BF166" s="1700">
        <v>512.08000000000004</v>
      </c>
      <c r="BG166" s="1700">
        <v>517.97</v>
      </c>
      <c r="BH166" s="1700">
        <v>523.87</v>
      </c>
      <c r="BI166" s="1700">
        <v>529.77</v>
      </c>
      <c r="BJ166" s="1700">
        <v>535.66</v>
      </c>
      <c r="BK166" s="1700">
        <v>541.55999999999995</v>
      </c>
      <c r="BL166" s="1700">
        <v>547.46</v>
      </c>
      <c r="BM166" s="1700">
        <v>553.35</v>
      </c>
      <c r="BN166" s="1700"/>
      <c r="BO166" s="1703">
        <v>162</v>
      </c>
      <c r="BP166" s="1693">
        <v>190.11</v>
      </c>
      <c r="BQ166" s="1693">
        <v>194.27</v>
      </c>
      <c r="BR166" s="1693">
        <v>198.44</v>
      </c>
      <c r="BS166" s="1693">
        <v>202.6</v>
      </c>
      <c r="BT166" s="1693">
        <v>206.76</v>
      </c>
      <c r="BU166" s="1694">
        <v>210.93</v>
      </c>
      <c r="BV166" s="1694">
        <v>215.09</v>
      </c>
      <c r="BW166" s="1694">
        <v>219.25</v>
      </c>
      <c r="BX166" s="1695">
        <v>223.42</v>
      </c>
      <c r="BY166" s="1696">
        <v>227.58</v>
      </c>
      <c r="BZ166" s="1696">
        <v>231.74</v>
      </c>
      <c r="CA166" s="1695">
        <v>235.91</v>
      </c>
      <c r="CB166" s="1695">
        <v>240.07</v>
      </c>
      <c r="CC166" s="1704">
        <v>244.23</v>
      </c>
      <c r="CD166" s="1697">
        <v>248.4</v>
      </c>
      <c r="CE166" s="1698">
        <v>252.56</v>
      </c>
      <c r="CF166" s="1699">
        <v>256.72000000000003</v>
      </c>
      <c r="CG166" s="1699">
        <v>260.89</v>
      </c>
      <c r="CH166" s="1699">
        <v>265.05</v>
      </c>
      <c r="CI166" s="1699">
        <v>269.20999999999998</v>
      </c>
      <c r="CJ166" s="1699">
        <v>273.38</v>
      </c>
      <c r="CK166" s="1700">
        <v>236.42</v>
      </c>
      <c r="CL166" s="1700">
        <v>240.58</v>
      </c>
      <c r="CM166" s="1700">
        <v>244.74</v>
      </c>
      <c r="CN166" s="1700">
        <v>248.91</v>
      </c>
      <c r="CO166" s="1705">
        <v>253.07</v>
      </c>
      <c r="CP166" s="1706">
        <v>257.23</v>
      </c>
      <c r="CQ166" s="1701">
        <v>261.39999999999998</v>
      </c>
      <c r="CR166" s="1701">
        <v>265.56</v>
      </c>
      <c r="CS166" s="1707">
        <v>269.72000000000003</v>
      </c>
      <c r="CT166" s="1700">
        <v>273.89</v>
      </c>
      <c r="CU166" s="1700">
        <v>278.05</v>
      </c>
      <c r="CV166" s="1700">
        <v>282.20999999999998</v>
      </c>
      <c r="CW166" s="1700">
        <v>286.38</v>
      </c>
      <c r="CX166" s="1700">
        <v>290.54000000000002</v>
      </c>
      <c r="CY166" s="1700">
        <v>294.7</v>
      </c>
      <c r="CZ166" s="1700">
        <v>298.87</v>
      </c>
      <c r="DA166" s="1700">
        <v>303.02999999999997</v>
      </c>
      <c r="DB166" s="1700">
        <v>307.19</v>
      </c>
      <c r="DC166" s="1700">
        <v>311.36</v>
      </c>
      <c r="DD166" s="1700">
        <v>315.52</v>
      </c>
      <c r="DE166" s="1700">
        <v>319.68</v>
      </c>
      <c r="DF166" s="1700">
        <v>323.85000000000002</v>
      </c>
      <c r="DG166" s="1700">
        <v>328.01</v>
      </c>
      <c r="DH166" s="1700">
        <v>332.17</v>
      </c>
      <c r="DI166" s="1700">
        <v>336.34</v>
      </c>
      <c r="DJ166" s="1700">
        <v>340.5</v>
      </c>
      <c r="DK166" s="1700">
        <v>344.66</v>
      </c>
      <c r="DL166" s="1700">
        <v>348.83</v>
      </c>
      <c r="DM166" s="1700">
        <v>352.99</v>
      </c>
      <c r="DN166" s="1700">
        <v>357.15</v>
      </c>
      <c r="DO166" s="1700">
        <v>361.32</v>
      </c>
      <c r="DP166" s="1700">
        <v>365.48</v>
      </c>
      <c r="DQ166" s="1700">
        <v>369.64</v>
      </c>
      <c r="DR166" s="1700">
        <v>373.81</v>
      </c>
      <c r="DS166" s="1700"/>
      <c r="DT166" s="1700"/>
      <c r="DU166" s="1700"/>
      <c r="DV166" s="1700"/>
      <c r="DW166" s="1700"/>
      <c r="DX166" s="1700"/>
    </row>
    <row r="167" spans="1:128">
      <c r="A167" s="1622"/>
      <c r="B167" s="1691">
        <f t="shared" si="14"/>
        <v>163</v>
      </c>
      <c r="C167" s="1668" t="str">
        <f t="shared" si="11"/>
        <v>437.71</v>
      </c>
      <c r="D167" s="1672">
        <f t="shared" si="12"/>
        <v>612.79</v>
      </c>
      <c r="E167" s="1670"/>
      <c r="F167" s="1671" t="str">
        <f t="shared" si="13"/>
        <v>275.06</v>
      </c>
      <c r="G167" s="1672">
        <f t="shared" si="10"/>
        <v>385.08</v>
      </c>
      <c r="H167" s="1670"/>
      <c r="I167" s="1670"/>
      <c r="J167" s="1708">
        <v>163</v>
      </c>
      <c r="K167" s="1693">
        <v>319.05</v>
      </c>
      <c r="L167" s="1693">
        <v>324.98</v>
      </c>
      <c r="M167" s="1693">
        <v>330.91</v>
      </c>
      <c r="N167" s="1693">
        <v>336.85</v>
      </c>
      <c r="O167" s="1693">
        <v>342.78</v>
      </c>
      <c r="P167" s="1694">
        <v>348.71</v>
      </c>
      <c r="Q167" s="1694">
        <v>354.65</v>
      </c>
      <c r="R167" s="1694">
        <v>360.58</v>
      </c>
      <c r="S167" s="1695">
        <v>366.51</v>
      </c>
      <c r="T167" s="1696">
        <v>372.44</v>
      </c>
      <c r="U167" s="1696">
        <v>378.38</v>
      </c>
      <c r="V167" s="1695">
        <v>384.31</v>
      </c>
      <c r="W167" s="1695">
        <v>390.24</v>
      </c>
      <c r="X167" s="1695">
        <v>396.18</v>
      </c>
      <c r="Y167" s="1697">
        <v>402.11</v>
      </c>
      <c r="Z167" s="1698">
        <v>408.04</v>
      </c>
      <c r="AA167" s="1699">
        <v>413.98</v>
      </c>
      <c r="AB167" s="1699">
        <v>419.91</v>
      </c>
      <c r="AC167" s="1699">
        <v>425.84</v>
      </c>
      <c r="AD167" s="1699">
        <v>431.78</v>
      </c>
      <c r="AE167" s="1699">
        <v>437.71</v>
      </c>
      <c r="AF167" s="1683">
        <v>360.97</v>
      </c>
      <c r="AG167" s="1683">
        <v>366.9</v>
      </c>
      <c r="AH167" s="1683">
        <v>372.84</v>
      </c>
      <c r="AI167" s="1683">
        <v>378.77</v>
      </c>
      <c r="AJ167" s="1701">
        <v>384.7</v>
      </c>
      <c r="AK167" s="1701">
        <v>390.64</v>
      </c>
      <c r="AL167" s="1701">
        <v>396.57</v>
      </c>
      <c r="AM167" s="1701">
        <v>402.5</v>
      </c>
      <c r="AN167" s="1701">
        <v>408.44</v>
      </c>
      <c r="AO167" s="1702">
        <v>414.37</v>
      </c>
      <c r="AP167" s="1700">
        <v>420.3</v>
      </c>
      <c r="AQ167" s="1700">
        <v>426.24</v>
      </c>
      <c r="AR167" s="1683">
        <v>432.17</v>
      </c>
      <c r="AS167" s="1700">
        <v>438.1</v>
      </c>
      <c r="AT167" s="1683">
        <v>444.03</v>
      </c>
      <c r="AU167" s="1700">
        <v>449.97</v>
      </c>
      <c r="AV167" s="1700">
        <v>455.9</v>
      </c>
      <c r="AW167" s="1683">
        <v>461.83</v>
      </c>
      <c r="AX167" s="1683">
        <v>467.77</v>
      </c>
      <c r="AY167" s="1683">
        <v>473.7</v>
      </c>
      <c r="AZ167" s="1683">
        <v>479.63</v>
      </c>
      <c r="BA167" s="1683">
        <v>485.57</v>
      </c>
      <c r="BB167" s="1700">
        <v>491.5</v>
      </c>
      <c r="BC167" s="1683">
        <v>497.43</v>
      </c>
      <c r="BD167" s="1683">
        <v>503.37</v>
      </c>
      <c r="BE167" s="1683">
        <v>509.3</v>
      </c>
      <c r="BF167" s="1683">
        <v>515.23</v>
      </c>
      <c r="BG167" s="1683">
        <v>521.16999999999996</v>
      </c>
      <c r="BH167" s="1683">
        <v>527.1</v>
      </c>
      <c r="BI167" s="1683">
        <v>533.03</v>
      </c>
      <c r="BJ167" s="1683">
        <v>538.97</v>
      </c>
      <c r="BK167" s="1683">
        <v>544.9</v>
      </c>
      <c r="BL167" s="1683">
        <v>550.83000000000004</v>
      </c>
      <c r="BM167" s="1683">
        <v>556.77</v>
      </c>
      <c r="BN167" s="1683"/>
      <c r="BO167" s="1703">
        <v>163</v>
      </c>
      <c r="BP167" s="1693">
        <v>191.28</v>
      </c>
      <c r="BQ167" s="1693">
        <v>195.47</v>
      </c>
      <c r="BR167" s="1693">
        <v>199.66</v>
      </c>
      <c r="BS167" s="1693">
        <v>203.85</v>
      </c>
      <c r="BT167" s="1693">
        <v>208.04</v>
      </c>
      <c r="BU167" s="1694">
        <v>212.23</v>
      </c>
      <c r="BV167" s="1694">
        <v>216.42</v>
      </c>
      <c r="BW167" s="1694">
        <v>220.61</v>
      </c>
      <c r="BX167" s="1695">
        <v>224.79</v>
      </c>
      <c r="BY167" s="1696">
        <v>228.98</v>
      </c>
      <c r="BZ167" s="1696">
        <v>233.17</v>
      </c>
      <c r="CA167" s="1695">
        <v>237.36</v>
      </c>
      <c r="CB167" s="1695">
        <v>241.55</v>
      </c>
      <c r="CC167" s="1704">
        <v>245.74</v>
      </c>
      <c r="CD167" s="1697">
        <v>249.93</v>
      </c>
      <c r="CE167" s="1698">
        <v>254.12</v>
      </c>
      <c r="CF167" s="1699">
        <v>258.31</v>
      </c>
      <c r="CG167" s="1699">
        <v>262.5</v>
      </c>
      <c r="CH167" s="1699">
        <v>266.69</v>
      </c>
      <c r="CI167" s="1699">
        <v>270.88</v>
      </c>
      <c r="CJ167" s="1699">
        <v>275.06</v>
      </c>
      <c r="CK167" s="1700">
        <v>237.87</v>
      </c>
      <c r="CL167" s="1700">
        <v>242.06</v>
      </c>
      <c r="CM167" s="1700">
        <v>246.25</v>
      </c>
      <c r="CN167" s="1700">
        <v>250.44</v>
      </c>
      <c r="CO167" s="1705">
        <v>254.63</v>
      </c>
      <c r="CP167" s="1706">
        <v>258.82</v>
      </c>
      <c r="CQ167" s="1701">
        <v>263.10000000000002</v>
      </c>
      <c r="CR167" s="1701">
        <v>267.2</v>
      </c>
      <c r="CS167" s="1707">
        <v>271.39</v>
      </c>
      <c r="CT167" s="1700">
        <v>275.58</v>
      </c>
      <c r="CU167" s="1700">
        <v>279.77</v>
      </c>
      <c r="CV167" s="1700">
        <v>283.95</v>
      </c>
      <c r="CW167" s="1700">
        <v>288.14</v>
      </c>
      <c r="CX167" s="1700">
        <v>292.33</v>
      </c>
      <c r="CY167" s="1700">
        <v>296.52</v>
      </c>
      <c r="CZ167" s="1700">
        <v>300.70999999999998</v>
      </c>
      <c r="DA167" s="1700">
        <v>304.89999999999998</v>
      </c>
      <c r="DB167" s="1700">
        <v>309.08999999999997</v>
      </c>
      <c r="DC167" s="1700">
        <v>313.27999999999997</v>
      </c>
      <c r="DD167" s="1700">
        <v>317.47000000000003</v>
      </c>
      <c r="DE167" s="1700">
        <v>321.66000000000003</v>
      </c>
      <c r="DF167" s="1700">
        <v>325.85000000000002</v>
      </c>
      <c r="DG167" s="1700">
        <v>330.03</v>
      </c>
      <c r="DH167" s="1700">
        <v>334.22</v>
      </c>
      <c r="DI167" s="1700">
        <v>338.41</v>
      </c>
      <c r="DJ167" s="1700">
        <v>342.6</v>
      </c>
      <c r="DK167" s="1700">
        <v>346.79</v>
      </c>
      <c r="DL167" s="1700">
        <v>350.98</v>
      </c>
      <c r="DM167" s="1700">
        <v>355.17</v>
      </c>
      <c r="DN167" s="1700">
        <v>359.36</v>
      </c>
      <c r="DO167" s="1700">
        <v>363.55</v>
      </c>
      <c r="DP167" s="1700">
        <v>367.74</v>
      </c>
      <c r="DQ167" s="1700">
        <v>371.93</v>
      </c>
      <c r="DR167" s="1700">
        <v>376.11</v>
      </c>
      <c r="DS167" s="1700"/>
      <c r="DT167" s="1700"/>
      <c r="DU167" s="1700"/>
      <c r="DV167" s="1700"/>
      <c r="DW167" s="1700"/>
      <c r="DX167" s="1700"/>
    </row>
    <row r="168" spans="1:128">
      <c r="A168" s="1622"/>
      <c r="B168" s="1691">
        <f t="shared" si="14"/>
        <v>164</v>
      </c>
      <c r="C168" s="1668" t="str">
        <f t="shared" si="11"/>
        <v>440.39</v>
      </c>
      <c r="D168" s="1672">
        <f t="shared" si="12"/>
        <v>616.54999999999995</v>
      </c>
      <c r="E168" s="1670"/>
      <c r="F168" s="1671" t="str">
        <f t="shared" si="13"/>
        <v>276.75</v>
      </c>
      <c r="G168" s="1672">
        <f t="shared" si="10"/>
        <v>387.45</v>
      </c>
      <c r="H168" s="1670"/>
      <c r="I168" s="1670"/>
      <c r="J168" s="1708">
        <v>164</v>
      </c>
      <c r="K168" s="1693">
        <v>321</v>
      </c>
      <c r="L168" s="1693">
        <v>326.97000000000003</v>
      </c>
      <c r="M168" s="1693">
        <v>332.94</v>
      </c>
      <c r="N168" s="1693">
        <v>338.91</v>
      </c>
      <c r="O168" s="1693">
        <v>344.88</v>
      </c>
      <c r="P168" s="1694">
        <v>350.85</v>
      </c>
      <c r="Q168" s="1694">
        <v>356.82</v>
      </c>
      <c r="R168" s="1694">
        <v>362.79</v>
      </c>
      <c r="S168" s="1695">
        <v>368.76</v>
      </c>
      <c r="T168" s="1696">
        <v>374.73</v>
      </c>
      <c r="U168" s="1696">
        <v>380.7</v>
      </c>
      <c r="V168" s="1695">
        <v>386.67</v>
      </c>
      <c r="W168" s="1695">
        <v>392.64</v>
      </c>
      <c r="X168" s="1695">
        <v>398.61</v>
      </c>
      <c r="Y168" s="1697">
        <v>404.57</v>
      </c>
      <c r="Z168" s="1698">
        <v>410.54</v>
      </c>
      <c r="AA168" s="1699">
        <v>416.51</v>
      </c>
      <c r="AB168" s="1699">
        <v>422.48</v>
      </c>
      <c r="AC168" s="1699">
        <v>428.45</v>
      </c>
      <c r="AD168" s="1699">
        <v>434.42</v>
      </c>
      <c r="AE168" s="1699">
        <v>440.39</v>
      </c>
      <c r="AF168" s="1700">
        <v>363.18</v>
      </c>
      <c r="AG168" s="1700">
        <v>369.15</v>
      </c>
      <c r="AH168" s="1700">
        <v>375.12</v>
      </c>
      <c r="AI168" s="1700">
        <v>381.09</v>
      </c>
      <c r="AJ168" s="1701">
        <v>387.06</v>
      </c>
      <c r="AK168" s="1701">
        <v>393.03</v>
      </c>
      <c r="AL168" s="1701">
        <v>399</v>
      </c>
      <c r="AM168" s="1701">
        <v>404.97</v>
      </c>
      <c r="AN168" s="1701">
        <v>410.94</v>
      </c>
      <c r="AO168" s="1702">
        <v>416.91</v>
      </c>
      <c r="AP168" s="1700">
        <v>422.88</v>
      </c>
      <c r="AQ168" s="1700">
        <v>428.85</v>
      </c>
      <c r="AR168" s="1700">
        <v>434.82</v>
      </c>
      <c r="AS168" s="1700">
        <v>440.79</v>
      </c>
      <c r="AT168" s="1700">
        <v>446.76</v>
      </c>
      <c r="AU168" s="1700">
        <v>452.73</v>
      </c>
      <c r="AV168" s="1683">
        <v>458.7</v>
      </c>
      <c r="AW168" s="1700">
        <v>464.67</v>
      </c>
      <c r="AX168" s="1700">
        <v>470.64</v>
      </c>
      <c r="AY168" s="1700">
        <v>476.61</v>
      </c>
      <c r="AZ168" s="1700">
        <v>482.58</v>
      </c>
      <c r="BA168" s="1700">
        <v>488.54</v>
      </c>
      <c r="BB168" s="1700">
        <v>494.51</v>
      </c>
      <c r="BC168" s="1700">
        <v>500.48</v>
      </c>
      <c r="BD168" s="1700">
        <v>506.45</v>
      </c>
      <c r="BE168" s="1700">
        <v>512.41999999999996</v>
      </c>
      <c r="BF168" s="1700">
        <v>518.39</v>
      </c>
      <c r="BG168" s="1700">
        <v>524.36</v>
      </c>
      <c r="BH168" s="1700">
        <v>530.33000000000004</v>
      </c>
      <c r="BI168" s="1700">
        <v>536.29999999999995</v>
      </c>
      <c r="BJ168" s="1700">
        <v>542.27</v>
      </c>
      <c r="BK168" s="1700">
        <v>548.24</v>
      </c>
      <c r="BL168" s="1700">
        <v>554.21</v>
      </c>
      <c r="BM168" s="1700">
        <v>560.17999999999995</v>
      </c>
      <c r="BN168" s="1700"/>
      <c r="BO168" s="1703">
        <v>164</v>
      </c>
      <c r="BP168" s="1693">
        <v>192.46</v>
      </c>
      <c r="BQ168" s="1693">
        <v>196.67</v>
      </c>
      <c r="BR168" s="1693">
        <v>200.89</v>
      </c>
      <c r="BS168" s="1693">
        <v>205.1</v>
      </c>
      <c r="BT168" s="1693">
        <v>209.32</v>
      </c>
      <c r="BU168" s="1694">
        <v>213.53</v>
      </c>
      <c r="BV168" s="1694">
        <v>217.75</v>
      </c>
      <c r="BW168" s="1694">
        <v>221.96</v>
      </c>
      <c r="BX168" s="1695">
        <v>226.17</v>
      </c>
      <c r="BY168" s="1696">
        <v>230.39</v>
      </c>
      <c r="BZ168" s="1696">
        <v>234.6</v>
      </c>
      <c r="CA168" s="1695">
        <v>238.82</v>
      </c>
      <c r="CB168" s="1695">
        <v>243.03</v>
      </c>
      <c r="CC168" s="1704">
        <v>247.25</v>
      </c>
      <c r="CD168" s="1697">
        <v>251.46</v>
      </c>
      <c r="CE168" s="1698">
        <v>255.68</v>
      </c>
      <c r="CF168" s="1699">
        <v>259.89</v>
      </c>
      <c r="CG168" s="1699">
        <v>264.11</v>
      </c>
      <c r="CH168" s="1699">
        <v>268.32</v>
      </c>
      <c r="CI168" s="1699">
        <v>272.54000000000002</v>
      </c>
      <c r="CJ168" s="1699">
        <v>276.75</v>
      </c>
      <c r="CK168" s="1700">
        <v>239.33</v>
      </c>
      <c r="CL168" s="1700">
        <v>243.55</v>
      </c>
      <c r="CM168" s="1700">
        <v>247.76</v>
      </c>
      <c r="CN168" s="1700">
        <v>251.98</v>
      </c>
      <c r="CO168" s="1705">
        <v>256.19</v>
      </c>
      <c r="CP168" s="1706">
        <v>260.41000000000003</v>
      </c>
      <c r="CQ168" s="1701">
        <v>264.62</v>
      </c>
      <c r="CR168" s="1701">
        <v>268.83999999999997</v>
      </c>
      <c r="CS168" s="1707">
        <v>273.05</v>
      </c>
      <c r="CT168" s="1700">
        <v>277.27</v>
      </c>
      <c r="CU168" s="1700">
        <v>281.48</v>
      </c>
      <c r="CV168" s="1700">
        <v>285.7</v>
      </c>
      <c r="CW168" s="1700">
        <v>289.91000000000003</v>
      </c>
      <c r="CX168" s="1700">
        <v>294.13</v>
      </c>
      <c r="CY168" s="1700">
        <v>298.33999999999997</v>
      </c>
      <c r="CZ168" s="1700">
        <v>302.56</v>
      </c>
      <c r="DA168" s="1700">
        <v>306.77</v>
      </c>
      <c r="DB168" s="1700">
        <v>310.99</v>
      </c>
      <c r="DC168" s="1700">
        <v>315.2</v>
      </c>
      <c r="DD168" s="1700">
        <v>319.42</v>
      </c>
      <c r="DE168" s="1700">
        <v>323.63</v>
      </c>
      <c r="DF168" s="1700">
        <v>327.84</v>
      </c>
      <c r="DG168" s="1700">
        <v>332.06</v>
      </c>
      <c r="DH168" s="1700">
        <v>336.27</v>
      </c>
      <c r="DI168" s="1700">
        <v>340.49</v>
      </c>
      <c r="DJ168" s="1700">
        <v>344.7</v>
      </c>
      <c r="DK168" s="1700">
        <v>348.92</v>
      </c>
      <c r="DL168" s="1700">
        <v>353.13</v>
      </c>
      <c r="DM168" s="1700">
        <v>357.35</v>
      </c>
      <c r="DN168" s="1700">
        <v>361.56</v>
      </c>
      <c r="DO168" s="1700">
        <v>365.78</v>
      </c>
      <c r="DP168" s="1700">
        <v>369.99</v>
      </c>
      <c r="DQ168" s="1700">
        <v>374.21</v>
      </c>
      <c r="DR168" s="1700">
        <v>378.42</v>
      </c>
      <c r="DS168" s="1700"/>
      <c r="DT168" s="1700"/>
      <c r="DU168" s="1700"/>
      <c r="DV168" s="1700"/>
      <c r="DW168" s="1700"/>
      <c r="DX168" s="1700"/>
    </row>
    <row r="169" spans="1:128">
      <c r="A169" s="1622"/>
      <c r="B169" s="1691">
        <f t="shared" si="14"/>
        <v>165</v>
      </c>
      <c r="C169" s="1668" t="str">
        <f t="shared" si="11"/>
        <v>443.08</v>
      </c>
      <c r="D169" s="1672">
        <f t="shared" si="12"/>
        <v>620.30999999999995</v>
      </c>
      <c r="E169" s="1670"/>
      <c r="F169" s="1671" t="str">
        <f t="shared" si="13"/>
        <v>278.44</v>
      </c>
      <c r="G169" s="1672">
        <f t="shared" si="10"/>
        <v>389.82</v>
      </c>
      <c r="H169" s="1670"/>
      <c r="I169" s="1670"/>
      <c r="J169" s="1708">
        <v>165</v>
      </c>
      <c r="K169" s="1693">
        <v>322.95999999999998</v>
      </c>
      <c r="L169" s="1693">
        <v>328.97</v>
      </c>
      <c r="M169" s="1693">
        <v>334.97</v>
      </c>
      <c r="N169" s="1693">
        <v>340.98</v>
      </c>
      <c r="O169" s="1693">
        <v>346.98</v>
      </c>
      <c r="P169" s="1694">
        <v>352.99</v>
      </c>
      <c r="Q169" s="1694">
        <v>359</v>
      </c>
      <c r="R169" s="1694">
        <v>365</v>
      </c>
      <c r="S169" s="1695">
        <v>371.01</v>
      </c>
      <c r="T169" s="1696">
        <v>377.01</v>
      </c>
      <c r="U169" s="1696">
        <v>383.02</v>
      </c>
      <c r="V169" s="1695">
        <v>389.03</v>
      </c>
      <c r="W169" s="1695">
        <v>395.03</v>
      </c>
      <c r="X169" s="1695">
        <v>401.04</v>
      </c>
      <c r="Y169" s="1697">
        <v>407.04</v>
      </c>
      <c r="Z169" s="1698">
        <v>413.05</v>
      </c>
      <c r="AA169" s="1699">
        <v>419.06</v>
      </c>
      <c r="AB169" s="1699">
        <v>425.06</v>
      </c>
      <c r="AC169" s="1699">
        <v>431.07</v>
      </c>
      <c r="AD169" s="1699">
        <v>437.07</v>
      </c>
      <c r="AE169" s="1699">
        <v>443.08</v>
      </c>
      <c r="AF169" s="1700">
        <v>365.4</v>
      </c>
      <c r="AG169" s="1700">
        <v>371.41</v>
      </c>
      <c r="AH169" s="1700">
        <v>377.41</v>
      </c>
      <c r="AI169" s="1700">
        <v>383.42</v>
      </c>
      <c r="AJ169" s="1701">
        <v>389.42</v>
      </c>
      <c r="AK169" s="1701">
        <v>395.43</v>
      </c>
      <c r="AL169" s="1701">
        <v>401.44</v>
      </c>
      <c r="AM169" s="1701">
        <v>407.44</v>
      </c>
      <c r="AN169" s="1701">
        <v>413.45</v>
      </c>
      <c r="AO169" s="1702">
        <v>419.45</v>
      </c>
      <c r="AP169" s="1700">
        <v>425.46</v>
      </c>
      <c r="AQ169" s="1700">
        <v>431.47</v>
      </c>
      <c r="AR169" s="1683">
        <v>437.47</v>
      </c>
      <c r="AS169" s="1700">
        <v>443.48</v>
      </c>
      <c r="AT169" s="1700">
        <v>449.48</v>
      </c>
      <c r="AU169" s="1700">
        <v>455.49</v>
      </c>
      <c r="AV169" s="1700">
        <v>461.5</v>
      </c>
      <c r="AW169" s="1700">
        <v>467.5</v>
      </c>
      <c r="AX169" s="1700">
        <v>473.51</v>
      </c>
      <c r="AY169" s="1700">
        <v>479.51</v>
      </c>
      <c r="AZ169" s="1700">
        <v>485.52</v>
      </c>
      <c r="BA169" s="1700">
        <v>491.53</v>
      </c>
      <c r="BB169" s="1683">
        <v>497.53</v>
      </c>
      <c r="BC169" s="1700">
        <v>503.54</v>
      </c>
      <c r="BD169" s="1700">
        <v>509.54</v>
      </c>
      <c r="BE169" s="1700">
        <v>515.54999999999995</v>
      </c>
      <c r="BF169" s="1700">
        <v>521.55999999999995</v>
      </c>
      <c r="BG169" s="1700">
        <v>527.55999999999995</v>
      </c>
      <c r="BH169" s="1700">
        <v>533.57000000000005</v>
      </c>
      <c r="BI169" s="1700">
        <v>539.57000000000005</v>
      </c>
      <c r="BJ169" s="1700">
        <v>545.58000000000004</v>
      </c>
      <c r="BK169" s="1700">
        <v>551.59</v>
      </c>
      <c r="BL169" s="1700">
        <v>557.59</v>
      </c>
      <c r="BM169" s="1700">
        <v>563.6</v>
      </c>
      <c r="BN169" s="1700"/>
      <c r="BO169" s="1703">
        <v>165</v>
      </c>
      <c r="BP169" s="1693">
        <v>193.63</v>
      </c>
      <c r="BQ169" s="1693">
        <v>197.87</v>
      </c>
      <c r="BR169" s="1693">
        <v>202.11</v>
      </c>
      <c r="BS169" s="1693">
        <v>206.35</v>
      </c>
      <c r="BT169" s="1693">
        <v>210.59</v>
      </c>
      <c r="BU169" s="1694">
        <v>214.83</v>
      </c>
      <c r="BV169" s="1694">
        <v>219.08</v>
      </c>
      <c r="BW169" s="1694">
        <v>223.32</v>
      </c>
      <c r="BX169" s="1695">
        <v>227.56</v>
      </c>
      <c r="BY169" s="1696">
        <v>231.8</v>
      </c>
      <c r="BZ169" s="1696">
        <v>236.04</v>
      </c>
      <c r="CA169" s="1695">
        <v>240.28</v>
      </c>
      <c r="CB169" s="1695">
        <v>244.52</v>
      </c>
      <c r="CC169" s="1704">
        <v>248.76</v>
      </c>
      <c r="CD169" s="1697">
        <v>253</v>
      </c>
      <c r="CE169" s="1698">
        <v>257.24</v>
      </c>
      <c r="CF169" s="1699">
        <v>261.48</v>
      </c>
      <c r="CG169" s="1699">
        <v>265.72000000000003</v>
      </c>
      <c r="CH169" s="1699">
        <v>269.95999999999998</v>
      </c>
      <c r="CI169" s="1699">
        <v>274.2</v>
      </c>
      <c r="CJ169" s="1699">
        <v>278.44</v>
      </c>
      <c r="CK169" s="1700">
        <v>240.79</v>
      </c>
      <c r="CL169" s="1700">
        <v>245.04</v>
      </c>
      <c r="CM169" s="1700">
        <v>249.28</v>
      </c>
      <c r="CN169" s="1700">
        <v>253.52</v>
      </c>
      <c r="CO169" s="1705">
        <v>257.76</v>
      </c>
      <c r="CP169" s="1706">
        <v>262</v>
      </c>
      <c r="CQ169" s="1701">
        <v>266.24</v>
      </c>
      <c r="CR169" s="1701">
        <v>270.48</v>
      </c>
      <c r="CS169" s="1707">
        <v>274.72000000000003</v>
      </c>
      <c r="CT169" s="1700">
        <v>278.95999999999998</v>
      </c>
      <c r="CU169" s="1700">
        <v>283.2</v>
      </c>
      <c r="CV169" s="1700">
        <v>287.44</v>
      </c>
      <c r="CW169" s="1700">
        <v>291.68</v>
      </c>
      <c r="CX169" s="1700">
        <v>295.92</v>
      </c>
      <c r="CY169" s="1700">
        <v>300.16000000000003</v>
      </c>
      <c r="CZ169" s="1700">
        <v>304.39999999999998</v>
      </c>
      <c r="DA169" s="1700">
        <v>308.64</v>
      </c>
      <c r="DB169" s="1700">
        <v>312.88</v>
      </c>
      <c r="DC169" s="1700">
        <v>317.12</v>
      </c>
      <c r="DD169" s="1700">
        <v>321.36</v>
      </c>
      <c r="DE169" s="1700">
        <v>325.60000000000002</v>
      </c>
      <c r="DF169" s="1700">
        <v>329.85</v>
      </c>
      <c r="DG169" s="1700">
        <v>334.09</v>
      </c>
      <c r="DH169" s="1700">
        <v>338.33</v>
      </c>
      <c r="DI169" s="1700">
        <v>342.57</v>
      </c>
      <c r="DJ169" s="1700">
        <v>346.81</v>
      </c>
      <c r="DK169" s="1700">
        <v>351.05</v>
      </c>
      <c r="DL169" s="1700">
        <v>355.29</v>
      </c>
      <c r="DM169" s="1700">
        <v>359.53</v>
      </c>
      <c r="DN169" s="1700">
        <v>363.77</v>
      </c>
      <c r="DO169" s="1700">
        <v>368.01</v>
      </c>
      <c r="DP169" s="1700">
        <v>372.25</v>
      </c>
      <c r="DQ169" s="1700">
        <v>376.49</v>
      </c>
      <c r="DR169" s="1700">
        <v>380.73</v>
      </c>
      <c r="DS169" s="1700"/>
      <c r="DT169" s="1700"/>
      <c r="DU169" s="1700"/>
      <c r="DV169" s="1700"/>
      <c r="DW169" s="1700"/>
      <c r="DX169" s="1700"/>
    </row>
    <row r="170" spans="1:128">
      <c r="A170" s="1622"/>
      <c r="B170" s="1691">
        <f t="shared" si="14"/>
        <v>166</v>
      </c>
      <c r="C170" s="1668" t="str">
        <f t="shared" si="11"/>
        <v>445.77</v>
      </c>
      <c r="D170" s="1672">
        <f t="shared" si="12"/>
        <v>624.08000000000004</v>
      </c>
      <c r="E170" s="1670"/>
      <c r="F170" s="1671" t="str">
        <f t="shared" si="13"/>
        <v>280.13</v>
      </c>
      <c r="G170" s="1672">
        <f t="shared" si="10"/>
        <v>392.18</v>
      </c>
      <c r="H170" s="1670"/>
      <c r="I170" s="1670"/>
      <c r="J170" s="1708">
        <v>166</v>
      </c>
      <c r="K170" s="1693">
        <v>324.93</v>
      </c>
      <c r="L170" s="1693">
        <v>330.97</v>
      </c>
      <c r="M170" s="1693">
        <v>337.01</v>
      </c>
      <c r="N170" s="1693">
        <v>343.05</v>
      </c>
      <c r="O170" s="1693">
        <v>349.1</v>
      </c>
      <c r="P170" s="1694">
        <v>355.14</v>
      </c>
      <c r="Q170" s="1694">
        <v>361.18</v>
      </c>
      <c r="R170" s="1694">
        <v>367.22</v>
      </c>
      <c r="S170" s="1695">
        <v>373.27</v>
      </c>
      <c r="T170" s="1696">
        <v>379.31</v>
      </c>
      <c r="U170" s="1696">
        <v>385.35</v>
      </c>
      <c r="V170" s="1695">
        <v>391.39</v>
      </c>
      <c r="W170" s="1695">
        <v>397.44</v>
      </c>
      <c r="X170" s="1695">
        <v>403.48</v>
      </c>
      <c r="Y170" s="1697">
        <v>409.52</v>
      </c>
      <c r="Z170" s="1698">
        <v>415.56</v>
      </c>
      <c r="AA170" s="1699">
        <v>421.6</v>
      </c>
      <c r="AB170" s="1699">
        <v>427.65</v>
      </c>
      <c r="AC170" s="1699">
        <v>433.69</v>
      </c>
      <c r="AD170" s="1699">
        <v>439.73</v>
      </c>
      <c r="AE170" s="1699">
        <v>445.77</v>
      </c>
      <c r="AF170" s="1683">
        <v>367.62</v>
      </c>
      <c r="AG170" s="1683">
        <v>373.66</v>
      </c>
      <c r="AH170" s="1683">
        <v>379.7</v>
      </c>
      <c r="AI170" s="1683">
        <v>385.75</v>
      </c>
      <c r="AJ170" s="1701">
        <v>391.79</v>
      </c>
      <c r="AK170" s="1701">
        <v>397.83</v>
      </c>
      <c r="AL170" s="1701">
        <v>403.87</v>
      </c>
      <c r="AM170" s="1701">
        <v>409.92</v>
      </c>
      <c r="AN170" s="1701">
        <v>415.96</v>
      </c>
      <c r="AO170" s="1702">
        <v>422</v>
      </c>
      <c r="AP170" s="1700">
        <v>428.04</v>
      </c>
      <c r="AQ170" s="1700">
        <v>434.08</v>
      </c>
      <c r="AR170" s="1700">
        <v>440.13</v>
      </c>
      <c r="AS170" s="1700">
        <v>446.17</v>
      </c>
      <c r="AT170" s="1683">
        <v>452.21</v>
      </c>
      <c r="AU170" s="1700">
        <v>458.25</v>
      </c>
      <c r="AV170" s="1700">
        <v>464.3</v>
      </c>
      <c r="AW170" s="1683">
        <v>470.34</v>
      </c>
      <c r="AX170" s="1683">
        <v>476.38</v>
      </c>
      <c r="AY170" s="1683">
        <v>482.42</v>
      </c>
      <c r="AZ170" s="1683">
        <v>488.47</v>
      </c>
      <c r="BA170" s="1683">
        <v>494.51</v>
      </c>
      <c r="BB170" s="1700">
        <v>500.55</v>
      </c>
      <c r="BC170" s="1683">
        <v>506.59</v>
      </c>
      <c r="BD170" s="1683">
        <v>512.64</v>
      </c>
      <c r="BE170" s="1683">
        <v>518.67999999999995</v>
      </c>
      <c r="BF170" s="1683">
        <v>524.72</v>
      </c>
      <c r="BG170" s="1683">
        <v>530.76</v>
      </c>
      <c r="BH170" s="1683">
        <v>536.80999999999995</v>
      </c>
      <c r="BI170" s="1683">
        <v>542.85</v>
      </c>
      <c r="BJ170" s="1683">
        <v>548.89</v>
      </c>
      <c r="BK170" s="1683">
        <v>554.92999999999995</v>
      </c>
      <c r="BL170" s="1683">
        <v>560.98</v>
      </c>
      <c r="BM170" s="1683">
        <v>567.02</v>
      </c>
      <c r="BN170" s="1683"/>
      <c r="BO170" s="1703">
        <v>166</v>
      </c>
      <c r="BP170" s="1693">
        <v>194.84</v>
      </c>
      <c r="BQ170" s="1693">
        <v>199.08</v>
      </c>
      <c r="BR170" s="1693">
        <v>203.34</v>
      </c>
      <c r="BS170" s="1693">
        <v>207.61</v>
      </c>
      <c r="BT170" s="1693">
        <v>211.87</v>
      </c>
      <c r="BU170" s="1694">
        <v>216.14</v>
      </c>
      <c r="BV170" s="1694">
        <v>220.41</v>
      </c>
      <c r="BW170" s="1694">
        <v>224.67</v>
      </c>
      <c r="BX170" s="1695">
        <v>228.94</v>
      </c>
      <c r="BY170" s="1696">
        <v>233.21</v>
      </c>
      <c r="BZ170" s="1696">
        <v>237.47</v>
      </c>
      <c r="CA170" s="1695">
        <v>241.74</v>
      </c>
      <c r="CB170" s="1695">
        <v>246</v>
      </c>
      <c r="CC170" s="1704">
        <v>250.27</v>
      </c>
      <c r="CD170" s="1697">
        <v>254.54</v>
      </c>
      <c r="CE170" s="1698">
        <v>258.8</v>
      </c>
      <c r="CF170" s="1699">
        <v>263.07</v>
      </c>
      <c r="CG170" s="1699">
        <v>267.33</v>
      </c>
      <c r="CH170" s="1699">
        <v>271.60000000000002</v>
      </c>
      <c r="CI170" s="1699">
        <v>275.87</v>
      </c>
      <c r="CJ170" s="1699">
        <v>280.13</v>
      </c>
      <c r="CK170" s="1700">
        <v>242.26</v>
      </c>
      <c r="CL170" s="1700">
        <v>246.52</v>
      </c>
      <c r="CM170" s="1700">
        <v>250.79</v>
      </c>
      <c r="CN170" s="1700">
        <v>255.05</v>
      </c>
      <c r="CO170" s="1705">
        <v>259.32</v>
      </c>
      <c r="CP170" s="1706">
        <v>263.58999999999997</v>
      </c>
      <c r="CQ170" s="1701">
        <v>267.85000000000002</v>
      </c>
      <c r="CR170" s="1701">
        <v>272.12</v>
      </c>
      <c r="CS170" s="1707">
        <v>276.39</v>
      </c>
      <c r="CT170" s="1700">
        <v>280.64999999999998</v>
      </c>
      <c r="CU170" s="1700">
        <v>284.92</v>
      </c>
      <c r="CV170" s="1700">
        <v>289.18</v>
      </c>
      <c r="CW170" s="1700">
        <v>293.45</v>
      </c>
      <c r="CX170" s="1700">
        <v>297.72000000000003</v>
      </c>
      <c r="CY170" s="1700">
        <v>301.98</v>
      </c>
      <c r="CZ170" s="1700">
        <v>306.25</v>
      </c>
      <c r="DA170" s="1700">
        <v>310.52</v>
      </c>
      <c r="DB170" s="1700">
        <v>314.77999999999997</v>
      </c>
      <c r="DC170" s="1700">
        <v>319.05</v>
      </c>
      <c r="DD170" s="1700">
        <v>323.31</v>
      </c>
      <c r="DE170" s="1700">
        <v>327.58</v>
      </c>
      <c r="DF170" s="1700">
        <v>331.85</v>
      </c>
      <c r="DG170" s="1700">
        <v>336.11</v>
      </c>
      <c r="DH170" s="1700">
        <v>340.38</v>
      </c>
      <c r="DI170" s="1700">
        <v>344.65</v>
      </c>
      <c r="DJ170" s="1700">
        <v>348.91</v>
      </c>
      <c r="DK170" s="1700">
        <v>353.18</v>
      </c>
      <c r="DL170" s="1700">
        <v>357.44</v>
      </c>
      <c r="DM170" s="1700">
        <v>361.71</v>
      </c>
      <c r="DN170" s="1700">
        <v>365.98</v>
      </c>
      <c r="DO170" s="1700">
        <v>370.24</v>
      </c>
      <c r="DP170" s="1700">
        <v>374.51</v>
      </c>
      <c r="DQ170" s="1700">
        <v>378.77</v>
      </c>
      <c r="DR170" s="1700">
        <v>383.04</v>
      </c>
      <c r="DS170" s="1700"/>
      <c r="DT170" s="1700"/>
      <c r="DU170" s="1700"/>
      <c r="DV170" s="1700"/>
      <c r="DW170" s="1700"/>
      <c r="DX170" s="1700"/>
    </row>
    <row r="171" spans="1:128">
      <c r="A171" s="1622"/>
      <c r="B171" s="1691">
        <f t="shared" si="14"/>
        <v>167</v>
      </c>
      <c r="C171" s="1668" t="str">
        <f t="shared" si="11"/>
        <v>448.47</v>
      </c>
      <c r="D171" s="1672">
        <f t="shared" si="12"/>
        <v>627.86</v>
      </c>
      <c r="E171" s="1670"/>
      <c r="F171" s="1671" t="str">
        <f t="shared" si="13"/>
        <v>281.83</v>
      </c>
      <c r="G171" s="1672">
        <f t="shared" si="10"/>
        <v>394.56</v>
      </c>
      <c r="H171" s="1670"/>
      <c r="I171" s="1670"/>
      <c r="J171" s="1708">
        <v>167</v>
      </c>
      <c r="K171" s="1693">
        <v>326.89999999999998</v>
      </c>
      <c r="L171" s="1693">
        <v>332.98</v>
      </c>
      <c r="M171" s="1693">
        <v>339.06</v>
      </c>
      <c r="N171" s="1693">
        <v>345.13</v>
      </c>
      <c r="O171" s="1693">
        <v>351.21</v>
      </c>
      <c r="P171" s="1694">
        <v>357.29</v>
      </c>
      <c r="Q171" s="1694">
        <v>363.37</v>
      </c>
      <c r="R171" s="1694">
        <v>369.45</v>
      </c>
      <c r="S171" s="1695">
        <v>375.53</v>
      </c>
      <c r="T171" s="1696">
        <v>381.61</v>
      </c>
      <c r="U171" s="1696">
        <v>387.69</v>
      </c>
      <c r="V171" s="1695">
        <v>393.76</v>
      </c>
      <c r="W171" s="1695">
        <v>399.84</v>
      </c>
      <c r="X171" s="1695">
        <v>405.92</v>
      </c>
      <c r="Y171" s="1697">
        <v>412</v>
      </c>
      <c r="Z171" s="1698">
        <v>418.08</v>
      </c>
      <c r="AA171" s="1699">
        <v>424.16</v>
      </c>
      <c r="AB171" s="1699">
        <v>430.24</v>
      </c>
      <c r="AC171" s="1699">
        <v>436.32</v>
      </c>
      <c r="AD171" s="1699">
        <v>442.39</v>
      </c>
      <c r="AE171" s="1699">
        <v>448.47</v>
      </c>
      <c r="AF171" s="1700">
        <v>369.84</v>
      </c>
      <c r="AG171" s="1700">
        <v>375.92</v>
      </c>
      <c r="AH171" s="1700">
        <v>382</v>
      </c>
      <c r="AI171" s="1700">
        <v>388.08</v>
      </c>
      <c r="AJ171" s="1701">
        <v>394.16</v>
      </c>
      <c r="AK171" s="1701">
        <v>400.24</v>
      </c>
      <c r="AL171" s="1701">
        <v>406.31</v>
      </c>
      <c r="AM171" s="1701">
        <v>412.39</v>
      </c>
      <c r="AN171" s="1701">
        <v>418.47</v>
      </c>
      <c r="AO171" s="1702">
        <v>424.55</v>
      </c>
      <c r="AP171" s="1700">
        <v>430.63</v>
      </c>
      <c r="AQ171" s="1700">
        <v>436.71</v>
      </c>
      <c r="AR171" s="1683">
        <v>442.79</v>
      </c>
      <c r="AS171" s="1700">
        <v>448.87</v>
      </c>
      <c r="AT171" s="1700">
        <v>454.94</v>
      </c>
      <c r="AU171" s="1700">
        <v>461.02</v>
      </c>
      <c r="AV171" s="1683">
        <v>467.1</v>
      </c>
      <c r="AW171" s="1700">
        <v>473.18</v>
      </c>
      <c r="AX171" s="1700">
        <v>479.26</v>
      </c>
      <c r="AY171" s="1700">
        <v>485.34</v>
      </c>
      <c r="AZ171" s="1700">
        <v>491.42</v>
      </c>
      <c r="BA171" s="1700">
        <v>497.5</v>
      </c>
      <c r="BB171" s="1700">
        <v>503.57</v>
      </c>
      <c r="BC171" s="1700">
        <v>509.65</v>
      </c>
      <c r="BD171" s="1700">
        <v>515.73</v>
      </c>
      <c r="BE171" s="1700">
        <v>521.80999999999995</v>
      </c>
      <c r="BF171" s="1700">
        <v>527.89</v>
      </c>
      <c r="BG171" s="1700">
        <v>533.97</v>
      </c>
      <c r="BH171" s="1700">
        <v>540.04999999999995</v>
      </c>
      <c r="BI171" s="1700">
        <v>546.13</v>
      </c>
      <c r="BJ171" s="1700">
        <v>552.21</v>
      </c>
      <c r="BK171" s="1700">
        <v>558.28</v>
      </c>
      <c r="BL171" s="1700">
        <v>564.36</v>
      </c>
      <c r="BM171" s="1700">
        <v>570.44000000000005</v>
      </c>
      <c r="BN171" s="1700"/>
      <c r="BO171" s="1703">
        <v>167</v>
      </c>
      <c r="BP171" s="1693">
        <v>195.99</v>
      </c>
      <c r="BQ171" s="1693">
        <v>200.28</v>
      </c>
      <c r="BR171" s="1693">
        <v>204.57</v>
      </c>
      <c r="BS171" s="1693">
        <v>208.86</v>
      </c>
      <c r="BT171" s="1693">
        <v>213.16</v>
      </c>
      <c r="BU171" s="1694">
        <v>217.45</v>
      </c>
      <c r="BV171" s="1694">
        <v>221.74</v>
      </c>
      <c r="BW171" s="1694">
        <v>226.03</v>
      </c>
      <c r="BX171" s="1695">
        <v>230.32</v>
      </c>
      <c r="BY171" s="1696">
        <v>234.62</v>
      </c>
      <c r="BZ171" s="1696">
        <v>238.91</v>
      </c>
      <c r="CA171" s="1695">
        <v>243.2</v>
      </c>
      <c r="CB171" s="1695">
        <v>247.49</v>
      </c>
      <c r="CC171" s="1704">
        <v>251.78</v>
      </c>
      <c r="CD171" s="1697">
        <v>256.07</v>
      </c>
      <c r="CE171" s="1698">
        <v>260.37</v>
      </c>
      <c r="CF171" s="1699">
        <v>264.66000000000003</v>
      </c>
      <c r="CG171" s="1699">
        <v>268.95</v>
      </c>
      <c r="CH171" s="1699">
        <v>273.24</v>
      </c>
      <c r="CI171" s="1699">
        <v>277.52999999999997</v>
      </c>
      <c r="CJ171" s="1699">
        <v>281.83</v>
      </c>
      <c r="CK171" s="1700">
        <v>243.72</v>
      </c>
      <c r="CL171" s="1700">
        <v>248.01</v>
      </c>
      <c r="CM171" s="1700">
        <v>252.3</v>
      </c>
      <c r="CN171" s="1700">
        <v>256.58999999999997</v>
      </c>
      <c r="CO171" s="1705">
        <v>260.89</v>
      </c>
      <c r="CP171" s="1706">
        <v>265.18</v>
      </c>
      <c r="CQ171" s="1701">
        <v>269.47000000000003</v>
      </c>
      <c r="CR171" s="1701">
        <v>273.76</v>
      </c>
      <c r="CS171" s="1707">
        <v>278.05</v>
      </c>
      <c r="CT171" s="1700">
        <v>282.35000000000002</v>
      </c>
      <c r="CU171" s="1700">
        <v>286.64</v>
      </c>
      <c r="CV171" s="1700">
        <v>290.93</v>
      </c>
      <c r="CW171" s="1700">
        <v>295.22000000000003</v>
      </c>
      <c r="CX171" s="1700">
        <v>299.51</v>
      </c>
      <c r="CY171" s="1700">
        <v>303.81</v>
      </c>
      <c r="CZ171" s="1700">
        <v>308.10000000000002</v>
      </c>
      <c r="DA171" s="1700">
        <v>312.39</v>
      </c>
      <c r="DB171" s="1700">
        <v>316.68</v>
      </c>
      <c r="DC171" s="1700">
        <v>320.97000000000003</v>
      </c>
      <c r="DD171" s="1700">
        <v>325.26</v>
      </c>
      <c r="DE171" s="1700">
        <v>329.56</v>
      </c>
      <c r="DF171" s="1700">
        <v>333.85</v>
      </c>
      <c r="DG171" s="1700">
        <v>338.14</v>
      </c>
      <c r="DH171" s="1700">
        <v>342.43</v>
      </c>
      <c r="DI171" s="1700">
        <v>346.72</v>
      </c>
      <c r="DJ171" s="1700">
        <v>351.02</v>
      </c>
      <c r="DK171" s="1700">
        <v>355.31</v>
      </c>
      <c r="DL171" s="1700">
        <v>359.6</v>
      </c>
      <c r="DM171" s="1700">
        <v>363.89</v>
      </c>
      <c r="DN171" s="1700">
        <v>368.18</v>
      </c>
      <c r="DO171" s="1700">
        <v>372.48</v>
      </c>
      <c r="DP171" s="1700">
        <v>376.77</v>
      </c>
      <c r="DQ171" s="1700">
        <v>381.06</v>
      </c>
      <c r="DR171" s="1700">
        <v>385.35</v>
      </c>
      <c r="DS171" s="1700"/>
      <c r="DT171" s="1700"/>
      <c r="DU171" s="1700"/>
      <c r="DV171" s="1700"/>
      <c r="DW171" s="1700"/>
      <c r="DX171" s="1700"/>
    </row>
    <row r="172" spans="1:128">
      <c r="A172" s="1622"/>
      <c r="B172" s="1691">
        <f t="shared" si="14"/>
        <v>168</v>
      </c>
      <c r="C172" s="1668" t="str">
        <f t="shared" si="11"/>
        <v>451.18</v>
      </c>
      <c r="D172" s="1672">
        <f t="shared" si="12"/>
        <v>631.65</v>
      </c>
      <c r="E172" s="1670"/>
      <c r="F172" s="1671" t="str">
        <f t="shared" si="13"/>
        <v>283.52</v>
      </c>
      <c r="G172" s="1672">
        <f t="shared" si="10"/>
        <v>396.93</v>
      </c>
      <c r="H172" s="1670"/>
      <c r="I172" s="1670"/>
      <c r="J172" s="1708">
        <v>168</v>
      </c>
      <c r="K172" s="1693">
        <v>328.87</v>
      </c>
      <c r="L172" s="1693">
        <v>334.99</v>
      </c>
      <c r="M172" s="1693">
        <v>341.11</v>
      </c>
      <c r="N172" s="1693">
        <v>347.22</v>
      </c>
      <c r="O172" s="1693">
        <v>353.34</v>
      </c>
      <c r="P172" s="1694">
        <v>359.45</v>
      </c>
      <c r="Q172" s="1694">
        <v>365.57</v>
      </c>
      <c r="R172" s="1694">
        <v>371.68</v>
      </c>
      <c r="S172" s="1695">
        <v>377.8</v>
      </c>
      <c r="T172" s="1696">
        <v>383.91</v>
      </c>
      <c r="U172" s="1696">
        <v>390.03</v>
      </c>
      <c r="V172" s="1695">
        <v>396.14</v>
      </c>
      <c r="W172" s="1695">
        <v>402.26</v>
      </c>
      <c r="X172" s="1695">
        <v>408.37</v>
      </c>
      <c r="Y172" s="1697">
        <v>414.49</v>
      </c>
      <c r="Z172" s="1698">
        <v>420.6</v>
      </c>
      <c r="AA172" s="1699">
        <v>426.72</v>
      </c>
      <c r="AB172" s="1699">
        <v>432.83</v>
      </c>
      <c r="AC172" s="1699">
        <v>438.95</v>
      </c>
      <c r="AD172" s="1699">
        <v>445.06</v>
      </c>
      <c r="AE172" s="1699">
        <v>451.18</v>
      </c>
      <c r="AF172" s="1700">
        <v>372.07</v>
      </c>
      <c r="AG172" s="1700">
        <v>378.18</v>
      </c>
      <c r="AH172" s="1700">
        <v>384.3</v>
      </c>
      <c r="AI172" s="1700">
        <v>390.41</v>
      </c>
      <c r="AJ172" s="1701">
        <v>396.53</v>
      </c>
      <c r="AK172" s="1701">
        <v>402.64</v>
      </c>
      <c r="AL172" s="1701">
        <v>408.76</v>
      </c>
      <c r="AM172" s="1701">
        <v>414.87</v>
      </c>
      <c r="AN172" s="1701">
        <v>420.99</v>
      </c>
      <c r="AO172" s="1702">
        <v>427.1</v>
      </c>
      <c r="AP172" s="1700">
        <v>433.22</v>
      </c>
      <c r="AQ172" s="1700">
        <v>439.33</v>
      </c>
      <c r="AR172" s="1700">
        <v>445.45</v>
      </c>
      <c r="AS172" s="1700">
        <v>451.56</v>
      </c>
      <c r="AT172" s="1700">
        <v>457.68</v>
      </c>
      <c r="AU172" s="1700">
        <v>463.8</v>
      </c>
      <c r="AV172" s="1700">
        <v>469.91</v>
      </c>
      <c r="AW172" s="1700">
        <v>476.03</v>
      </c>
      <c r="AX172" s="1700">
        <v>482.14</v>
      </c>
      <c r="AY172" s="1700">
        <v>488.26</v>
      </c>
      <c r="AZ172" s="1700">
        <v>494.37</v>
      </c>
      <c r="BA172" s="1700">
        <v>500.49</v>
      </c>
      <c r="BB172" s="1683">
        <v>506.6</v>
      </c>
      <c r="BC172" s="1700">
        <v>512.72</v>
      </c>
      <c r="BD172" s="1700">
        <v>518.83000000000004</v>
      </c>
      <c r="BE172" s="1700">
        <v>524.95000000000005</v>
      </c>
      <c r="BF172" s="1700">
        <v>531.05999999999995</v>
      </c>
      <c r="BG172" s="1700">
        <v>537.17999999999995</v>
      </c>
      <c r="BH172" s="1700">
        <v>543.29</v>
      </c>
      <c r="BI172" s="1700">
        <v>549.41</v>
      </c>
      <c r="BJ172" s="1700">
        <v>555.52</v>
      </c>
      <c r="BK172" s="1700">
        <v>561.64</v>
      </c>
      <c r="BL172" s="1700">
        <v>567.75</v>
      </c>
      <c r="BM172" s="1700">
        <v>573.87</v>
      </c>
      <c r="BN172" s="1700"/>
      <c r="BO172" s="1703">
        <v>168</v>
      </c>
      <c r="BP172" s="1693">
        <v>197.17</v>
      </c>
      <c r="BQ172" s="1693">
        <v>201.49</v>
      </c>
      <c r="BR172" s="1693">
        <v>205.8</v>
      </c>
      <c r="BS172" s="1693">
        <v>210.12</v>
      </c>
      <c r="BT172" s="1693">
        <v>214.44</v>
      </c>
      <c r="BU172" s="1694">
        <v>218.76</v>
      </c>
      <c r="BV172" s="1694">
        <v>223.07</v>
      </c>
      <c r="BW172" s="1694">
        <v>227.39</v>
      </c>
      <c r="BX172" s="1695">
        <v>231.71</v>
      </c>
      <c r="BY172" s="1696">
        <v>236.03</v>
      </c>
      <c r="BZ172" s="1696">
        <v>240.34</v>
      </c>
      <c r="CA172" s="1695">
        <v>244.66</v>
      </c>
      <c r="CB172" s="1695">
        <v>248.98</v>
      </c>
      <c r="CC172" s="1704">
        <v>253.3</v>
      </c>
      <c r="CD172" s="1697">
        <v>257.61</v>
      </c>
      <c r="CE172" s="1698">
        <v>261.93</v>
      </c>
      <c r="CF172" s="1699">
        <v>266.25</v>
      </c>
      <c r="CG172" s="1699">
        <v>270.57</v>
      </c>
      <c r="CH172" s="1699">
        <v>274.89</v>
      </c>
      <c r="CI172" s="1699">
        <v>279.2</v>
      </c>
      <c r="CJ172" s="1699">
        <v>283.52</v>
      </c>
      <c r="CK172" s="1700">
        <v>245.18</v>
      </c>
      <c r="CL172" s="1700">
        <v>249.5</v>
      </c>
      <c r="CM172" s="1700">
        <v>253.82</v>
      </c>
      <c r="CN172" s="1700">
        <v>258.14</v>
      </c>
      <c r="CO172" s="1705">
        <v>262.45</v>
      </c>
      <c r="CP172" s="1706">
        <v>266.77</v>
      </c>
      <c r="CQ172" s="1701">
        <v>271.08999999999997</v>
      </c>
      <c r="CR172" s="1701">
        <v>275.41000000000003</v>
      </c>
      <c r="CS172" s="1707">
        <v>279.72000000000003</v>
      </c>
      <c r="CT172" s="1700">
        <v>284.04000000000002</v>
      </c>
      <c r="CU172" s="1700">
        <v>288.36</v>
      </c>
      <c r="CV172" s="1700">
        <v>292.68</v>
      </c>
      <c r="CW172" s="1700">
        <v>296.99</v>
      </c>
      <c r="CX172" s="1700">
        <v>301.31</v>
      </c>
      <c r="CY172" s="1700">
        <v>305.63</v>
      </c>
      <c r="CZ172" s="1700">
        <v>309.95</v>
      </c>
      <c r="DA172" s="1700">
        <v>314.26</v>
      </c>
      <c r="DB172" s="1700">
        <v>318.58</v>
      </c>
      <c r="DC172" s="1700">
        <v>322.89999999999998</v>
      </c>
      <c r="DD172" s="1700">
        <v>327.22000000000003</v>
      </c>
      <c r="DE172" s="1700">
        <v>331.53</v>
      </c>
      <c r="DF172" s="1700">
        <v>335.85</v>
      </c>
      <c r="DG172" s="1700">
        <v>340.17</v>
      </c>
      <c r="DH172" s="1700">
        <v>344.49</v>
      </c>
      <c r="DI172" s="1700">
        <v>348.8</v>
      </c>
      <c r="DJ172" s="1700">
        <v>353.12</v>
      </c>
      <c r="DK172" s="1700">
        <v>357.44</v>
      </c>
      <c r="DL172" s="1700">
        <v>361.76</v>
      </c>
      <c r="DM172" s="1700">
        <v>366.08</v>
      </c>
      <c r="DN172" s="1700">
        <v>370.39</v>
      </c>
      <c r="DO172" s="1700">
        <v>374.71</v>
      </c>
      <c r="DP172" s="1700">
        <v>379.03</v>
      </c>
      <c r="DQ172" s="1700">
        <v>383.35</v>
      </c>
      <c r="DR172" s="1700">
        <v>387.66</v>
      </c>
      <c r="DS172" s="1700"/>
      <c r="DT172" s="1700"/>
      <c r="DU172" s="1700"/>
      <c r="DV172" s="1700"/>
      <c r="DW172" s="1700"/>
      <c r="DX172" s="1700"/>
    </row>
    <row r="173" spans="1:128">
      <c r="A173" s="1622"/>
      <c r="B173" s="1691">
        <f t="shared" si="14"/>
        <v>169</v>
      </c>
      <c r="C173" s="1668" t="str">
        <f t="shared" si="11"/>
        <v>453.41</v>
      </c>
      <c r="D173" s="1672">
        <f t="shared" si="12"/>
        <v>634.77</v>
      </c>
      <c r="E173" s="1670"/>
      <c r="F173" s="1671" t="str">
        <f t="shared" si="13"/>
        <v>285.22</v>
      </c>
      <c r="G173" s="1672">
        <f t="shared" si="10"/>
        <v>399.31</v>
      </c>
      <c r="H173" s="1670"/>
      <c r="I173" s="1670"/>
      <c r="J173" s="1708">
        <v>169</v>
      </c>
      <c r="K173" s="1693">
        <v>330.38</v>
      </c>
      <c r="L173" s="1693">
        <v>336.53</v>
      </c>
      <c r="M173" s="1693">
        <v>642.69000000000005</v>
      </c>
      <c r="N173" s="1693">
        <v>348.84</v>
      </c>
      <c r="O173" s="1693">
        <v>354.99</v>
      </c>
      <c r="P173" s="1694">
        <v>361.14</v>
      </c>
      <c r="Q173" s="1694">
        <v>367.29</v>
      </c>
      <c r="R173" s="1694">
        <v>373.44</v>
      </c>
      <c r="S173" s="1695">
        <v>379.59</v>
      </c>
      <c r="T173" s="1696">
        <v>385.75</v>
      </c>
      <c r="U173" s="1696">
        <v>391.9</v>
      </c>
      <c r="V173" s="1695">
        <v>398.05</v>
      </c>
      <c r="W173" s="1695">
        <v>404.2</v>
      </c>
      <c r="X173" s="1695">
        <v>410.35</v>
      </c>
      <c r="Y173" s="1697">
        <v>416.5</v>
      </c>
      <c r="Z173" s="1698">
        <v>422.66</v>
      </c>
      <c r="AA173" s="1699">
        <v>428.81</v>
      </c>
      <c r="AB173" s="1699">
        <v>434.96</v>
      </c>
      <c r="AC173" s="1699">
        <v>441.11</v>
      </c>
      <c r="AD173" s="1699">
        <v>447.26</v>
      </c>
      <c r="AE173" s="1699">
        <v>453.41</v>
      </c>
      <c r="AF173" s="1683">
        <v>374.02</v>
      </c>
      <c r="AG173" s="1683">
        <v>380.17</v>
      </c>
      <c r="AH173" s="1683">
        <v>386.32</v>
      </c>
      <c r="AI173" s="1683">
        <v>392.47</v>
      </c>
      <c r="AJ173" s="1701">
        <v>398.63</v>
      </c>
      <c r="AK173" s="1701">
        <v>404.78</v>
      </c>
      <c r="AL173" s="1701">
        <v>410.93</v>
      </c>
      <c r="AM173" s="1701">
        <v>417.08</v>
      </c>
      <c r="AN173" s="1701">
        <v>423.23</v>
      </c>
      <c r="AO173" s="1702">
        <v>429.38</v>
      </c>
      <c r="AP173" s="1700">
        <v>435.54</v>
      </c>
      <c r="AQ173" s="1700">
        <v>441.69</v>
      </c>
      <c r="AR173" s="1683">
        <v>447.84</v>
      </c>
      <c r="AS173" s="1700">
        <v>453.99</v>
      </c>
      <c r="AT173" s="1683">
        <v>460.14</v>
      </c>
      <c r="AU173" s="1700">
        <v>466.29</v>
      </c>
      <c r="AV173" s="1700">
        <v>472.44</v>
      </c>
      <c r="AW173" s="1683">
        <v>478.6</v>
      </c>
      <c r="AX173" s="1683">
        <v>484.75</v>
      </c>
      <c r="AY173" s="1683">
        <v>490.9</v>
      </c>
      <c r="AZ173" s="1683">
        <v>497.05</v>
      </c>
      <c r="BA173" s="1683">
        <v>503.2</v>
      </c>
      <c r="BB173" s="1700">
        <v>509.35</v>
      </c>
      <c r="BC173" s="1683">
        <v>515.51</v>
      </c>
      <c r="BD173" s="1683">
        <v>521.66</v>
      </c>
      <c r="BE173" s="1683">
        <v>527.80999999999995</v>
      </c>
      <c r="BF173" s="1683">
        <v>533.96</v>
      </c>
      <c r="BG173" s="1683">
        <v>540.11</v>
      </c>
      <c r="BH173" s="1683">
        <v>546.26</v>
      </c>
      <c r="BI173" s="1683">
        <v>552.41999999999996</v>
      </c>
      <c r="BJ173" s="1683">
        <v>558.57000000000005</v>
      </c>
      <c r="BK173" s="1683">
        <v>564.72</v>
      </c>
      <c r="BL173" s="1683">
        <v>570.87</v>
      </c>
      <c r="BM173" s="1683">
        <v>577.02</v>
      </c>
      <c r="BN173" s="1683"/>
      <c r="BO173" s="1703">
        <v>169</v>
      </c>
      <c r="BP173" s="1693">
        <v>198.35</v>
      </c>
      <c r="BQ173" s="1693">
        <v>202.69</v>
      </c>
      <c r="BR173" s="1693">
        <v>207.04</v>
      </c>
      <c r="BS173" s="1693">
        <v>211.38</v>
      </c>
      <c r="BT173" s="1693">
        <v>21572</v>
      </c>
      <c r="BU173" s="1694">
        <v>220.07</v>
      </c>
      <c r="BV173" s="1694">
        <v>224.41</v>
      </c>
      <c r="BW173" s="1694">
        <v>228.75</v>
      </c>
      <c r="BX173" s="1695">
        <v>233.1</v>
      </c>
      <c r="BY173" s="1696">
        <v>237.44</v>
      </c>
      <c r="BZ173" s="1696">
        <v>241.78</v>
      </c>
      <c r="CA173" s="1695">
        <v>246.13</v>
      </c>
      <c r="CB173" s="1695">
        <v>250.47</v>
      </c>
      <c r="CC173" s="1704">
        <v>254.81</v>
      </c>
      <c r="CD173" s="1697">
        <v>259.16000000000003</v>
      </c>
      <c r="CE173" s="1698">
        <v>263.5</v>
      </c>
      <c r="CF173" s="1699">
        <v>267.83999999999997</v>
      </c>
      <c r="CG173" s="1699">
        <v>272.19</v>
      </c>
      <c r="CH173" s="1699">
        <v>276.52999999999997</v>
      </c>
      <c r="CI173" s="1699">
        <v>280.87</v>
      </c>
      <c r="CJ173" s="1699">
        <v>285.22000000000003</v>
      </c>
      <c r="CK173" s="1700">
        <v>246.65</v>
      </c>
      <c r="CL173" s="1700">
        <v>250.99</v>
      </c>
      <c r="CM173" s="1700">
        <v>255.33</v>
      </c>
      <c r="CN173" s="1700">
        <v>259.68</v>
      </c>
      <c r="CO173" s="1705">
        <v>264.02</v>
      </c>
      <c r="CP173" s="1706">
        <v>268.36</v>
      </c>
      <c r="CQ173" s="1701">
        <v>272.70999999999998</v>
      </c>
      <c r="CR173" s="1701">
        <v>277.05</v>
      </c>
      <c r="CS173" s="1707">
        <v>281.39</v>
      </c>
      <c r="CT173" s="1700">
        <v>285.74</v>
      </c>
      <c r="CU173" s="1700">
        <v>290.08</v>
      </c>
      <c r="CV173" s="1700">
        <v>294.42</v>
      </c>
      <c r="CW173" s="1700">
        <v>298.77</v>
      </c>
      <c r="CX173" s="1700">
        <v>303.11</v>
      </c>
      <c r="CY173" s="1700">
        <v>307.45</v>
      </c>
      <c r="CZ173" s="1700">
        <v>311.8</v>
      </c>
      <c r="DA173" s="1700">
        <v>316.14</v>
      </c>
      <c r="DB173" s="1700">
        <v>320.48</v>
      </c>
      <c r="DC173" s="1700">
        <v>324.83</v>
      </c>
      <c r="DD173" s="1700">
        <v>329.17</v>
      </c>
      <c r="DE173" s="1700">
        <v>333.51</v>
      </c>
      <c r="DF173" s="1700">
        <v>337.86</v>
      </c>
      <c r="DG173" s="1700">
        <v>342.2</v>
      </c>
      <c r="DH173" s="1700">
        <v>346.54</v>
      </c>
      <c r="DI173" s="1700">
        <v>350.89</v>
      </c>
      <c r="DJ173" s="1700">
        <v>355.23</v>
      </c>
      <c r="DK173" s="1700">
        <v>359.57</v>
      </c>
      <c r="DL173" s="1700">
        <v>363.92</v>
      </c>
      <c r="DM173" s="1700">
        <v>368.26</v>
      </c>
      <c r="DN173" s="1700">
        <v>372.6</v>
      </c>
      <c r="DO173" s="1700">
        <v>376.95</v>
      </c>
      <c r="DP173" s="1700">
        <v>381.29</v>
      </c>
      <c r="DQ173" s="1700">
        <v>385.63</v>
      </c>
      <c r="DR173" s="1700">
        <v>389.98</v>
      </c>
      <c r="DS173" s="1700"/>
      <c r="DT173" s="1700"/>
      <c r="DU173" s="1700"/>
      <c r="DV173" s="1700"/>
      <c r="DW173" s="1700"/>
      <c r="DX173" s="1700"/>
    </row>
    <row r="174" spans="1:128">
      <c r="A174" s="1622"/>
      <c r="B174" s="1691">
        <f t="shared" si="14"/>
        <v>170</v>
      </c>
      <c r="C174" s="1668" t="str">
        <f t="shared" si="11"/>
        <v>456.13</v>
      </c>
      <c r="D174" s="1672">
        <f t="shared" si="12"/>
        <v>638.58000000000004</v>
      </c>
      <c r="E174" s="1670"/>
      <c r="F174" s="1671" t="str">
        <f t="shared" si="13"/>
        <v>286.91</v>
      </c>
      <c r="G174" s="1672">
        <f t="shared" si="10"/>
        <v>401.67</v>
      </c>
      <c r="H174" s="1670"/>
      <c r="I174" s="1670"/>
      <c r="J174" s="1708">
        <v>170</v>
      </c>
      <c r="K174" s="1693">
        <v>332.37</v>
      </c>
      <c r="L174" s="1693">
        <v>338.55</v>
      </c>
      <c r="M174" s="1693">
        <v>344.74</v>
      </c>
      <c r="N174" s="1693">
        <v>350.9</v>
      </c>
      <c r="O174" s="1693">
        <v>357.12</v>
      </c>
      <c r="P174" s="1694">
        <v>363.31</v>
      </c>
      <c r="Q174" s="1694">
        <v>369.49</v>
      </c>
      <c r="R174" s="1694">
        <v>375.68</v>
      </c>
      <c r="S174" s="1695">
        <v>381.87</v>
      </c>
      <c r="T174" s="1696">
        <v>388.06</v>
      </c>
      <c r="U174" s="1696">
        <v>394.25</v>
      </c>
      <c r="V174" s="1695">
        <v>400.43</v>
      </c>
      <c r="W174" s="1695">
        <v>406.62</v>
      </c>
      <c r="X174" s="1695">
        <v>412.81</v>
      </c>
      <c r="Y174" s="1697">
        <v>419</v>
      </c>
      <c r="Z174" s="1698">
        <v>425.19</v>
      </c>
      <c r="AA174" s="1699">
        <v>431.37</v>
      </c>
      <c r="AB174" s="1699">
        <v>437.56</v>
      </c>
      <c r="AC174" s="1699">
        <v>443.75</v>
      </c>
      <c r="AD174" s="1699">
        <v>449.94</v>
      </c>
      <c r="AE174" s="1699">
        <v>456.13</v>
      </c>
      <c r="AF174" s="1700">
        <v>376.25</v>
      </c>
      <c r="AG174" s="1700">
        <v>382.44</v>
      </c>
      <c r="AH174" s="1700">
        <v>388.62</v>
      </c>
      <c r="AI174" s="1700">
        <v>394.81</v>
      </c>
      <c r="AJ174" s="1701">
        <v>401</v>
      </c>
      <c r="AK174" s="1701">
        <v>407.19</v>
      </c>
      <c r="AL174" s="1701">
        <v>413.38</v>
      </c>
      <c r="AM174" s="1701">
        <v>419.56</v>
      </c>
      <c r="AN174" s="1701">
        <v>425.75</v>
      </c>
      <c r="AO174" s="1702">
        <v>431.94</v>
      </c>
      <c r="AP174" s="1700">
        <v>438.13</v>
      </c>
      <c r="AQ174" s="1700">
        <v>444.32</v>
      </c>
      <c r="AR174" s="1700">
        <v>450.5</v>
      </c>
      <c r="AS174" s="1700">
        <v>456.69</v>
      </c>
      <c r="AT174" s="1700">
        <v>462.88</v>
      </c>
      <c r="AU174" s="1700">
        <v>469.07</v>
      </c>
      <c r="AV174" s="1683">
        <v>475.26</v>
      </c>
      <c r="AW174" s="1700">
        <v>481.44</v>
      </c>
      <c r="AX174" s="1700">
        <v>487.63</v>
      </c>
      <c r="AY174" s="1700">
        <v>493.82</v>
      </c>
      <c r="AZ174" s="1700">
        <v>500.01</v>
      </c>
      <c r="BA174" s="1700">
        <v>506.2</v>
      </c>
      <c r="BB174" s="1700">
        <v>512.38</v>
      </c>
      <c r="BC174" s="1700">
        <v>518.57000000000005</v>
      </c>
      <c r="BD174" s="1700">
        <v>524.76</v>
      </c>
      <c r="BE174" s="1700">
        <v>530.95000000000005</v>
      </c>
      <c r="BF174" s="1700">
        <v>537.14</v>
      </c>
      <c r="BG174" s="1700">
        <v>543.32000000000005</v>
      </c>
      <c r="BH174" s="1700">
        <v>549.51</v>
      </c>
      <c r="BI174" s="1700">
        <v>555.70000000000005</v>
      </c>
      <c r="BJ174" s="1700">
        <v>561.89</v>
      </c>
      <c r="BK174" s="1700">
        <v>568.08000000000004</v>
      </c>
      <c r="BL174" s="1700">
        <v>574.26</v>
      </c>
      <c r="BM174" s="1700">
        <v>580.45000000000005</v>
      </c>
      <c r="BN174" s="1700"/>
      <c r="BO174" s="1703">
        <v>170</v>
      </c>
      <c r="BP174" s="1693">
        <v>199.53</v>
      </c>
      <c r="BQ174" s="1693">
        <v>203.9</v>
      </c>
      <c r="BR174" s="1693">
        <v>208.27</v>
      </c>
      <c r="BS174" s="1693">
        <v>212.64</v>
      </c>
      <c r="BT174" s="1693">
        <v>217.01</v>
      </c>
      <c r="BU174" s="1694">
        <v>221.38</v>
      </c>
      <c r="BV174" s="1694">
        <v>225.75</v>
      </c>
      <c r="BW174" s="1694">
        <v>230.12</v>
      </c>
      <c r="BX174" s="1695">
        <v>234.49</v>
      </c>
      <c r="BY174" s="1696">
        <v>238.85</v>
      </c>
      <c r="BZ174" s="1696">
        <v>243.22</v>
      </c>
      <c r="CA174" s="1695">
        <v>247.59</v>
      </c>
      <c r="CB174" s="1695">
        <v>251.96</v>
      </c>
      <c r="CC174" s="1704">
        <v>256.33</v>
      </c>
      <c r="CD174" s="1697">
        <v>260.7</v>
      </c>
      <c r="CE174" s="1698">
        <v>265.07</v>
      </c>
      <c r="CF174" s="1699">
        <v>269.44</v>
      </c>
      <c r="CG174" s="1699">
        <v>273.81</v>
      </c>
      <c r="CH174" s="1699">
        <v>278.18</v>
      </c>
      <c r="CI174" s="1699">
        <v>282.54000000000002</v>
      </c>
      <c r="CJ174" s="1699">
        <v>286.91000000000003</v>
      </c>
      <c r="CK174" s="1700">
        <v>248.11</v>
      </c>
      <c r="CL174" s="1700">
        <v>252.48</v>
      </c>
      <c r="CM174" s="1700">
        <v>256.85000000000002</v>
      </c>
      <c r="CN174" s="1700">
        <v>261.22000000000003</v>
      </c>
      <c r="CO174" s="1705">
        <v>265.58999999999997</v>
      </c>
      <c r="CP174" s="1706">
        <v>269.95999999999998</v>
      </c>
      <c r="CQ174" s="1701">
        <v>274.33</v>
      </c>
      <c r="CR174" s="1701">
        <v>278.7</v>
      </c>
      <c r="CS174" s="1707">
        <v>283.06</v>
      </c>
      <c r="CT174" s="1700">
        <v>287.43</v>
      </c>
      <c r="CU174" s="1700">
        <v>291.8</v>
      </c>
      <c r="CV174" s="1700">
        <v>296.17</v>
      </c>
      <c r="CW174" s="1700">
        <v>300.54000000000002</v>
      </c>
      <c r="CX174" s="1700">
        <v>304.91000000000003</v>
      </c>
      <c r="CY174" s="1700">
        <v>309.27999999999997</v>
      </c>
      <c r="CZ174" s="1700">
        <v>313.64999999999998</v>
      </c>
      <c r="DA174" s="1700">
        <v>318.02</v>
      </c>
      <c r="DB174" s="1700">
        <v>322.39</v>
      </c>
      <c r="DC174" s="1700">
        <v>326.75</v>
      </c>
      <c r="DD174" s="1700">
        <v>331.12</v>
      </c>
      <c r="DE174" s="1700">
        <v>335.49</v>
      </c>
      <c r="DF174" s="1700">
        <v>339.86</v>
      </c>
      <c r="DG174" s="1700">
        <v>344.23</v>
      </c>
      <c r="DH174" s="1700">
        <v>348.6</v>
      </c>
      <c r="DI174" s="1700">
        <v>352.97</v>
      </c>
      <c r="DJ174" s="1700">
        <v>357.34</v>
      </c>
      <c r="DK174" s="1700">
        <v>361.71</v>
      </c>
      <c r="DL174" s="1700">
        <v>366.08</v>
      </c>
      <c r="DM174" s="1700">
        <v>370.44</v>
      </c>
      <c r="DN174" s="1700">
        <v>374.81</v>
      </c>
      <c r="DO174" s="1700">
        <v>379.18</v>
      </c>
      <c r="DP174" s="1700">
        <v>383.55</v>
      </c>
      <c r="DQ174" s="1700">
        <v>387.92</v>
      </c>
      <c r="DR174" s="1700">
        <v>392.29</v>
      </c>
      <c r="DS174" s="1700"/>
      <c r="DT174" s="1700"/>
      <c r="DU174" s="1700"/>
      <c r="DV174" s="1700"/>
      <c r="DW174" s="1700"/>
      <c r="DX174" s="1700"/>
    </row>
    <row r="175" spans="1:128">
      <c r="A175" s="1622"/>
      <c r="B175" s="1691">
        <f t="shared" si="14"/>
        <v>171</v>
      </c>
      <c r="C175" s="1668" t="str">
        <f t="shared" si="11"/>
        <v>458.84</v>
      </c>
      <c r="D175" s="1672">
        <f t="shared" si="12"/>
        <v>642.38</v>
      </c>
      <c r="E175" s="1670"/>
      <c r="F175" s="1671" t="str">
        <f t="shared" si="13"/>
        <v>288.61</v>
      </c>
      <c r="G175" s="1672">
        <f t="shared" si="10"/>
        <v>404.05</v>
      </c>
      <c r="H175" s="1670"/>
      <c r="I175" s="1670"/>
      <c r="J175" s="1708">
        <v>171</v>
      </c>
      <c r="K175" s="1693">
        <v>334.35</v>
      </c>
      <c r="L175" s="1693">
        <v>340.58</v>
      </c>
      <c r="M175" s="1693">
        <v>346.8</v>
      </c>
      <c r="N175" s="1693">
        <v>353.03</v>
      </c>
      <c r="O175" s="1693">
        <v>359.25</v>
      </c>
      <c r="P175" s="1694">
        <v>365.48</v>
      </c>
      <c r="Q175" s="1694">
        <v>371.7</v>
      </c>
      <c r="R175" s="1694">
        <v>377.93</v>
      </c>
      <c r="S175" s="1695">
        <v>384.15</v>
      </c>
      <c r="T175" s="1696">
        <v>390.37</v>
      </c>
      <c r="U175" s="1696">
        <v>396.6</v>
      </c>
      <c r="V175" s="1695">
        <v>402.82</v>
      </c>
      <c r="W175" s="1695">
        <v>409.05</v>
      </c>
      <c r="X175" s="1695">
        <v>415.27</v>
      </c>
      <c r="Y175" s="1697">
        <v>421.5</v>
      </c>
      <c r="Z175" s="1698">
        <v>427.72</v>
      </c>
      <c r="AA175" s="1699">
        <v>433.94</v>
      </c>
      <c r="AB175" s="1699">
        <v>440.17</v>
      </c>
      <c r="AC175" s="1699">
        <v>446.39</v>
      </c>
      <c r="AD175" s="1699">
        <v>452.62</v>
      </c>
      <c r="AE175" s="1699">
        <v>458.84</v>
      </c>
      <c r="AF175" s="1700">
        <v>378.48</v>
      </c>
      <c r="AG175" s="1700">
        <v>384.71</v>
      </c>
      <c r="AH175" s="1700">
        <v>390.93</v>
      </c>
      <c r="AI175" s="1700">
        <v>397.16</v>
      </c>
      <c r="AJ175" s="1701">
        <v>403.38</v>
      </c>
      <c r="AK175" s="1701">
        <v>409.6</v>
      </c>
      <c r="AL175" s="1701">
        <v>415.83</v>
      </c>
      <c r="AM175" s="1701">
        <v>422.05</v>
      </c>
      <c r="AN175" s="1701">
        <v>428.28</v>
      </c>
      <c r="AO175" s="1702">
        <v>434.5</v>
      </c>
      <c r="AP175" s="1700">
        <v>440.73</v>
      </c>
      <c r="AQ175" s="1700">
        <v>446.95</v>
      </c>
      <c r="AR175" s="1683">
        <v>453.17</v>
      </c>
      <c r="AS175" s="1700">
        <v>459.4</v>
      </c>
      <c r="AT175" s="1700">
        <v>465.62</v>
      </c>
      <c r="AU175" s="1700">
        <v>471.85</v>
      </c>
      <c r="AV175" s="1700">
        <v>478.07</v>
      </c>
      <c r="AW175" s="1700">
        <v>484.3</v>
      </c>
      <c r="AX175" s="1700">
        <v>490.52</v>
      </c>
      <c r="AY175" s="1700">
        <v>496.75</v>
      </c>
      <c r="AZ175" s="1700">
        <v>502.97</v>
      </c>
      <c r="BA175" s="1700">
        <v>509.19</v>
      </c>
      <c r="BB175" s="1683">
        <v>515.41999999999996</v>
      </c>
      <c r="BC175" s="1700">
        <v>521.64</v>
      </c>
      <c r="BD175" s="1700">
        <v>276.87</v>
      </c>
      <c r="BE175" s="1700">
        <v>534.09</v>
      </c>
      <c r="BF175" s="1700">
        <v>540.32000000000005</v>
      </c>
      <c r="BG175" s="1700">
        <v>546.54</v>
      </c>
      <c r="BH175" s="1700">
        <v>552.77</v>
      </c>
      <c r="BI175" s="1700">
        <v>558.99</v>
      </c>
      <c r="BJ175" s="1700">
        <v>565.21</v>
      </c>
      <c r="BK175" s="1700">
        <v>571.44000000000005</v>
      </c>
      <c r="BL175" s="1700">
        <v>577.66</v>
      </c>
      <c r="BM175" s="1700">
        <v>583.89</v>
      </c>
      <c r="BN175" s="1700"/>
      <c r="BO175" s="1703">
        <v>171</v>
      </c>
      <c r="BP175" s="1693">
        <v>200.72</v>
      </c>
      <c r="BQ175" s="1693">
        <v>250.11</v>
      </c>
      <c r="BR175" s="1693">
        <v>209.51</v>
      </c>
      <c r="BS175" s="1693">
        <v>213.9</v>
      </c>
      <c r="BT175" s="1693">
        <v>218.3</v>
      </c>
      <c r="BU175" s="1694">
        <v>222.69</v>
      </c>
      <c r="BV175" s="1694">
        <v>227.09</v>
      </c>
      <c r="BW175" s="1694">
        <v>231.48</v>
      </c>
      <c r="BX175" s="1695">
        <v>235.88</v>
      </c>
      <c r="BY175" s="1696">
        <v>240.27</v>
      </c>
      <c r="BZ175" s="1696">
        <v>244.67</v>
      </c>
      <c r="CA175" s="1695">
        <v>249.06</v>
      </c>
      <c r="CB175" s="1695">
        <v>253.46</v>
      </c>
      <c r="CC175" s="1704">
        <v>257.85000000000002</v>
      </c>
      <c r="CD175" s="1697">
        <v>262.24</v>
      </c>
      <c r="CE175" s="1698">
        <v>266.64</v>
      </c>
      <c r="CF175" s="1699">
        <v>271.02999999999997</v>
      </c>
      <c r="CG175" s="1699">
        <v>275.43</v>
      </c>
      <c r="CH175" s="1699">
        <v>279.82</v>
      </c>
      <c r="CI175" s="1699">
        <v>284.22000000000003</v>
      </c>
      <c r="CJ175" s="1699">
        <v>288.61</v>
      </c>
      <c r="CK175" s="1700">
        <v>249.58</v>
      </c>
      <c r="CL175" s="1700">
        <v>253.97</v>
      </c>
      <c r="CM175" s="1700">
        <v>258.37</v>
      </c>
      <c r="CN175" s="1700">
        <v>262.76</v>
      </c>
      <c r="CO175" s="1705">
        <v>267.16000000000003</v>
      </c>
      <c r="CP175" s="1706">
        <v>271.55</v>
      </c>
      <c r="CQ175" s="1701">
        <v>275.95</v>
      </c>
      <c r="CR175" s="1701">
        <v>280.33999999999997</v>
      </c>
      <c r="CS175" s="1707">
        <v>284.74</v>
      </c>
      <c r="CT175" s="1700">
        <v>289.13</v>
      </c>
      <c r="CU175" s="1700">
        <v>293.52999999999997</v>
      </c>
      <c r="CV175" s="1700">
        <v>297.92</v>
      </c>
      <c r="CW175" s="1700">
        <v>302.32</v>
      </c>
      <c r="CX175" s="1700">
        <v>306.70999999999998</v>
      </c>
      <c r="CY175" s="1700">
        <v>311.10000000000002</v>
      </c>
      <c r="CZ175" s="1700">
        <v>315.5</v>
      </c>
      <c r="DA175" s="1700">
        <v>319.89</v>
      </c>
      <c r="DB175" s="1700">
        <v>324.29000000000002</v>
      </c>
      <c r="DC175" s="1700">
        <v>328.68</v>
      </c>
      <c r="DD175" s="1700">
        <v>333.08</v>
      </c>
      <c r="DE175" s="1700">
        <v>337.47</v>
      </c>
      <c r="DF175" s="1700">
        <v>341.87</v>
      </c>
      <c r="DG175" s="1700">
        <v>346.26</v>
      </c>
      <c r="DH175" s="1700">
        <v>350.66</v>
      </c>
      <c r="DI175" s="1700">
        <v>355.05</v>
      </c>
      <c r="DJ175" s="1700">
        <v>359.45</v>
      </c>
      <c r="DK175" s="1700">
        <v>363.84</v>
      </c>
      <c r="DL175" s="1700">
        <v>368.24</v>
      </c>
      <c r="DM175" s="1700">
        <v>372.63</v>
      </c>
      <c r="DN175" s="1700">
        <v>377.03</v>
      </c>
      <c r="DO175" s="1700">
        <v>381.42</v>
      </c>
      <c r="DP175" s="1700">
        <v>385.81</v>
      </c>
      <c r="DQ175" s="1700">
        <v>390.21</v>
      </c>
      <c r="DR175" s="1700">
        <v>394.6</v>
      </c>
      <c r="DS175" s="1700"/>
      <c r="DT175" s="1700"/>
      <c r="DU175" s="1700"/>
      <c r="DV175" s="1700"/>
      <c r="DW175" s="1700"/>
      <c r="DX175" s="1700"/>
    </row>
    <row r="176" spans="1:128">
      <c r="A176" s="1622"/>
      <c r="B176" s="1691">
        <f t="shared" si="14"/>
        <v>172</v>
      </c>
      <c r="C176" s="1668" t="str">
        <f t="shared" si="11"/>
        <v>461.57</v>
      </c>
      <c r="D176" s="1672">
        <f t="shared" si="12"/>
        <v>646.20000000000005</v>
      </c>
      <c r="E176" s="1670"/>
      <c r="F176" s="1671" t="str">
        <f t="shared" si="13"/>
        <v>290.31</v>
      </c>
      <c r="G176" s="1672">
        <f t="shared" si="10"/>
        <v>406.43</v>
      </c>
      <c r="H176" s="1670"/>
      <c r="I176" s="1670"/>
      <c r="J176" s="1708">
        <v>172</v>
      </c>
      <c r="K176" s="1693">
        <v>336.35</v>
      </c>
      <c r="L176" s="1693">
        <v>342.61</v>
      </c>
      <c r="M176" s="1693">
        <v>348.87</v>
      </c>
      <c r="N176" s="1693">
        <v>355.13</v>
      </c>
      <c r="O176" s="1693">
        <v>361.39</v>
      </c>
      <c r="P176" s="1694">
        <v>367.65</v>
      </c>
      <c r="Q176" s="1694">
        <v>373.91</v>
      </c>
      <c r="R176" s="1694">
        <v>380.18</v>
      </c>
      <c r="S176" s="1695">
        <v>386.44</v>
      </c>
      <c r="T176" s="1696">
        <v>392.7</v>
      </c>
      <c r="U176" s="1696">
        <v>398.96</v>
      </c>
      <c r="V176" s="1695">
        <v>405.22</v>
      </c>
      <c r="W176" s="1695">
        <v>411.48</v>
      </c>
      <c r="X176" s="1695">
        <v>417.74</v>
      </c>
      <c r="Y176" s="1697" t="s">
        <v>1445</v>
      </c>
      <c r="Z176" s="1698">
        <v>430.26</v>
      </c>
      <c r="AA176" s="1699">
        <v>436.52</v>
      </c>
      <c r="AB176" s="1699">
        <v>442.78</v>
      </c>
      <c r="AC176" s="1699">
        <v>449.04</v>
      </c>
      <c r="AD176" s="1699">
        <v>455.3</v>
      </c>
      <c r="AE176" s="1699">
        <v>461.57</v>
      </c>
      <c r="AF176" s="1683">
        <v>380.72</v>
      </c>
      <c r="AG176" s="1683">
        <v>386.98</v>
      </c>
      <c r="AH176" s="1683">
        <v>393.24</v>
      </c>
      <c r="AI176" s="1683">
        <v>399.5</v>
      </c>
      <c r="AJ176" s="1701">
        <v>405.76</v>
      </c>
      <c r="AK176" s="1701">
        <v>412.02</v>
      </c>
      <c r="AL176" s="1701">
        <v>418.28</v>
      </c>
      <c r="AM176" s="1701">
        <v>424.54</v>
      </c>
      <c r="AN176" s="1701">
        <v>430.8</v>
      </c>
      <c r="AO176" s="1702">
        <v>437.07</v>
      </c>
      <c r="AP176" s="1700">
        <v>443.33</v>
      </c>
      <c r="AQ176" s="1700">
        <v>449.59</v>
      </c>
      <c r="AR176" s="1700">
        <v>455.85</v>
      </c>
      <c r="AS176" s="1700">
        <v>462.11</v>
      </c>
      <c r="AT176" s="1683">
        <v>468.37</v>
      </c>
      <c r="AU176" s="1700">
        <v>474.63</v>
      </c>
      <c r="AV176" s="1700">
        <v>480.89</v>
      </c>
      <c r="AW176" s="1683">
        <v>487.15</v>
      </c>
      <c r="AX176" s="1683">
        <v>493.41</v>
      </c>
      <c r="AY176" s="1683">
        <v>499.67</v>
      </c>
      <c r="AZ176" s="1683">
        <v>505.93</v>
      </c>
      <c r="BA176" s="1683">
        <v>512.20000000000005</v>
      </c>
      <c r="BB176" s="1700">
        <v>518.46</v>
      </c>
      <c r="BC176" s="1683">
        <v>524.72</v>
      </c>
      <c r="BD176" s="1683">
        <v>530.98</v>
      </c>
      <c r="BE176" s="1683">
        <v>537.24</v>
      </c>
      <c r="BF176" s="1683">
        <v>543.5</v>
      </c>
      <c r="BG176" s="1683">
        <v>549.76</v>
      </c>
      <c r="BH176" s="1683">
        <v>556.02</v>
      </c>
      <c r="BI176" s="1683">
        <v>562.28</v>
      </c>
      <c r="BJ176" s="1683">
        <v>568.54</v>
      </c>
      <c r="BK176" s="1683">
        <v>574.79999999999995</v>
      </c>
      <c r="BL176" s="1683">
        <v>581.05999999999995</v>
      </c>
      <c r="BM176" s="1683">
        <v>587.32000000000005</v>
      </c>
      <c r="BN176" s="1683"/>
      <c r="BO176" s="1703">
        <v>172</v>
      </c>
      <c r="BP176" s="1693">
        <v>201.91</v>
      </c>
      <c r="BQ176" s="1693">
        <v>206.33</v>
      </c>
      <c r="BR176" s="1693">
        <v>210.75</v>
      </c>
      <c r="BS176" s="1693">
        <v>215.17</v>
      </c>
      <c r="BT176" s="1693">
        <v>219.59</v>
      </c>
      <c r="BU176" s="1694">
        <v>224.01</v>
      </c>
      <c r="BV176" s="1694">
        <v>228.43</v>
      </c>
      <c r="BW176" s="1694">
        <v>232.85</v>
      </c>
      <c r="BX176" s="1695">
        <v>237.27</v>
      </c>
      <c r="BY176" s="1696">
        <v>241.69</v>
      </c>
      <c r="BZ176" s="1696">
        <v>246.11</v>
      </c>
      <c r="CA176" s="1695">
        <v>250.53</v>
      </c>
      <c r="CB176" s="1695">
        <v>254.95</v>
      </c>
      <c r="CC176" s="1704">
        <v>259.37</v>
      </c>
      <c r="CD176" s="1697">
        <v>263.79000000000002</v>
      </c>
      <c r="CE176" s="1698">
        <v>268.20999999999998</v>
      </c>
      <c r="CF176" s="1699">
        <v>272.63</v>
      </c>
      <c r="CG176" s="1699">
        <v>277.05</v>
      </c>
      <c r="CH176" s="1699">
        <v>281.47000000000003</v>
      </c>
      <c r="CI176" s="1699">
        <v>285.89</v>
      </c>
      <c r="CJ176" s="1699">
        <v>290.31</v>
      </c>
      <c r="CK176" s="1700">
        <v>251.05</v>
      </c>
      <c r="CL176" s="1700">
        <v>255.47</v>
      </c>
      <c r="CM176" s="1700">
        <v>259.89</v>
      </c>
      <c r="CN176" s="1700">
        <v>264.31</v>
      </c>
      <c r="CO176" s="1705">
        <v>268.73</v>
      </c>
      <c r="CP176" s="1706">
        <v>273.14999999999998</v>
      </c>
      <c r="CQ176" s="1701">
        <v>277.57</v>
      </c>
      <c r="CR176" s="1701">
        <v>281.99</v>
      </c>
      <c r="CS176" s="1707">
        <v>286.41000000000003</v>
      </c>
      <c r="CT176" s="1700">
        <v>290.83</v>
      </c>
      <c r="CU176" s="1700">
        <v>295.25</v>
      </c>
      <c r="CV176" s="1700">
        <v>299.67</v>
      </c>
      <c r="CW176" s="1700">
        <v>304.08999999999997</v>
      </c>
      <c r="CX176" s="1700">
        <v>308.51</v>
      </c>
      <c r="CY176" s="1700">
        <v>312.93</v>
      </c>
      <c r="CZ176" s="1700">
        <v>317.35000000000002</v>
      </c>
      <c r="DA176" s="1700">
        <v>321.77</v>
      </c>
      <c r="DB176" s="1700">
        <v>326.19</v>
      </c>
      <c r="DC176" s="1700">
        <v>330.61</v>
      </c>
      <c r="DD176" s="1700">
        <v>335.03</v>
      </c>
      <c r="DE176" s="1700">
        <v>339.45</v>
      </c>
      <c r="DF176" s="1700">
        <v>343.88</v>
      </c>
      <c r="DG176" s="1700">
        <v>348.3</v>
      </c>
      <c r="DH176" s="1700">
        <v>352.72</v>
      </c>
      <c r="DI176" s="1700">
        <v>357.14</v>
      </c>
      <c r="DJ176" s="1700">
        <v>361.56</v>
      </c>
      <c r="DK176" s="1700">
        <v>365.98</v>
      </c>
      <c r="DL176" s="1700">
        <v>370.4</v>
      </c>
      <c r="DM176" s="1700">
        <v>374.82</v>
      </c>
      <c r="DN176" s="1700">
        <v>379.24</v>
      </c>
      <c r="DO176" s="1700">
        <v>383.66</v>
      </c>
      <c r="DP176" s="1700">
        <v>388.08</v>
      </c>
      <c r="DQ176" s="1700">
        <v>392.5</v>
      </c>
      <c r="DR176" s="1700">
        <v>396.92</v>
      </c>
      <c r="DS176" s="1700"/>
      <c r="DT176" s="1700"/>
      <c r="DU176" s="1700"/>
      <c r="DV176" s="1700"/>
      <c r="DW176" s="1700"/>
      <c r="DX176" s="1700"/>
    </row>
    <row r="177" spans="1:128">
      <c r="A177" s="1622"/>
      <c r="B177" s="1691">
        <f t="shared" si="14"/>
        <v>173</v>
      </c>
      <c r="C177" s="1668" t="str">
        <f t="shared" si="11"/>
        <v>464.29</v>
      </c>
      <c r="D177" s="1672">
        <f t="shared" si="12"/>
        <v>650.01</v>
      </c>
      <c r="E177" s="1670"/>
      <c r="F177" s="1671" t="str">
        <f t="shared" si="13"/>
        <v>291.88</v>
      </c>
      <c r="G177" s="1672">
        <f t="shared" si="10"/>
        <v>408.63</v>
      </c>
      <c r="H177" s="1670"/>
      <c r="I177" s="1670"/>
      <c r="J177" s="1708">
        <v>173</v>
      </c>
      <c r="K177" s="1693">
        <v>338.35</v>
      </c>
      <c r="L177" s="1693">
        <v>344.65</v>
      </c>
      <c r="M177" s="1693">
        <v>350.95</v>
      </c>
      <c r="N177" s="1693">
        <v>357.24</v>
      </c>
      <c r="O177" s="1693">
        <v>363.54</v>
      </c>
      <c r="P177" s="1694">
        <v>369.84</v>
      </c>
      <c r="Q177" s="1694">
        <v>376.13</v>
      </c>
      <c r="R177" s="1694">
        <v>382.43</v>
      </c>
      <c r="S177" s="1695">
        <v>388.73</v>
      </c>
      <c r="T177" s="1696">
        <v>395.03</v>
      </c>
      <c r="U177" s="1696">
        <v>401.32</v>
      </c>
      <c r="V177" s="1695">
        <v>407.62</v>
      </c>
      <c r="W177" s="1695">
        <v>413.92</v>
      </c>
      <c r="X177" s="1695">
        <v>420.21</v>
      </c>
      <c r="Y177" s="1697">
        <v>426.51</v>
      </c>
      <c r="Z177" s="1698">
        <v>432.81</v>
      </c>
      <c r="AA177" s="1699">
        <v>439.11</v>
      </c>
      <c r="AB177" s="1699">
        <v>445.4</v>
      </c>
      <c r="AC177" s="1699">
        <v>451.7</v>
      </c>
      <c r="AD177" s="1699">
        <v>458</v>
      </c>
      <c r="AE177" s="1699">
        <v>464.29</v>
      </c>
      <c r="AF177" s="1700">
        <v>382.96</v>
      </c>
      <c r="AG177" s="1700">
        <v>389.26</v>
      </c>
      <c r="AH177" s="1700">
        <v>395.55</v>
      </c>
      <c r="AI177" s="1700">
        <v>401.85</v>
      </c>
      <c r="AJ177" s="1701">
        <v>408.15</v>
      </c>
      <c r="AK177" s="1701">
        <v>414.44</v>
      </c>
      <c r="AL177" s="1701">
        <v>420.74</v>
      </c>
      <c r="AM177" s="1701">
        <v>427.04</v>
      </c>
      <c r="AN177" s="1701">
        <v>433.34</v>
      </c>
      <c r="AO177" s="1702">
        <v>439.63</v>
      </c>
      <c r="AP177" s="1700">
        <v>445.93</v>
      </c>
      <c r="AQ177" s="1700">
        <v>452.23</v>
      </c>
      <c r="AR177" s="1683">
        <v>458.53</v>
      </c>
      <c r="AS177" s="1700">
        <v>464.82</v>
      </c>
      <c r="AT177" s="1700">
        <v>471.12</v>
      </c>
      <c r="AU177" s="1700">
        <v>477.42</v>
      </c>
      <c r="AV177" s="1683">
        <v>483.71</v>
      </c>
      <c r="AW177" s="1700">
        <v>490.01</v>
      </c>
      <c r="AX177" s="1700">
        <v>496.31</v>
      </c>
      <c r="AY177" s="1700">
        <v>500.61</v>
      </c>
      <c r="AZ177" s="1700">
        <v>508.9</v>
      </c>
      <c r="BA177" s="1700">
        <v>515.20000000000005</v>
      </c>
      <c r="BB177" s="1700">
        <v>521.5</v>
      </c>
      <c r="BC177" s="1700">
        <v>527.79</v>
      </c>
      <c r="BD177" s="1700">
        <v>534.09</v>
      </c>
      <c r="BE177" s="1700">
        <v>540.39</v>
      </c>
      <c r="BF177" s="1700">
        <v>546.69000000000005</v>
      </c>
      <c r="BG177" s="1700">
        <v>552.98</v>
      </c>
      <c r="BH177" s="1700">
        <v>559.28</v>
      </c>
      <c r="BI177" s="1700">
        <v>565.58000000000004</v>
      </c>
      <c r="BJ177" s="1700">
        <v>571.87</v>
      </c>
      <c r="BK177" s="1700">
        <v>578.16999999999996</v>
      </c>
      <c r="BL177" s="1700">
        <v>584.47</v>
      </c>
      <c r="BM177" s="1700">
        <v>590.77</v>
      </c>
      <c r="BN177" s="1700"/>
      <c r="BO177" s="1703">
        <v>173</v>
      </c>
      <c r="BP177" s="1693">
        <v>202.96</v>
      </c>
      <c r="BQ177" s="1693">
        <v>207.41</v>
      </c>
      <c r="BR177" s="1693">
        <v>211.85</v>
      </c>
      <c r="BS177" s="1693">
        <v>216.3</v>
      </c>
      <c r="BT177" s="1693">
        <v>220.74</v>
      </c>
      <c r="BU177" s="1694">
        <v>225.19</v>
      </c>
      <c r="BV177" s="1694">
        <v>229.64</v>
      </c>
      <c r="BW177" s="1694">
        <v>234.08</v>
      </c>
      <c r="BX177" s="1695">
        <v>238.53</v>
      </c>
      <c r="BY177" s="1696">
        <v>242.98</v>
      </c>
      <c r="BZ177" s="1696">
        <v>247.42</v>
      </c>
      <c r="CA177" s="1695">
        <v>251.87</v>
      </c>
      <c r="CB177" s="1695">
        <v>256.31</v>
      </c>
      <c r="CC177" s="1704">
        <v>260.76</v>
      </c>
      <c r="CD177" s="1697">
        <v>265.20999999999998</v>
      </c>
      <c r="CE177" s="1698">
        <v>269.64999999999998</v>
      </c>
      <c r="CF177" s="1699">
        <v>274.10000000000002</v>
      </c>
      <c r="CG177" s="1699">
        <v>278.55</v>
      </c>
      <c r="CH177" s="1699">
        <v>282.99</v>
      </c>
      <c r="CI177" s="1699">
        <v>287.44</v>
      </c>
      <c r="CJ177" s="1699">
        <v>291.88</v>
      </c>
      <c r="CK177" s="1700">
        <v>252.43</v>
      </c>
      <c r="CL177" s="1700">
        <v>256.88</v>
      </c>
      <c r="CM177" s="1700">
        <v>261.33</v>
      </c>
      <c r="CN177" s="1700">
        <v>265.77</v>
      </c>
      <c r="CO177" s="1705">
        <v>270.22000000000003</v>
      </c>
      <c r="CP177" s="1706">
        <v>274.66000000000003</v>
      </c>
      <c r="CQ177" s="1701">
        <v>279.11</v>
      </c>
      <c r="CR177" s="1701">
        <v>283.56</v>
      </c>
      <c r="CS177" s="1707">
        <v>288</v>
      </c>
      <c r="CT177" s="1700">
        <v>292.45</v>
      </c>
      <c r="CU177" s="1700">
        <v>296.89</v>
      </c>
      <c r="CV177" s="1700">
        <v>301.33999999999997</v>
      </c>
      <c r="CW177" s="1700">
        <v>305.79000000000002</v>
      </c>
      <c r="CX177" s="1700">
        <v>310.23</v>
      </c>
      <c r="CY177" s="1700">
        <v>314.68</v>
      </c>
      <c r="CZ177" s="1700">
        <v>319.12</v>
      </c>
      <c r="DA177" s="1700">
        <v>323.57</v>
      </c>
      <c r="DB177" s="1700">
        <v>328.02</v>
      </c>
      <c r="DC177" s="1700">
        <v>332.46</v>
      </c>
      <c r="DD177" s="1700">
        <v>336.91</v>
      </c>
      <c r="DE177" s="1700">
        <v>341.35</v>
      </c>
      <c r="DF177" s="1700">
        <v>345.8</v>
      </c>
      <c r="DG177" s="1700">
        <v>350.25</v>
      </c>
      <c r="DH177" s="1700">
        <v>354.69</v>
      </c>
      <c r="DI177" s="1700">
        <v>359.14</v>
      </c>
      <c r="DJ177" s="1700">
        <v>363.59</v>
      </c>
      <c r="DK177" s="1700">
        <v>368.03</v>
      </c>
      <c r="DL177" s="1700">
        <v>372.48</v>
      </c>
      <c r="DM177" s="1700">
        <v>376.92</v>
      </c>
      <c r="DN177" s="1700">
        <v>381.37</v>
      </c>
      <c r="DO177" s="1700">
        <v>385.82</v>
      </c>
      <c r="DP177" s="1700">
        <v>390.26</v>
      </c>
      <c r="DQ177" s="1700">
        <v>394.71</v>
      </c>
      <c r="DR177" s="1700">
        <v>399.15</v>
      </c>
      <c r="DS177" s="1700"/>
      <c r="DT177" s="1700"/>
      <c r="DU177" s="1700"/>
      <c r="DV177" s="1700"/>
      <c r="DW177" s="1700"/>
      <c r="DX177" s="1700"/>
    </row>
    <row r="178" spans="1:128">
      <c r="A178" s="1622"/>
      <c r="B178" s="1691">
        <f t="shared" si="14"/>
        <v>174</v>
      </c>
      <c r="C178" s="1668" t="str">
        <f t="shared" si="11"/>
        <v>467.03</v>
      </c>
      <c r="D178" s="1672">
        <f t="shared" si="12"/>
        <v>653.84</v>
      </c>
      <c r="E178" s="1670"/>
      <c r="F178" s="1671" t="str">
        <f t="shared" si="13"/>
        <v>293.59</v>
      </c>
      <c r="G178" s="1672">
        <f t="shared" si="10"/>
        <v>411.03</v>
      </c>
      <c r="H178" s="1670"/>
      <c r="I178" s="1670"/>
      <c r="J178" s="1708">
        <v>174</v>
      </c>
      <c r="K178" s="1693">
        <v>340.36</v>
      </c>
      <c r="L178" s="1693">
        <v>346.69</v>
      </c>
      <c r="M178" s="1693">
        <v>353.03</v>
      </c>
      <c r="N178" s="1693">
        <v>259.36</v>
      </c>
      <c r="O178" s="1693">
        <v>365.69</v>
      </c>
      <c r="P178" s="1694">
        <v>372.03</v>
      </c>
      <c r="Q178" s="1694">
        <v>378.36</v>
      </c>
      <c r="R178" s="1694">
        <v>384.69</v>
      </c>
      <c r="S178" s="1695">
        <v>391.03</v>
      </c>
      <c r="T178" s="1696">
        <v>397.36</v>
      </c>
      <c r="U178" s="1696">
        <v>403.69</v>
      </c>
      <c r="V178" s="1695">
        <v>410.03</v>
      </c>
      <c r="W178" s="1695">
        <v>416.36</v>
      </c>
      <c r="X178" s="1695">
        <v>422.7</v>
      </c>
      <c r="Y178" s="1697">
        <v>429.03</v>
      </c>
      <c r="Z178" s="1698">
        <v>435.36</v>
      </c>
      <c r="AA178" s="1699">
        <v>441.7</v>
      </c>
      <c r="AB178" s="1699">
        <v>448.03</v>
      </c>
      <c r="AC178" s="1699">
        <v>454.36</v>
      </c>
      <c r="AD178" s="1699">
        <v>460.7</v>
      </c>
      <c r="AE178" s="1699">
        <v>467.03</v>
      </c>
      <c r="AF178" s="1700">
        <v>385.2</v>
      </c>
      <c r="AG178" s="1700">
        <v>391.54</v>
      </c>
      <c r="AH178" s="1700">
        <v>397.87</v>
      </c>
      <c r="AI178" s="1700">
        <v>404.2</v>
      </c>
      <c r="AJ178" s="1701">
        <v>410.54</v>
      </c>
      <c r="AK178" s="1701">
        <v>416.87</v>
      </c>
      <c r="AL178" s="1701">
        <v>423.2</v>
      </c>
      <c r="AM178" s="1701">
        <v>429.54</v>
      </c>
      <c r="AN178" s="1701">
        <v>435.87</v>
      </c>
      <c r="AO178" s="1702">
        <v>442.21</v>
      </c>
      <c r="AP178" s="1700">
        <v>448.54</v>
      </c>
      <c r="AQ178" s="1700">
        <v>454.87</v>
      </c>
      <c r="AR178" s="1700">
        <v>461.21</v>
      </c>
      <c r="AS178" s="1700">
        <v>467.54</v>
      </c>
      <c r="AT178" s="1700">
        <v>473.87</v>
      </c>
      <c r="AU178" s="1700">
        <v>480.21</v>
      </c>
      <c r="AV178" s="1700">
        <v>486.54</v>
      </c>
      <c r="AW178" s="1700">
        <v>492.87</v>
      </c>
      <c r="AX178" s="1700">
        <v>499.21</v>
      </c>
      <c r="AY178" s="1700">
        <v>505.54</v>
      </c>
      <c r="AZ178" s="1700">
        <v>511.87</v>
      </c>
      <c r="BA178" s="1700">
        <v>518.21</v>
      </c>
      <c r="BB178" s="1683">
        <v>524.54</v>
      </c>
      <c r="BC178" s="1700">
        <v>530.88</v>
      </c>
      <c r="BD178" s="1700">
        <v>537.21</v>
      </c>
      <c r="BE178" s="1700">
        <v>543.54</v>
      </c>
      <c r="BF178" s="1700">
        <v>549.88</v>
      </c>
      <c r="BG178" s="1700">
        <v>556.21</v>
      </c>
      <c r="BH178" s="1700">
        <v>562.54</v>
      </c>
      <c r="BI178" s="1700">
        <v>568.88</v>
      </c>
      <c r="BJ178" s="1700">
        <v>575.21</v>
      </c>
      <c r="BK178" s="1700">
        <v>581.54</v>
      </c>
      <c r="BL178" s="1700">
        <v>587.88</v>
      </c>
      <c r="BM178" s="1700">
        <v>594.21</v>
      </c>
      <c r="BN178" s="1700"/>
      <c r="BO178" s="1703">
        <v>174</v>
      </c>
      <c r="BP178" s="1693">
        <v>204.15</v>
      </c>
      <c r="BQ178" s="1693">
        <v>208.62</v>
      </c>
      <c r="BR178" s="1693">
        <v>213.09</v>
      </c>
      <c r="BS178" s="1693">
        <v>217.57</v>
      </c>
      <c r="BT178" s="1693">
        <v>222.02</v>
      </c>
      <c r="BU178" s="1694">
        <v>226.51</v>
      </c>
      <c r="BV178" s="1694">
        <v>230.98</v>
      </c>
      <c r="BW178" s="1694">
        <v>235.45</v>
      </c>
      <c r="BX178" s="1695">
        <v>239.92</v>
      </c>
      <c r="BY178" s="1696">
        <v>244.4</v>
      </c>
      <c r="BZ178" s="1696">
        <v>248.87</v>
      </c>
      <c r="CA178" s="1695">
        <v>253.34</v>
      </c>
      <c r="CB178" s="1695">
        <v>257.81</v>
      </c>
      <c r="CC178" s="1704">
        <v>262.27999999999997</v>
      </c>
      <c r="CD178" s="1697">
        <v>266.76</v>
      </c>
      <c r="CE178" s="1698">
        <v>271.23</v>
      </c>
      <c r="CF178" s="1699">
        <v>275.7</v>
      </c>
      <c r="CG178" s="1699">
        <v>280.17</v>
      </c>
      <c r="CH178" s="1699">
        <v>284.64</v>
      </c>
      <c r="CI178" s="1699">
        <v>289.11</v>
      </c>
      <c r="CJ178" s="1699">
        <v>293.58999999999997</v>
      </c>
      <c r="CK178" s="1700">
        <v>253.9</v>
      </c>
      <c r="CL178" s="1700">
        <v>258.37</v>
      </c>
      <c r="CM178" s="1700">
        <v>262.85000000000002</v>
      </c>
      <c r="CN178" s="1700">
        <v>267.32</v>
      </c>
      <c r="CO178" s="1705">
        <v>271.79000000000002</v>
      </c>
      <c r="CP178" s="1706">
        <v>276.26</v>
      </c>
      <c r="CQ178" s="1701">
        <v>280.73</v>
      </c>
      <c r="CR178" s="1701">
        <v>285.2</v>
      </c>
      <c r="CS178" s="1707">
        <v>289.68</v>
      </c>
      <c r="CT178" s="1700">
        <v>294.14999999999998</v>
      </c>
      <c r="CU178" s="1700">
        <v>298.62</v>
      </c>
      <c r="CV178" s="1700">
        <v>303.08999999999997</v>
      </c>
      <c r="CW178" s="1700">
        <v>307.56</v>
      </c>
      <c r="CX178" s="1700">
        <v>312.04000000000002</v>
      </c>
      <c r="CY178" s="1700">
        <v>316.51</v>
      </c>
      <c r="CZ178" s="1700">
        <v>320.98</v>
      </c>
      <c r="DA178" s="1700">
        <v>325.45</v>
      </c>
      <c r="DB178" s="1700">
        <v>329.92</v>
      </c>
      <c r="DC178" s="1700">
        <v>334.39</v>
      </c>
      <c r="DD178" s="1700">
        <v>338.87</v>
      </c>
      <c r="DE178" s="1700">
        <v>343.34</v>
      </c>
      <c r="DF178" s="1700">
        <v>347.81</v>
      </c>
      <c r="DG178" s="1700">
        <v>352.28</v>
      </c>
      <c r="DH178" s="1700">
        <v>356.75</v>
      </c>
      <c r="DI178" s="1700">
        <v>361.22</v>
      </c>
      <c r="DJ178" s="1700">
        <v>365.7</v>
      </c>
      <c r="DK178" s="1700">
        <v>370.17</v>
      </c>
      <c r="DL178" s="1700">
        <v>374.64</v>
      </c>
      <c r="DM178" s="1700">
        <v>379.11</v>
      </c>
      <c r="DN178" s="1700">
        <v>383.58</v>
      </c>
      <c r="DO178" s="1700">
        <v>388.06</v>
      </c>
      <c r="DP178" s="1700">
        <v>392.53</v>
      </c>
      <c r="DQ178" s="1700">
        <v>397</v>
      </c>
      <c r="DR178" s="1700">
        <v>401.47</v>
      </c>
      <c r="DS178" s="1700"/>
      <c r="DT178" s="1700"/>
      <c r="DU178" s="1700"/>
      <c r="DV178" s="1700"/>
      <c r="DW178" s="1700"/>
      <c r="DX178" s="1700"/>
    </row>
    <row r="179" spans="1:128">
      <c r="A179" s="1622"/>
      <c r="B179" s="1691">
        <f t="shared" si="14"/>
        <v>175</v>
      </c>
      <c r="C179" s="1668" t="str">
        <f t="shared" si="11"/>
        <v>469.77</v>
      </c>
      <c r="D179" s="1672">
        <f t="shared" si="12"/>
        <v>657.68</v>
      </c>
      <c r="E179" s="1670"/>
      <c r="F179" s="1671" t="str">
        <f t="shared" si="13"/>
        <v>295.29</v>
      </c>
      <c r="G179" s="1672">
        <f t="shared" si="10"/>
        <v>413.41</v>
      </c>
      <c r="H179" s="1670"/>
      <c r="I179" s="1670"/>
      <c r="J179" s="1708">
        <v>175</v>
      </c>
      <c r="K179" s="1693">
        <v>342.37</v>
      </c>
      <c r="L179" s="1693">
        <v>348.74</v>
      </c>
      <c r="M179" s="1693">
        <v>355.11</v>
      </c>
      <c r="N179" s="1693">
        <v>361.48</v>
      </c>
      <c r="O179" s="1693">
        <v>367.85</v>
      </c>
      <c r="P179" s="1694">
        <v>374.22</v>
      </c>
      <c r="Q179" s="1694">
        <v>380.59</v>
      </c>
      <c r="R179" s="1694">
        <v>386.96</v>
      </c>
      <c r="S179" s="1695">
        <v>393.33</v>
      </c>
      <c r="T179" s="1696">
        <v>399.7</v>
      </c>
      <c r="U179" s="1696">
        <v>406.07</v>
      </c>
      <c r="V179" s="1695">
        <v>412.44</v>
      </c>
      <c r="W179" s="1695">
        <v>418.81</v>
      </c>
      <c r="X179" s="1695">
        <v>425.18</v>
      </c>
      <c r="Y179" s="1697">
        <v>431.55</v>
      </c>
      <c r="Z179" s="1698">
        <v>437.92</v>
      </c>
      <c r="AA179" s="1699">
        <v>444.29</v>
      </c>
      <c r="AB179" s="1699">
        <v>450.66</v>
      </c>
      <c r="AC179" s="1699">
        <v>457.03</v>
      </c>
      <c r="AD179" s="1699">
        <v>463.4</v>
      </c>
      <c r="AE179" s="1699">
        <v>469.77</v>
      </c>
      <c r="AF179" s="1683">
        <v>387.45</v>
      </c>
      <c r="AG179" s="1683">
        <v>393.82</v>
      </c>
      <c r="AH179" s="1683">
        <v>400.19</v>
      </c>
      <c r="AI179" s="1683">
        <v>406.56</v>
      </c>
      <c r="AJ179" s="1701">
        <v>412.93</v>
      </c>
      <c r="AK179" s="1701">
        <v>419.3</v>
      </c>
      <c r="AL179" s="1701">
        <v>425.67</v>
      </c>
      <c r="AM179" s="1701">
        <v>432.04</v>
      </c>
      <c r="AN179" s="1701">
        <v>438.41</v>
      </c>
      <c r="AO179" s="1702">
        <v>444.78</v>
      </c>
      <c r="AP179" s="1700">
        <v>451.15</v>
      </c>
      <c r="AQ179" s="1700">
        <v>457.52</v>
      </c>
      <c r="AR179" s="1683">
        <v>463.89</v>
      </c>
      <c r="AS179" s="1700">
        <v>470.26</v>
      </c>
      <c r="AT179" s="1683">
        <v>476.63</v>
      </c>
      <c r="AU179" s="1700">
        <v>483</v>
      </c>
      <c r="AV179" s="1700">
        <v>489.37</v>
      </c>
      <c r="AW179" s="1683">
        <v>495.74</v>
      </c>
      <c r="AX179" s="1683">
        <v>502.11</v>
      </c>
      <c r="AY179" s="1683">
        <v>508.48</v>
      </c>
      <c r="AZ179" s="1683">
        <v>514.85</v>
      </c>
      <c r="BA179" s="1683">
        <v>521.22</v>
      </c>
      <c r="BB179" s="1700">
        <v>527.59</v>
      </c>
      <c r="BC179" s="1683">
        <v>533.96</v>
      </c>
      <c r="BD179" s="1683">
        <v>240.33</v>
      </c>
      <c r="BE179" s="1683">
        <v>546.70000000000005</v>
      </c>
      <c r="BF179" s="1683">
        <v>553.07000000000005</v>
      </c>
      <c r="BG179" s="1683">
        <v>559.44000000000005</v>
      </c>
      <c r="BH179" s="1683">
        <v>565.80999999999995</v>
      </c>
      <c r="BI179" s="1683">
        <v>572.17999999999995</v>
      </c>
      <c r="BJ179" s="1683">
        <v>578.54999999999995</v>
      </c>
      <c r="BK179" s="1683">
        <v>584.91999999999996</v>
      </c>
      <c r="BL179" s="1683">
        <v>591.29</v>
      </c>
      <c r="BM179" s="1683">
        <v>597.66</v>
      </c>
      <c r="BN179" s="1683"/>
      <c r="BO179" s="1703">
        <v>175</v>
      </c>
      <c r="BP179" s="1693">
        <v>205.34</v>
      </c>
      <c r="BQ179" s="1693">
        <v>209.84</v>
      </c>
      <c r="BR179" s="1693">
        <v>214.34</v>
      </c>
      <c r="BS179" s="1693">
        <v>218.83</v>
      </c>
      <c r="BT179" s="1693">
        <v>223.33</v>
      </c>
      <c r="BU179" s="1694">
        <v>227.83</v>
      </c>
      <c r="BV179" s="1694">
        <v>232.33</v>
      </c>
      <c r="BW179" s="1694">
        <v>236.82</v>
      </c>
      <c r="BX179" s="1695">
        <v>241.32</v>
      </c>
      <c r="BY179" s="1696">
        <v>245.82</v>
      </c>
      <c r="BZ179" s="1696">
        <v>250.32</v>
      </c>
      <c r="CA179" s="1695">
        <v>254.81</v>
      </c>
      <c r="CB179" s="1695">
        <v>259.31</v>
      </c>
      <c r="CC179" s="1704">
        <v>263.81</v>
      </c>
      <c r="CD179" s="1697">
        <v>268.31</v>
      </c>
      <c r="CE179" s="1698">
        <v>272.8</v>
      </c>
      <c r="CF179" s="1699">
        <v>277.3</v>
      </c>
      <c r="CG179" s="1699">
        <v>281.8</v>
      </c>
      <c r="CH179" s="1699">
        <v>286.3</v>
      </c>
      <c r="CI179" s="1699">
        <v>290.79000000000002</v>
      </c>
      <c r="CJ179" s="1699">
        <v>295.29000000000002</v>
      </c>
      <c r="CK179" s="1700">
        <v>255.37</v>
      </c>
      <c r="CL179" s="1700">
        <v>259.87</v>
      </c>
      <c r="CM179" s="1700">
        <v>264.37</v>
      </c>
      <c r="CN179" s="1700">
        <v>268.86</v>
      </c>
      <c r="CO179" s="1705">
        <v>273.36</v>
      </c>
      <c r="CP179" s="1706">
        <v>277.86</v>
      </c>
      <c r="CQ179" s="1701">
        <v>282.36</v>
      </c>
      <c r="CR179" s="1701">
        <v>286.85000000000002</v>
      </c>
      <c r="CS179" s="1707">
        <v>291.35000000000002</v>
      </c>
      <c r="CT179" s="1700">
        <v>295.85000000000002</v>
      </c>
      <c r="CU179" s="1700">
        <v>300.35000000000002</v>
      </c>
      <c r="CV179" s="1700">
        <v>304.83999999999997</v>
      </c>
      <c r="CW179" s="1700">
        <v>309.33999999999997</v>
      </c>
      <c r="CX179" s="1700">
        <v>313.83999999999997</v>
      </c>
      <c r="CY179" s="1700">
        <v>318.33999999999997</v>
      </c>
      <c r="CZ179" s="1700">
        <v>322.83</v>
      </c>
      <c r="DA179" s="1700">
        <v>327.33</v>
      </c>
      <c r="DB179" s="1700">
        <v>331.83</v>
      </c>
      <c r="DC179" s="1700">
        <v>336.33</v>
      </c>
      <c r="DD179" s="1700">
        <v>340.82</v>
      </c>
      <c r="DE179" s="1700">
        <v>345.32</v>
      </c>
      <c r="DF179" s="1700">
        <v>349.82</v>
      </c>
      <c r="DG179" s="1700">
        <v>354.32</v>
      </c>
      <c r="DH179" s="1700">
        <v>358.81</v>
      </c>
      <c r="DI179" s="1700">
        <v>363.31</v>
      </c>
      <c r="DJ179" s="1700">
        <v>367.81</v>
      </c>
      <c r="DK179" s="1700">
        <v>372.31</v>
      </c>
      <c r="DL179" s="1700">
        <v>376.8</v>
      </c>
      <c r="DM179" s="1700">
        <v>381.3</v>
      </c>
      <c r="DN179" s="1700">
        <v>385.8</v>
      </c>
      <c r="DO179" s="1700">
        <v>390.3</v>
      </c>
      <c r="DP179" s="1700">
        <v>394.79</v>
      </c>
      <c r="DQ179" s="1700">
        <v>399.29</v>
      </c>
      <c r="DR179" s="1700">
        <v>403.79</v>
      </c>
      <c r="DS179" s="1700"/>
      <c r="DT179" s="1700"/>
      <c r="DU179" s="1700"/>
      <c r="DV179" s="1700"/>
      <c r="DW179" s="1700"/>
      <c r="DX179" s="1700"/>
    </row>
    <row r="180" spans="1:128">
      <c r="A180" s="1622"/>
      <c r="B180" s="1691">
        <f t="shared" si="14"/>
        <v>176</v>
      </c>
      <c r="C180" s="1668" t="str">
        <f t="shared" si="11"/>
        <v>472.52</v>
      </c>
      <c r="D180" s="1672">
        <f t="shared" si="12"/>
        <v>661.53</v>
      </c>
      <c r="E180" s="1670"/>
      <c r="F180" s="1671" t="str">
        <f t="shared" si="13"/>
        <v>297</v>
      </c>
      <c r="G180" s="1672">
        <f t="shared" si="10"/>
        <v>415.8</v>
      </c>
      <c r="H180" s="1670"/>
      <c r="I180" s="1670"/>
      <c r="J180" s="1708">
        <v>176</v>
      </c>
      <c r="K180" s="1693">
        <v>344.39</v>
      </c>
      <c r="L180" s="1693">
        <v>350.8</v>
      </c>
      <c r="M180" s="1693">
        <v>357.21</v>
      </c>
      <c r="N180" s="1693">
        <v>363.61</v>
      </c>
      <c r="O180" s="1693">
        <v>370.02</v>
      </c>
      <c r="P180" s="1694">
        <v>376.43</v>
      </c>
      <c r="Q180" s="1694">
        <v>382.83</v>
      </c>
      <c r="R180" s="1694">
        <v>389.24</v>
      </c>
      <c r="S180" s="1695">
        <v>395.65</v>
      </c>
      <c r="T180" s="1696">
        <v>402.05</v>
      </c>
      <c r="U180" s="1696">
        <v>408.46</v>
      </c>
      <c r="V180" s="1695">
        <v>414.86</v>
      </c>
      <c r="W180" s="1695">
        <v>421.27</v>
      </c>
      <c r="X180" s="1695">
        <v>427.68</v>
      </c>
      <c r="Y180" s="1697">
        <v>434.08</v>
      </c>
      <c r="Z180" s="1698">
        <v>440.49</v>
      </c>
      <c r="AA180" s="1699">
        <v>446.9</v>
      </c>
      <c r="AB180" s="1699">
        <v>453.3</v>
      </c>
      <c r="AC180" s="1699">
        <v>459.71</v>
      </c>
      <c r="AD180" s="1699">
        <v>466.12</v>
      </c>
      <c r="AE180" s="1699">
        <v>472.52</v>
      </c>
      <c r="AF180" s="1700">
        <v>389.7</v>
      </c>
      <c r="AG180" s="1700">
        <v>396.11</v>
      </c>
      <c r="AH180" s="1700">
        <v>402.52</v>
      </c>
      <c r="AI180" s="1700">
        <v>408.92</v>
      </c>
      <c r="AJ180" s="1701">
        <v>415.33</v>
      </c>
      <c r="AK180" s="1701">
        <v>421.73</v>
      </c>
      <c r="AL180" s="1701">
        <v>428.14</v>
      </c>
      <c r="AM180" s="1701">
        <v>434.55</v>
      </c>
      <c r="AN180" s="1701">
        <v>440.95</v>
      </c>
      <c r="AO180" s="1702">
        <v>447.36</v>
      </c>
      <c r="AP180" s="1700">
        <v>453.77</v>
      </c>
      <c r="AQ180" s="1700">
        <v>460.17</v>
      </c>
      <c r="AR180" s="1700">
        <v>466.58</v>
      </c>
      <c r="AS180" s="1700">
        <v>472.99</v>
      </c>
      <c r="AT180" s="1700">
        <v>479.39</v>
      </c>
      <c r="AU180" s="1700">
        <v>485.8</v>
      </c>
      <c r="AV180" s="1683">
        <v>492.2</v>
      </c>
      <c r="AW180" s="1700">
        <v>498.61</v>
      </c>
      <c r="AX180" s="1700">
        <v>505.02</v>
      </c>
      <c r="AY180" s="1700">
        <v>511.42</v>
      </c>
      <c r="AZ180" s="1700">
        <v>517.83000000000004</v>
      </c>
      <c r="BA180" s="1700">
        <v>524.24</v>
      </c>
      <c r="BB180" s="1700">
        <v>530.64</v>
      </c>
      <c r="BC180" s="1700">
        <v>537.04999999999995</v>
      </c>
      <c r="BD180" s="1700">
        <v>543.46</v>
      </c>
      <c r="BE180" s="1700">
        <v>549.86</v>
      </c>
      <c r="BF180" s="1700">
        <v>556.27</v>
      </c>
      <c r="BG180" s="1700">
        <v>562.67999999999995</v>
      </c>
      <c r="BH180" s="1700">
        <v>569.08000000000004</v>
      </c>
      <c r="BI180" s="1700">
        <v>575.49</v>
      </c>
      <c r="BJ180" s="1700">
        <v>581.89</v>
      </c>
      <c r="BK180" s="1700">
        <v>588.29999999999995</v>
      </c>
      <c r="BL180" s="1700">
        <v>594.71</v>
      </c>
      <c r="BM180" s="1700">
        <v>601.11</v>
      </c>
      <c r="BN180" s="1700"/>
      <c r="BO180" s="1703">
        <v>176</v>
      </c>
      <c r="BP180" s="1693">
        <v>206.53</v>
      </c>
      <c r="BQ180" s="1693">
        <v>211.06</v>
      </c>
      <c r="BR180" s="1693">
        <v>215.58</v>
      </c>
      <c r="BS180" s="1693">
        <v>220.1</v>
      </c>
      <c r="BT180" s="1693">
        <v>224.63</v>
      </c>
      <c r="BU180" s="1694">
        <v>229.15</v>
      </c>
      <c r="BV180" s="1694">
        <v>233.67</v>
      </c>
      <c r="BW180" s="1694">
        <v>238.19</v>
      </c>
      <c r="BX180" s="1695">
        <v>242.72</v>
      </c>
      <c r="BY180" s="1696">
        <v>247.24</v>
      </c>
      <c r="BZ180" s="1696">
        <v>251.76</v>
      </c>
      <c r="CA180" s="1695">
        <v>256.29000000000002</v>
      </c>
      <c r="CB180" s="1695">
        <v>260.81</v>
      </c>
      <c r="CC180" s="1704">
        <v>265.33</v>
      </c>
      <c r="CD180" s="1697">
        <v>269.86</v>
      </c>
      <c r="CE180" s="1698">
        <v>274.38</v>
      </c>
      <c r="CF180" s="1699" t="s">
        <v>1450</v>
      </c>
      <c r="CG180" s="1699">
        <v>283.43</v>
      </c>
      <c r="CH180" s="1699">
        <v>287.95</v>
      </c>
      <c r="CI180" s="1699">
        <v>292.47000000000003</v>
      </c>
      <c r="CJ180" s="1699">
        <v>297</v>
      </c>
      <c r="CK180" s="1700">
        <v>256.83999999999997</v>
      </c>
      <c r="CL180" s="1700">
        <v>261.37</v>
      </c>
      <c r="CM180" s="1700">
        <v>265.89</v>
      </c>
      <c r="CN180" s="1700">
        <v>270.41000000000003</v>
      </c>
      <c r="CO180" s="1705">
        <v>274.94</v>
      </c>
      <c r="CP180" s="1706">
        <v>279.45999999999998</v>
      </c>
      <c r="CQ180" s="1701">
        <v>283.98</v>
      </c>
      <c r="CR180" s="1701">
        <v>288.5</v>
      </c>
      <c r="CS180" s="1707">
        <v>293.02999999999997</v>
      </c>
      <c r="CT180" s="1700">
        <v>297.55</v>
      </c>
      <c r="CU180" s="1700">
        <v>302.07</v>
      </c>
      <c r="CV180" s="1700">
        <v>306.60000000000002</v>
      </c>
      <c r="CW180" s="1700">
        <v>311.12</v>
      </c>
      <c r="CX180" s="1700">
        <v>315.64</v>
      </c>
      <c r="CY180" s="1700">
        <v>320.17</v>
      </c>
      <c r="CZ180" s="1700">
        <v>324.69</v>
      </c>
      <c r="DA180" s="1700">
        <v>329.21</v>
      </c>
      <c r="DB180" s="1461">
        <v>333.74</v>
      </c>
      <c r="DC180" s="1700">
        <v>338.26</v>
      </c>
      <c r="DD180" s="1700">
        <v>342.78</v>
      </c>
      <c r="DE180" s="1700">
        <v>347.31</v>
      </c>
      <c r="DF180" s="1700">
        <v>351.83</v>
      </c>
      <c r="DG180" s="1700">
        <v>356.35</v>
      </c>
      <c r="DH180" s="1700">
        <v>360.88</v>
      </c>
      <c r="DI180" s="1700">
        <v>365.4</v>
      </c>
      <c r="DJ180" s="1700">
        <v>369.92</v>
      </c>
      <c r="DK180" s="1700">
        <v>374.45</v>
      </c>
      <c r="DL180" s="1700">
        <v>378.97</v>
      </c>
      <c r="DM180" s="1700">
        <v>383.49</v>
      </c>
      <c r="DN180" s="1700">
        <v>388.02</v>
      </c>
      <c r="DO180" s="1700">
        <v>392.54</v>
      </c>
      <c r="DP180" s="1700">
        <v>397.06</v>
      </c>
      <c r="DQ180" s="1700">
        <v>401.58</v>
      </c>
      <c r="DR180" s="1700">
        <v>406.11</v>
      </c>
      <c r="DS180" s="1700"/>
      <c r="DT180" s="1700"/>
      <c r="DU180" s="1700"/>
      <c r="DV180" s="1700"/>
      <c r="DW180" s="1700"/>
      <c r="DX180" s="1700"/>
    </row>
    <row r="181" spans="1:128">
      <c r="A181" s="1622"/>
      <c r="B181" s="1691">
        <f t="shared" si="14"/>
        <v>177</v>
      </c>
      <c r="C181" s="1668" t="str">
        <f t="shared" si="11"/>
        <v>475.28</v>
      </c>
      <c r="D181" s="1672">
        <f t="shared" si="12"/>
        <v>665.39</v>
      </c>
      <c r="E181" s="1670"/>
      <c r="F181" s="1671" t="str">
        <f t="shared" si="13"/>
        <v>298.7</v>
      </c>
      <c r="G181" s="1672">
        <f t="shared" si="10"/>
        <v>418.18</v>
      </c>
      <c r="H181" s="1670"/>
      <c r="I181" s="1670"/>
      <c r="J181" s="1708">
        <v>177</v>
      </c>
      <c r="K181" s="1693">
        <v>346.42</v>
      </c>
      <c r="L181" s="1693">
        <v>352.86</v>
      </c>
      <c r="M181" s="1693">
        <v>359.31</v>
      </c>
      <c r="N181" s="1693">
        <v>365.75</v>
      </c>
      <c r="O181" s="1693">
        <v>372.19</v>
      </c>
      <c r="P181" s="1694">
        <v>378.64</v>
      </c>
      <c r="Q181" s="1694">
        <v>385.08</v>
      </c>
      <c r="R181" s="1694">
        <v>391.52</v>
      </c>
      <c r="S181" s="1695">
        <v>397.96</v>
      </c>
      <c r="T181" s="1696">
        <v>404.41</v>
      </c>
      <c r="U181" s="1696">
        <v>410.85</v>
      </c>
      <c r="V181" s="1695">
        <v>417.29</v>
      </c>
      <c r="W181" s="1695">
        <v>423.74</v>
      </c>
      <c r="X181" s="1695">
        <v>430.18</v>
      </c>
      <c r="Y181" s="1697">
        <v>436.62</v>
      </c>
      <c r="Z181" s="1698">
        <v>443.06</v>
      </c>
      <c r="AA181" s="1699">
        <v>449.51</v>
      </c>
      <c r="AB181" s="1699">
        <v>455.95</v>
      </c>
      <c r="AC181" s="1699">
        <v>462.39</v>
      </c>
      <c r="AD181" s="1699">
        <v>468.84</v>
      </c>
      <c r="AE181" s="1699">
        <v>475.28</v>
      </c>
      <c r="AF181" s="1700">
        <v>391.96</v>
      </c>
      <c r="AG181" s="1700">
        <v>398.4</v>
      </c>
      <c r="AH181" s="1700">
        <v>404.84</v>
      </c>
      <c r="AI181" s="1700">
        <v>411.29</v>
      </c>
      <c r="AJ181" s="1701">
        <v>417.73</v>
      </c>
      <c r="AK181" s="1701">
        <v>424.17</v>
      </c>
      <c r="AL181" s="1701">
        <v>430.61</v>
      </c>
      <c r="AM181" s="1701">
        <v>437.06</v>
      </c>
      <c r="AN181" s="1701">
        <v>443.5</v>
      </c>
      <c r="AO181" s="1702">
        <v>449.94</v>
      </c>
      <c r="AP181" s="1700">
        <v>456.39</v>
      </c>
      <c r="AQ181" s="1700">
        <v>462.83</v>
      </c>
      <c r="AR181" s="1683">
        <v>469.27</v>
      </c>
      <c r="AS181" s="1700">
        <v>475.71</v>
      </c>
      <c r="AT181" s="1700">
        <v>482.16</v>
      </c>
      <c r="AU181" s="1700">
        <v>488.6</v>
      </c>
      <c r="AV181" s="1700">
        <v>495.04</v>
      </c>
      <c r="AW181" s="1700">
        <v>501.49</v>
      </c>
      <c r="AX181" s="1700">
        <v>507.93</v>
      </c>
      <c r="AY181" s="1700">
        <v>514.37</v>
      </c>
      <c r="AZ181" s="1700">
        <v>520.80999999999995</v>
      </c>
      <c r="BA181" s="1700">
        <v>527.26</v>
      </c>
      <c r="BB181" s="1683">
        <v>533.70000000000005</v>
      </c>
      <c r="BC181" s="1700">
        <v>540.14</v>
      </c>
      <c r="BD181" s="1700">
        <v>546.59</v>
      </c>
      <c r="BE181" s="1700">
        <v>553.03</v>
      </c>
      <c r="BF181" s="1700">
        <v>559.47</v>
      </c>
      <c r="BG181" s="1700">
        <v>565.91</v>
      </c>
      <c r="BH181" s="1700">
        <v>572.36</v>
      </c>
      <c r="BI181" s="1700">
        <v>578.79999999999995</v>
      </c>
      <c r="BJ181" s="1700">
        <v>585.24</v>
      </c>
      <c r="BK181" s="1700">
        <v>591.67999999999995</v>
      </c>
      <c r="BL181" s="1700">
        <v>598.13</v>
      </c>
      <c r="BM181" s="1700">
        <v>604.57000000000005</v>
      </c>
      <c r="BN181" s="1700"/>
      <c r="BO181" s="1703">
        <v>177</v>
      </c>
      <c r="BP181" s="1693">
        <v>207.73</v>
      </c>
      <c r="BQ181" s="1693">
        <v>212.28</v>
      </c>
      <c r="BR181" s="1693">
        <v>216.82</v>
      </c>
      <c r="BS181" s="1693">
        <v>221.37</v>
      </c>
      <c r="BT181" s="1693">
        <v>225.92</v>
      </c>
      <c r="BU181" s="1694">
        <v>230.47</v>
      </c>
      <c r="BV181" s="1694">
        <v>235.02</v>
      </c>
      <c r="BW181" s="1694">
        <v>239.57</v>
      </c>
      <c r="BX181" s="1695">
        <v>244.12</v>
      </c>
      <c r="BY181" s="1696">
        <v>248.67</v>
      </c>
      <c r="BZ181" s="1696">
        <v>253.22</v>
      </c>
      <c r="CA181" s="1695">
        <v>257.76</v>
      </c>
      <c r="CB181" s="1695">
        <v>262.31</v>
      </c>
      <c r="CC181" s="1704">
        <v>266.86</v>
      </c>
      <c r="CD181" s="1697">
        <v>271.41000000000003</v>
      </c>
      <c r="CE181" s="1698">
        <v>275.95999999999998</v>
      </c>
      <c r="CF181" s="1699">
        <v>280.51</v>
      </c>
      <c r="CG181" s="1699">
        <v>285.06</v>
      </c>
      <c r="CH181" s="1699">
        <v>289.61</v>
      </c>
      <c r="CI181" s="1699">
        <v>294.16000000000003</v>
      </c>
      <c r="CJ181" s="1699">
        <v>298.7</v>
      </c>
      <c r="CK181" s="1700">
        <v>258.31</v>
      </c>
      <c r="CL181" s="1700">
        <v>262.86</v>
      </c>
      <c r="CM181" s="1700">
        <v>267.41000000000003</v>
      </c>
      <c r="CN181" s="1700">
        <v>271.95999999999998</v>
      </c>
      <c r="CO181" s="1705">
        <v>276.51</v>
      </c>
      <c r="CP181" s="1706">
        <v>281.06</v>
      </c>
      <c r="CQ181" s="1701">
        <v>285.61</v>
      </c>
      <c r="CR181" s="1701">
        <v>290.16000000000003</v>
      </c>
      <c r="CS181" s="1707">
        <v>294.70999999999998</v>
      </c>
      <c r="CT181" s="1700">
        <v>299.25</v>
      </c>
      <c r="CU181" s="1700">
        <v>303.8</v>
      </c>
      <c r="CV181" s="1700">
        <v>308.35000000000002</v>
      </c>
      <c r="CW181" s="1700">
        <v>312.89999999999998</v>
      </c>
      <c r="CX181" s="1700">
        <v>317.45</v>
      </c>
      <c r="CY181" s="1700">
        <v>322</v>
      </c>
      <c r="CZ181" s="1700">
        <v>326.55</v>
      </c>
      <c r="DA181" s="1700">
        <v>331.1</v>
      </c>
      <c r="DB181" s="1700">
        <v>335.65</v>
      </c>
      <c r="DC181" s="1700">
        <v>340.19</v>
      </c>
      <c r="DD181" s="1700">
        <v>344.74</v>
      </c>
      <c r="DE181" s="1700">
        <v>349.29</v>
      </c>
      <c r="DF181" s="1700">
        <v>353.84</v>
      </c>
      <c r="DG181" s="1700">
        <v>358.39</v>
      </c>
      <c r="DH181" s="1700">
        <v>362.94</v>
      </c>
      <c r="DI181" s="1700">
        <v>367.49</v>
      </c>
      <c r="DJ181" s="1700">
        <v>372.04</v>
      </c>
      <c r="DK181" s="1700">
        <v>376.59</v>
      </c>
      <c r="DL181" s="1700">
        <v>381.13</v>
      </c>
      <c r="DM181" s="1700">
        <v>385.68</v>
      </c>
      <c r="DN181" s="1700">
        <v>390.23</v>
      </c>
      <c r="DO181" s="1700">
        <v>394.78</v>
      </c>
      <c r="DP181" s="1700">
        <v>399.33</v>
      </c>
      <c r="DQ181" s="1700">
        <v>403.88</v>
      </c>
      <c r="DR181" s="1700">
        <v>408.43</v>
      </c>
      <c r="DS181" s="1700"/>
      <c r="DT181" s="1700"/>
      <c r="DU181" s="1700"/>
      <c r="DV181" s="1700"/>
      <c r="DW181" s="1700"/>
      <c r="DX181" s="1700"/>
    </row>
    <row r="182" spans="1:128">
      <c r="A182" s="1622"/>
      <c r="B182" s="1691">
        <f t="shared" si="14"/>
        <v>178</v>
      </c>
      <c r="C182" s="1668" t="str">
        <f t="shared" si="11"/>
        <v>477.51</v>
      </c>
      <c r="D182" s="1672">
        <f t="shared" si="12"/>
        <v>668.51</v>
      </c>
      <c r="E182" s="1670"/>
      <c r="F182" s="1671" t="str">
        <f t="shared" si="13"/>
        <v>300.41</v>
      </c>
      <c r="G182" s="1672">
        <f t="shared" si="10"/>
        <v>420.57</v>
      </c>
      <c r="H182" s="1670"/>
      <c r="I182" s="1670"/>
      <c r="J182" s="1708">
        <v>178</v>
      </c>
      <c r="K182" s="1693">
        <v>347.93</v>
      </c>
      <c r="L182" s="1693">
        <v>354.41</v>
      </c>
      <c r="M182" s="1693">
        <v>360.87</v>
      </c>
      <c r="N182" s="1693">
        <v>367.37</v>
      </c>
      <c r="O182" s="1693">
        <v>373.85</v>
      </c>
      <c r="P182" s="1694">
        <v>380.33</v>
      </c>
      <c r="Q182" s="1694">
        <v>386.8</v>
      </c>
      <c r="R182" s="1694">
        <v>393.28</v>
      </c>
      <c r="S182" s="1695">
        <v>399.76</v>
      </c>
      <c r="T182" s="1696">
        <v>406.24</v>
      </c>
      <c r="U182" s="1696">
        <v>412.72</v>
      </c>
      <c r="V182" s="1695">
        <v>419.2</v>
      </c>
      <c r="W182" s="1695">
        <v>425.68</v>
      </c>
      <c r="X182" s="1695">
        <v>432.16</v>
      </c>
      <c r="Y182" s="1697">
        <v>438.64</v>
      </c>
      <c r="Z182" s="1698">
        <v>445.12</v>
      </c>
      <c r="AA182" s="1699">
        <v>451.6</v>
      </c>
      <c r="AB182" s="1699">
        <v>458.08</v>
      </c>
      <c r="AC182" s="1699">
        <v>464.55</v>
      </c>
      <c r="AD182" s="1699">
        <v>471.03</v>
      </c>
      <c r="AE182" s="1699">
        <v>477.51</v>
      </c>
      <c r="AF182" s="1683">
        <v>393.91</v>
      </c>
      <c r="AG182" s="1683">
        <v>400.39</v>
      </c>
      <c r="AH182" s="1683">
        <v>406.87</v>
      </c>
      <c r="AI182" s="1683">
        <v>413.35</v>
      </c>
      <c r="AJ182" s="1701">
        <v>419.83</v>
      </c>
      <c r="AK182" s="1701">
        <v>426.31</v>
      </c>
      <c r="AL182" s="1701">
        <v>432.79</v>
      </c>
      <c r="AM182" s="1701">
        <v>439.26</v>
      </c>
      <c r="AN182" s="1701">
        <v>445.74</v>
      </c>
      <c r="AO182" s="1702">
        <v>452.22</v>
      </c>
      <c r="AP182" s="1700">
        <v>458.7</v>
      </c>
      <c r="AQ182" s="1700">
        <v>465.18</v>
      </c>
      <c r="AR182" s="1700">
        <v>471.66</v>
      </c>
      <c r="AS182" s="1700">
        <v>478.14</v>
      </c>
      <c r="AT182" s="1683">
        <v>484.62</v>
      </c>
      <c r="AU182" s="1700">
        <v>491.1</v>
      </c>
      <c r="AV182" s="1700">
        <v>497.58</v>
      </c>
      <c r="AW182" s="1683">
        <v>504.06</v>
      </c>
      <c r="AX182" s="1683">
        <v>510.54</v>
      </c>
      <c r="AY182" s="1683">
        <v>517.01</v>
      </c>
      <c r="AZ182" s="1683">
        <v>523.49</v>
      </c>
      <c r="BA182" s="1683">
        <v>529.97</v>
      </c>
      <c r="BB182" s="1700">
        <v>536.45000000000005</v>
      </c>
      <c r="BC182" s="1683">
        <v>542.92999999999995</v>
      </c>
      <c r="BD182" s="1683">
        <v>549.41</v>
      </c>
      <c r="BE182" s="1683">
        <v>555.89</v>
      </c>
      <c r="BF182" s="1683">
        <v>562.37</v>
      </c>
      <c r="BG182" s="1683">
        <v>568.85</v>
      </c>
      <c r="BH182" s="1683">
        <v>575.33000000000004</v>
      </c>
      <c r="BI182" s="1683">
        <v>581.80999999999995</v>
      </c>
      <c r="BJ182" s="1683">
        <v>588.29</v>
      </c>
      <c r="BK182" s="1683">
        <v>594.77</v>
      </c>
      <c r="BL182" s="1683">
        <v>601.24</v>
      </c>
      <c r="BM182" s="1683">
        <v>607.72</v>
      </c>
      <c r="BN182" s="1683"/>
      <c r="BO182" s="1703">
        <v>178</v>
      </c>
      <c r="BP182" s="1693">
        <v>208.92</v>
      </c>
      <c r="BQ182" s="1693">
        <v>213.5</v>
      </c>
      <c r="BR182" s="1693">
        <v>218.07</v>
      </c>
      <c r="BS182" s="1693">
        <v>222.65</v>
      </c>
      <c r="BT182" s="1693">
        <v>227.22</v>
      </c>
      <c r="BU182" s="1694">
        <v>231.79</v>
      </c>
      <c r="BV182" s="1694">
        <v>236.37</v>
      </c>
      <c r="BW182" s="1694">
        <v>240.94</v>
      </c>
      <c r="BX182" s="1695">
        <v>245.52</v>
      </c>
      <c r="BY182" s="1696">
        <v>250.09</v>
      </c>
      <c r="BZ182" s="1696">
        <v>254.67</v>
      </c>
      <c r="CA182" s="1695">
        <v>259.24</v>
      </c>
      <c r="CB182" s="1695">
        <v>263.82</v>
      </c>
      <c r="CC182" s="1704">
        <v>268.39</v>
      </c>
      <c r="CD182" s="1697">
        <v>272.97000000000003</v>
      </c>
      <c r="CE182" s="1698">
        <v>277.54000000000002</v>
      </c>
      <c r="CF182" s="1699">
        <v>282.12</v>
      </c>
      <c r="CG182" s="1699">
        <v>286.69</v>
      </c>
      <c r="CH182" s="1699">
        <v>291.26</v>
      </c>
      <c r="CI182" s="1699">
        <v>295.83999999999997</v>
      </c>
      <c r="CJ182" s="1699">
        <v>300.41000000000003</v>
      </c>
      <c r="CK182" s="1700">
        <v>259.79000000000002</v>
      </c>
      <c r="CL182" s="1700">
        <v>264.36</v>
      </c>
      <c r="CM182" s="1700">
        <v>268.94</v>
      </c>
      <c r="CN182" s="1700">
        <v>273.51</v>
      </c>
      <c r="CO182" s="1705">
        <v>278.08999999999997</v>
      </c>
      <c r="CP182" s="1706">
        <v>282.66000000000003</v>
      </c>
      <c r="CQ182" s="1701">
        <v>287.24</v>
      </c>
      <c r="CR182" s="1701">
        <v>291.81</v>
      </c>
      <c r="CS182" s="1707">
        <v>296.38</v>
      </c>
      <c r="CT182" s="1700">
        <v>300.95999999999998</v>
      </c>
      <c r="CU182" s="1700">
        <v>305.52999999999997</v>
      </c>
      <c r="CV182" s="1700">
        <v>310.11</v>
      </c>
      <c r="CW182" s="1700">
        <v>314.68</v>
      </c>
      <c r="CX182" s="1700">
        <v>319.26</v>
      </c>
      <c r="CY182" s="1700">
        <v>323.83</v>
      </c>
      <c r="CZ182" s="1700">
        <v>328.41</v>
      </c>
      <c r="DA182" s="1700">
        <v>332.98</v>
      </c>
      <c r="DB182" s="1700">
        <v>337.56</v>
      </c>
      <c r="DC182" s="1700">
        <v>342.13</v>
      </c>
      <c r="DD182" s="1700">
        <v>346.7</v>
      </c>
      <c r="DE182" s="1700">
        <v>351.28</v>
      </c>
      <c r="DF182" s="1700">
        <v>355.85</v>
      </c>
      <c r="DG182" s="1700">
        <v>360.43</v>
      </c>
      <c r="DH182" s="1700">
        <v>365</v>
      </c>
      <c r="DI182" s="1700">
        <v>369.58</v>
      </c>
      <c r="DJ182" s="1700">
        <v>374.15</v>
      </c>
      <c r="DK182" s="1700">
        <v>378.73</v>
      </c>
      <c r="DL182" s="1700">
        <v>383.3</v>
      </c>
      <c r="DM182" s="1700">
        <v>387.88</v>
      </c>
      <c r="DN182" s="1700">
        <v>392.45</v>
      </c>
      <c r="DO182" s="1700">
        <v>397.03</v>
      </c>
      <c r="DP182" s="1700">
        <v>401.6</v>
      </c>
      <c r="DQ182" s="1700">
        <v>406.17</v>
      </c>
      <c r="DR182" s="1700">
        <v>410.75</v>
      </c>
      <c r="DS182" s="1700"/>
      <c r="DT182" s="1700"/>
      <c r="DU182" s="1700"/>
      <c r="DV182" s="1700"/>
      <c r="DW182" s="1700"/>
      <c r="DX182" s="1700"/>
    </row>
    <row r="183" spans="1:128">
      <c r="A183" s="1622"/>
      <c r="B183" s="1691">
        <f t="shared" si="14"/>
        <v>179</v>
      </c>
      <c r="C183" s="1668" t="str">
        <f t="shared" si="11"/>
        <v>480.28</v>
      </c>
      <c r="D183" s="1672">
        <f t="shared" si="12"/>
        <v>672.39</v>
      </c>
      <c r="E183" s="1670"/>
      <c r="F183" s="1671" t="str">
        <f t="shared" si="13"/>
        <v>301.98</v>
      </c>
      <c r="G183" s="1672">
        <f t="shared" si="10"/>
        <v>422.77</v>
      </c>
      <c r="H183" s="1670"/>
      <c r="I183" s="1670"/>
      <c r="J183" s="1708">
        <v>179</v>
      </c>
      <c r="K183" s="1693">
        <v>349.96</v>
      </c>
      <c r="L183" s="1693">
        <v>256.48</v>
      </c>
      <c r="M183" s="1693">
        <v>363</v>
      </c>
      <c r="N183" s="1693">
        <v>369.51</v>
      </c>
      <c r="O183" s="1693">
        <v>376.03</v>
      </c>
      <c r="P183" s="1694">
        <v>382.54</v>
      </c>
      <c r="Q183" s="1694">
        <v>389.06</v>
      </c>
      <c r="R183" s="1694">
        <v>395.57</v>
      </c>
      <c r="S183" s="1695">
        <v>402.09</v>
      </c>
      <c r="T183" s="1696">
        <v>408.6</v>
      </c>
      <c r="U183" s="1696">
        <v>415.12</v>
      </c>
      <c r="V183" s="1695">
        <v>421.64</v>
      </c>
      <c r="W183" s="1695">
        <v>428.15</v>
      </c>
      <c r="X183" s="1695">
        <v>434.67</v>
      </c>
      <c r="Y183" s="1697">
        <v>441.18</v>
      </c>
      <c r="Z183" s="1698">
        <v>447.7</v>
      </c>
      <c r="AA183" s="1699">
        <v>454.21</v>
      </c>
      <c r="AB183" s="1699">
        <v>460.73</v>
      </c>
      <c r="AC183" s="1699">
        <v>467.24</v>
      </c>
      <c r="AD183" s="1699">
        <v>473.76</v>
      </c>
      <c r="AE183" s="1699">
        <v>480.28</v>
      </c>
      <c r="AF183" s="1700">
        <v>396.17</v>
      </c>
      <c r="AG183" s="1700">
        <v>402.69</v>
      </c>
      <c r="AH183" s="1700">
        <v>409.2</v>
      </c>
      <c r="AI183" s="1700">
        <v>415.72</v>
      </c>
      <c r="AJ183" s="1701">
        <v>422.23</v>
      </c>
      <c r="AK183" s="1701">
        <v>428.75</v>
      </c>
      <c r="AL183" s="1701">
        <v>435.26</v>
      </c>
      <c r="AM183" s="1701">
        <v>441.78</v>
      </c>
      <c r="AN183" s="1701">
        <v>448.29</v>
      </c>
      <c r="AO183" s="1702">
        <v>454.81</v>
      </c>
      <c r="AP183" s="1700">
        <v>461.33</v>
      </c>
      <c r="AQ183" s="1700">
        <v>467.84</v>
      </c>
      <c r="AR183" s="1683">
        <v>474.36</v>
      </c>
      <c r="AS183" s="1700">
        <v>480.87</v>
      </c>
      <c r="AT183" s="1700">
        <v>487.39</v>
      </c>
      <c r="AU183" s="1700">
        <v>493.9</v>
      </c>
      <c r="AV183" s="1683">
        <v>500.42</v>
      </c>
      <c r="AW183" s="1700">
        <v>506.93</v>
      </c>
      <c r="AX183" s="1700">
        <v>513.45000000000005</v>
      </c>
      <c r="AY183" s="1700">
        <v>519.97</v>
      </c>
      <c r="AZ183" s="1700">
        <v>526.48</v>
      </c>
      <c r="BA183" s="1700">
        <v>533</v>
      </c>
      <c r="BB183" s="1700">
        <v>539.51</v>
      </c>
      <c r="BC183" s="1700">
        <v>546.03</v>
      </c>
      <c r="BD183" s="1700">
        <v>552.54</v>
      </c>
      <c r="BE183" s="1700">
        <v>559.05999999999995</v>
      </c>
      <c r="BF183" s="1700">
        <v>565.58000000000004</v>
      </c>
      <c r="BG183" s="1700">
        <v>572.09</v>
      </c>
      <c r="BH183" s="1700">
        <v>578.61</v>
      </c>
      <c r="BI183" s="1700">
        <v>585.12</v>
      </c>
      <c r="BJ183" s="1700">
        <v>294.64</v>
      </c>
      <c r="BK183" s="1700">
        <v>598.15</v>
      </c>
      <c r="BL183" s="1700">
        <v>604.66999999999996</v>
      </c>
      <c r="BM183" s="1700">
        <v>611.17999999999995</v>
      </c>
      <c r="BN183" s="1700"/>
      <c r="BO183" s="1703">
        <v>179</v>
      </c>
      <c r="BP183" s="1693">
        <v>209.98</v>
      </c>
      <c r="BQ183" s="1693">
        <v>214.58</v>
      </c>
      <c r="BR183" s="1693">
        <v>219.18</v>
      </c>
      <c r="BS183" s="1693">
        <v>223.78</v>
      </c>
      <c r="BT183" s="1693">
        <v>228.38</v>
      </c>
      <c r="BU183" s="1694">
        <v>232.98</v>
      </c>
      <c r="BV183" s="1694">
        <v>237.58</v>
      </c>
      <c r="BW183" s="1694">
        <v>242.18</v>
      </c>
      <c r="BX183" s="1695">
        <v>246.78</v>
      </c>
      <c r="BY183" s="1696">
        <v>251.38</v>
      </c>
      <c r="BZ183" s="1696">
        <v>255.98</v>
      </c>
      <c r="CA183" s="1695">
        <v>260.58</v>
      </c>
      <c r="CB183" s="1695">
        <v>265.18</v>
      </c>
      <c r="CC183" s="1704">
        <v>269.77999999999997</v>
      </c>
      <c r="CD183" s="1697">
        <v>274.38</v>
      </c>
      <c r="CE183" s="1698">
        <v>278.98</v>
      </c>
      <c r="CF183" s="1699">
        <v>283.58</v>
      </c>
      <c r="CG183" s="1699">
        <v>288.18</v>
      </c>
      <c r="CH183" s="1699">
        <v>292.77999999999997</v>
      </c>
      <c r="CI183" s="1699">
        <v>297.38</v>
      </c>
      <c r="CJ183" s="1699">
        <v>301.98</v>
      </c>
      <c r="CK183" s="1700">
        <v>261.17</v>
      </c>
      <c r="CL183" s="1700">
        <v>265.77</v>
      </c>
      <c r="CM183" s="1700">
        <v>270.37</v>
      </c>
      <c r="CN183" s="1700">
        <v>274.97000000000003</v>
      </c>
      <c r="CO183" s="1705">
        <v>279.57</v>
      </c>
      <c r="CP183" s="1706">
        <v>284.18</v>
      </c>
      <c r="CQ183" s="1701">
        <v>288.77999999999997</v>
      </c>
      <c r="CR183" s="1701">
        <v>293.38</v>
      </c>
      <c r="CS183" s="1707">
        <v>297.98</v>
      </c>
      <c r="CT183" s="1700">
        <v>302.58</v>
      </c>
      <c r="CU183" s="1700">
        <v>307.18</v>
      </c>
      <c r="CV183" s="1700">
        <v>311.77999999999997</v>
      </c>
      <c r="CW183" s="1700">
        <v>316.38</v>
      </c>
      <c r="CX183" s="1700">
        <v>320.98</v>
      </c>
      <c r="CY183" s="1700">
        <v>325.58</v>
      </c>
      <c r="CZ183" s="1700">
        <v>330.18</v>
      </c>
      <c r="DA183" s="1700">
        <v>334.78</v>
      </c>
      <c r="DB183" s="1700">
        <v>339.38</v>
      </c>
      <c r="DC183" s="1700">
        <v>343.98</v>
      </c>
      <c r="DD183" s="1700">
        <v>348.58</v>
      </c>
      <c r="DE183" s="1700">
        <v>353.18</v>
      </c>
      <c r="DF183" s="1700">
        <v>357.78</v>
      </c>
      <c r="DG183" s="1700">
        <v>362.38</v>
      </c>
      <c r="DH183" s="1700">
        <v>366.98</v>
      </c>
      <c r="DI183" s="1700">
        <v>371.58</v>
      </c>
      <c r="DJ183" s="1700">
        <v>376.18</v>
      </c>
      <c r="DK183" s="1700">
        <v>380.78</v>
      </c>
      <c r="DL183" s="1700">
        <v>385.38</v>
      </c>
      <c r="DM183" s="1700">
        <v>389.98</v>
      </c>
      <c r="DN183" s="1700">
        <v>394.58</v>
      </c>
      <c r="DO183" s="1700">
        <v>399.18</v>
      </c>
      <c r="DP183" s="1700">
        <v>403.78</v>
      </c>
      <c r="DQ183" s="1700">
        <v>408.38</v>
      </c>
      <c r="DR183" s="1700">
        <v>412.98</v>
      </c>
      <c r="DS183" s="1700"/>
      <c r="DT183" s="1700"/>
      <c r="DU183" s="1700"/>
      <c r="DV183" s="1700"/>
      <c r="DW183" s="1700"/>
      <c r="DX183" s="1700"/>
    </row>
    <row r="184" spans="1:128">
      <c r="A184" s="1622"/>
      <c r="B184" s="1691">
        <f t="shared" si="14"/>
        <v>180</v>
      </c>
      <c r="C184" s="1668" t="str">
        <f t="shared" si="11"/>
        <v>483.05</v>
      </c>
      <c r="D184" s="1672">
        <f t="shared" si="12"/>
        <v>676.27</v>
      </c>
      <c r="E184" s="1670"/>
      <c r="F184" s="1671" t="str">
        <f t="shared" si="13"/>
        <v>303.7</v>
      </c>
      <c r="G184" s="1672">
        <f t="shared" si="10"/>
        <v>425.18</v>
      </c>
      <c r="H184" s="1670"/>
      <c r="I184" s="1670"/>
      <c r="J184" s="1708">
        <v>180</v>
      </c>
      <c r="K184" s="1693">
        <v>352.01</v>
      </c>
      <c r="L184" s="1693">
        <v>358.56</v>
      </c>
      <c r="M184" s="1693">
        <v>365.11</v>
      </c>
      <c r="N184" s="1693">
        <v>371.66</v>
      </c>
      <c r="O184" s="1693">
        <v>378.21</v>
      </c>
      <c r="P184" s="1694">
        <v>384.77</v>
      </c>
      <c r="Q184" s="1694">
        <v>391.32</v>
      </c>
      <c r="R184" s="1694">
        <v>397.87</v>
      </c>
      <c r="S184" s="1695">
        <v>404.42</v>
      </c>
      <c r="T184" s="1696">
        <v>410.97</v>
      </c>
      <c r="U184" s="1696">
        <v>417.53</v>
      </c>
      <c r="V184" s="1695">
        <v>424.08</v>
      </c>
      <c r="W184" s="1695">
        <v>430.63</v>
      </c>
      <c r="X184" s="1695">
        <v>437.18</v>
      </c>
      <c r="Y184" s="1697">
        <v>443.73</v>
      </c>
      <c r="Z184" s="1698">
        <v>450.29</v>
      </c>
      <c r="AA184" s="1699">
        <v>456.84</v>
      </c>
      <c r="AB184" s="1699">
        <v>463.39</v>
      </c>
      <c r="AC184" s="1699">
        <v>469.94</v>
      </c>
      <c r="AD184" s="1699">
        <v>476.49</v>
      </c>
      <c r="AE184" s="1699">
        <v>483.05</v>
      </c>
      <c r="AF184" s="1700">
        <v>398.43</v>
      </c>
      <c r="AG184" s="1700">
        <v>404.99</v>
      </c>
      <c r="AH184" s="1700">
        <v>411.54</v>
      </c>
      <c r="AI184" s="1700">
        <v>418.09</v>
      </c>
      <c r="AJ184" s="1701">
        <v>424.64</v>
      </c>
      <c r="AK184" s="1701">
        <v>431.19</v>
      </c>
      <c r="AL184" s="1701">
        <v>437.75</v>
      </c>
      <c r="AM184" s="1701">
        <v>444.3</v>
      </c>
      <c r="AN184" s="1701">
        <v>450.85</v>
      </c>
      <c r="AO184" s="1702">
        <v>457.4</v>
      </c>
      <c r="AP184" s="1700">
        <v>463.95</v>
      </c>
      <c r="AQ184" s="1700">
        <v>470.51</v>
      </c>
      <c r="AR184" s="1700">
        <v>477.06</v>
      </c>
      <c r="AS184" s="1700">
        <v>483.61</v>
      </c>
      <c r="AT184" s="1700">
        <v>490.16</v>
      </c>
      <c r="AU184" s="1700">
        <v>496.71</v>
      </c>
      <c r="AV184" s="1700">
        <v>503.27</v>
      </c>
      <c r="AW184" s="1700">
        <v>509.82</v>
      </c>
      <c r="AX184" s="1700">
        <v>516.37</v>
      </c>
      <c r="AY184" s="1700">
        <v>522.91999999999996</v>
      </c>
      <c r="AZ184" s="1700">
        <v>529.47</v>
      </c>
      <c r="BA184" s="1700">
        <v>536.03</v>
      </c>
      <c r="BB184" s="1683">
        <v>542.58000000000004</v>
      </c>
      <c r="BC184" s="1700">
        <v>549.13</v>
      </c>
      <c r="BD184" s="1700">
        <v>555.67999999999995</v>
      </c>
      <c r="BE184" s="1700">
        <v>562.23</v>
      </c>
      <c r="BF184" s="1700">
        <v>568.79</v>
      </c>
      <c r="BG184" s="1700">
        <v>575.34</v>
      </c>
      <c r="BH184" s="1700">
        <v>581.89</v>
      </c>
      <c r="BI184" s="1700">
        <v>588.44000000000005</v>
      </c>
      <c r="BJ184" s="1700">
        <v>594.99</v>
      </c>
      <c r="BK184" s="1700">
        <v>601.54999999999995</v>
      </c>
      <c r="BL184" s="1700">
        <v>608.1</v>
      </c>
      <c r="BM184" s="1700">
        <v>614.65</v>
      </c>
      <c r="BN184" s="1700"/>
      <c r="BO184" s="1703">
        <v>180</v>
      </c>
      <c r="BP184" s="1693">
        <v>211.18</v>
      </c>
      <c r="BQ184" s="1693">
        <v>215.8</v>
      </c>
      <c r="BR184" s="1693">
        <v>220.43</v>
      </c>
      <c r="BS184" s="1693">
        <v>225.05</v>
      </c>
      <c r="BT184" s="1693">
        <v>229.68</v>
      </c>
      <c r="BU184" s="1694">
        <v>234.31</v>
      </c>
      <c r="BV184" s="1694">
        <v>238.93</v>
      </c>
      <c r="BW184" s="1694">
        <v>243.56</v>
      </c>
      <c r="BX184" s="1695">
        <v>248.18</v>
      </c>
      <c r="BY184" s="1696">
        <v>252.81</v>
      </c>
      <c r="BZ184" s="1696">
        <v>257.44</v>
      </c>
      <c r="CA184" s="1695">
        <v>262.06</v>
      </c>
      <c r="CB184" s="1695">
        <v>266.69</v>
      </c>
      <c r="CC184" s="1704">
        <v>271.31</v>
      </c>
      <c r="CD184" s="1697">
        <v>275.94</v>
      </c>
      <c r="CE184" s="1698">
        <v>280.57</v>
      </c>
      <c r="CF184" s="1699">
        <v>285.19</v>
      </c>
      <c r="CG184" s="1699">
        <v>289.82</v>
      </c>
      <c r="CH184" s="1699">
        <v>294.44</v>
      </c>
      <c r="CI184" s="1699">
        <v>299.07</v>
      </c>
      <c r="CJ184" s="1699">
        <v>303.7</v>
      </c>
      <c r="CK184" s="1700">
        <v>262.64999999999998</v>
      </c>
      <c r="CL184" s="1700">
        <v>267.27</v>
      </c>
      <c r="CM184" s="1700">
        <v>271.89999999999998</v>
      </c>
      <c r="CN184" s="1700">
        <v>276.52999999999997</v>
      </c>
      <c r="CO184" s="1705">
        <v>281.14999999999998</v>
      </c>
      <c r="CP184" s="1706">
        <v>285.77999999999997</v>
      </c>
      <c r="CQ184" s="1701">
        <v>290.39999999999998</v>
      </c>
      <c r="CR184" s="1701">
        <v>295.02999999999997</v>
      </c>
      <c r="CS184" s="1707">
        <v>299.66000000000003</v>
      </c>
      <c r="CT184" s="1700">
        <v>304.27999999999997</v>
      </c>
      <c r="CU184" s="1700">
        <v>308.91000000000003</v>
      </c>
      <c r="CV184" s="1700">
        <v>313.52999999999997</v>
      </c>
      <c r="CW184" s="1700">
        <v>318.16000000000003</v>
      </c>
      <c r="CX184" s="1700">
        <v>322.79000000000002</v>
      </c>
      <c r="CY184" s="1700">
        <v>327.41000000000003</v>
      </c>
      <c r="CZ184" s="1700">
        <v>332.04</v>
      </c>
      <c r="DA184" s="1700">
        <v>336.66</v>
      </c>
      <c r="DB184" s="1700">
        <v>341.29</v>
      </c>
      <c r="DC184" s="1700">
        <v>345.92</v>
      </c>
      <c r="DD184" s="1700">
        <v>350.54</v>
      </c>
      <c r="DE184" s="1700">
        <v>355.17</v>
      </c>
      <c r="DF184" s="1700">
        <v>259.79000000000002</v>
      </c>
      <c r="DG184" s="1700">
        <v>364.42</v>
      </c>
      <c r="DH184" s="1700">
        <v>369.05</v>
      </c>
      <c r="DI184" s="1700">
        <v>373.67</v>
      </c>
      <c r="DJ184" s="1700">
        <v>378.3</v>
      </c>
      <c r="DK184" s="1700">
        <v>382.92</v>
      </c>
      <c r="DL184" s="1700">
        <v>387.55</v>
      </c>
      <c r="DM184" s="1700">
        <v>392.18</v>
      </c>
      <c r="DN184" s="1700">
        <v>396.8</v>
      </c>
      <c r="DO184" s="1700">
        <v>401.43</v>
      </c>
      <c r="DP184" s="1700">
        <v>406.05</v>
      </c>
      <c r="DQ184" s="1700">
        <v>410.68</v>
      </c>
      <c r="DR184" s="1700">
        <v>415.31</v>
      </c>
      <c r="DS184" s="1700"/>
      <c r="DT184" s="1700"/>
      <c r="DU184" s="1700"/>
      <c r="DV184" s="1700"/>
      <c r="DW184" s="1700"/>
      <c r="DX184" s="1700"/>
    </row>
    <row r="185" spans="1:128">
      <c r="A185" s="1622"/>
      <c r="B185" s="1691">
        <f t="shared" si="14"/>
        <v>181</v>
      </c>
      <c r="C185" s="1668" t="str">
        <f t="shared" si="11"/>
        <v>485.82</v>
      </c>
      <c r="D185" s="1672">
        <f t="shared" si="12"/>
        <v>680.15</v>
      </c>
      <c r="E185" s="1670"/>
      <c r="F185" s="1671" t="str">
        <f t="shared" si="13"/>
        <v>305.41</v>
      </c>
      <c r="G185" s="1672">
        <f t="shared" si="10"/>
        <v>427.57</v>
      </c>
      <c r="H185" s="1670"/>
      <c r="I185" s="1670"/>
      <c r="J185" s="1708">
        <v>181</v>
      </c>
      <c r="K185" s="1693">
        <v>354.05</v>
      </c>
      <c r="L185" s="1693">
        <v>360.64</v>
      </c>
      <c r="M185" s="1693">
        <v>367.23</v>
      </c>
      <c r="N185" s="1693">
        <v>373.82</v>
      </c>
      <c r="O185" s="1693">
        <v>380.41</v>
      </c>
      <c r="P185" s="1694">
        <v>387</v>
      </c>
      <c r="Q185" s="1694">
        <v>393.58</v>
      </c>
      <c r="R185" s="1694">
        <v>400.17</v>
      </c>
      <c r="S185" s="1695">
        <v>406.76</v>
      </c>
      <c r="T185" s="1696">
        <v>413.35</v>
      </c>
      <c r="U185" s="1696">
        <v>419.94</v>
      </c>
      <c r="V185" s="1695">
        <v>426.53</v>
      </c>
      <c r="W185" s="1695">
        <v>433.12</v>
      </c>
      <c r="X185" s="1695">
        <v>439.7</v>
      </c>
      <c r="Y185" s="1697">
        <v>446.29</v>
      </c>
      <c r="Z185" s="1698">
        <v>452.88</v>
      </c>
      <c r="AA185" s="1699">
        <v>459.47</v>
      </c>
      <c r="AB185" s="1699">
        <v>466.06</v>
      </c>
      <c r="AC185" s="1699">
        <v>472.65</v>
      </c>
      <c r="AD185" s="1699">
        <v>479.23</v>
      </c>
      <c r="AE185" s="1699">
        <v>485.82</v>
      </c>
      <c r="AF185" s="1683">
        <v>400.7</v>
      </c>
      <c r="AG185" s="1683">
        <v>407.29</v>
      </c>
      <c r="AH185" s="1683">
        <v>413.88</v>
      </c>
      <c r="AI185" s="1683">
        <v>420.47</v>
      </c>
      <c r="AJ185" s="1701">
        <v>427.05</v>
      </c>
      <c r="AK185" s="1701">
        <v>433.64</v>
      </c>
      <c r="AL185" s="1701">
        <v>440.23</v>
      </c>
      <c r="AM185" s="1701">
        <v>446.82</v>
      </c>
      <c r="AN185" s="1701">
        <v>453.41</v>
      </c>
      <c r="AO185" s="1702">
        <v>460</v>
      </c>
      <c r="AP185" s="1700">
        <v>466.59</v>
      </c>
      <c r="AQ185" s="1700">
        <v>473.17</v>
      </c>
      <c r="AR185" s="1683">
        <v>479.76</v>
      </c>
      <c r="AS185" s="1700">
        <v>486.35</v>
      </c>
      <c r="AT185" s="1683">
        <v>492.94</v>
      </c>
      <c r="AU185" s="1700">
        <v>499.53</v>
      </c>
      <c r="AV185" s="1700">
        <v>506.12</v>
      </c>
      <c r="AW185" s="1683">
        <v>512.70000000000005</v>
      </c>
      <c r="AX185" s="1683">
        <v>519.29</v>
      </c>
      <c r="AY185" s="1683">
        <v>525.88</v>
      </c>
      <c r="AZ185" s="1683">
        <v>532.47</v>
      </c>
      <c r="BA185" s="1683">
        <v>539.05999999999995</v>
      </c>
      <c r="BB185" s="1700">
        <v>545.65</v>
      </c>
      <c r="BC185" s="1683">
        <v>552.23</v>
      </c>
      <c r="BD185" s="1683">
        <v>558.82000000000005</v>
      </c>
      <c r="BE185" s="1683">
        <v>565.41</v>
      </c>
      <c r="BF185" s="1683">
        <v>572</v>
      </c>
      <c r="BG185" s="1683">
        <v>578.59</v>
      </c>
      <c r="BH185" s="1683">
        <v>585.17999999999995</v>
      </c>
      <c r="BI185" s="1683">
        <v>591.76</v>
      </c>
      <c r="BJ185" s="1683">
        <v>598.35</v>
      </c>
      <c r="BK185" s="1683">
        <v>604.94000000000005</v>
      </c>
      <c r="BL185" s="1683">
        <v>611.53</v>
      </c>
      <c r="BM185" s="1683">
        <v>618.12</v>
      </c>
      <c r="BN185" s="1683"/>
      <c r="BO185" s="1703">
        <v>181</v>
      </c>
      <c r="BP185" s="1693">
        <v>212.38</v>
      </c>
      <c r="BQ185" s="1693">
        <v>217.03</v>
      </c>
      <c r="BR185" s="1693">
        <v>221.68</v>
      </c>
      <c r="BS185" s="1693">
        <v>226.33</v>
      </c>
      <c r="BT185" s="1693">
        <v>230.98</v>
      </c>
      <c r="BU185" s="1694">
        <v>235.63</v>
      </c>
      <c r="BV185" s="1694">
        <v>240.29</v>
      </c>
      <c r="BW185" s="1694">
        <v>244.94</v>
      </c>
      <c r="BX185" s="1695">
        <v>249.59</v>
      </c>
      <c r="BY185" s="1696">
        <v>254.24</v>
      </c>
      <c r="BZ185" s="1696">
        <v>258.89</v>
      </c>
      <c r="CA185" s="1695">
        <v>263.54000000000002</v>
      </c>
      <c r="CB185" s="1695">
        <v>268.2</v>
      </c>
      <c r="CC185" s="1704">
        <v>272.85000000000002</v>
      </c>
      <c r="CD185" s="1697">
        <v>277.5</v>
      </c>
      <c r="CE185" s="1698">
        <v>282.14999999999998</v>
      </c>
      <c r="CF185" s="1699">
        <v>286.8</v>
      </c>
      <c r="CG185" s="1699">
        <v>291.45</v>
      </c>
      <c r="CH185" s="1699">
        <v>296.11</v>
      </c>
      <c r="CI185" s="1699">
        <v>300.76</v>
      </c>
      <c r="CJ185" s="1699">
        <v>305.41000000000003</v>
      </c>
      <c r="CK185" s="1700">
        <v>264.12</v>
      </c>
      <c r="CL185" s="1700">
        <v>268.77999999999997</v>
      </c>
      <c r="CM185" s="1700">
        <v>273.43</v>
      </c>
      <c r="CN185" s="1700">
        <v>278.08</v>
      </c>
      <c r="CO185" s="1705">
        <v>282.73</v>
      </c>
      <c r="CP185" s="1706">
        <v>287.38</v>
      </c>
      <c r="CQ185" s="1701">
        <v>292.02999999999997</v>
      </c>
      <c r="CR185" s="1701">
        <v>296.69</v>
      </c>
      <c r="CS185" s="1707">
        <v>301.33999999999997</v>
      </c>
      <c r="CT185" s="1700">
        <v>305.99</v>
      </c>
      <c r="CU185" s="1700">
        <v>310.64</v>
      </c>
      <c r="CV185" s="1700">
        <v>315.29000000000002</v>
      </c>
      <c r="CW185" s="1461">
        <v>319.94</v>
      </c>
      <c r="CX185" s="1700">
        <v>324.60000000000002</v>
      </c>
      <c r="CY185" s="1700">
        <v>329.25</v>
      </c>
      <c r="CZ185" s="1700">
        <v>333.9</v>
      </c>
      <c r="DA185" s="1700">
        <v>338.55</v>
      </c>
      <c r="DB185" s="1700">
        <v>343.2</v>
      </c>
      <c r="DC185" s="1700">
        <v>347.85</v>
      </c>
      <c r="DD185" s="1700">
        <v>352.51</v>
      </c>
      <c r="DE185" s="1700">
        <v>357.16</v>
      </c>
      <c r="DF185" s="1700">
        <v>361.81</v>
      </c>
      <c r="DG185" s="1700">
        <v>366.46</v>
      </c>
      <c r="DH185" s="1700">
        <v>371.11</v>
      </c>
      <c r="DI185" s="1700">
        <v>375.76</v>
      </c>
      <c r="DJ185" s="1700">
        <v>380.42</v>
      </c>
      <c r="DK185" s="1700">
        <v>385.07</v>
      </c>
      <c r="DL185" s="1700">
        <v>389.72</v>
      </c>
      <c r="DM185" s="1700">
        <v>394.37</v>
      </c>
      <c r="DN185" s="1700">
        <v>399.02</v>
      </c>
      <c r="DO185" s="1700">
        <v>403.67</v>
      </c>
      <c r="DP185" s="1700">
        <v>408.33</v>
      </c>
      <c r="DQ185" s="1700">
        <v>412.98</v>
      </c>
      <c r="DR185" s="1700">
        <v>417.63</v>
      </c>
      <c r="DS185" s="1700"/>
      <c r="DT185" s="1700"/>
      <c r="DU185" s="1700"/>
      <c r="DV185" s="1700"/>
      <c r="DW185" s="1700"/>
      <c r="DX185" s="1700"/>
    </row>
    <row r="186" spans="1:128">
      <c r="A186" s="1622"/>
      <c r="B186" s="1691">
        <f t="shared" si="14"/>
        <v>182</v>
      </c>
      <c r="C186" s="1668" t="str">
        <f t="shared" si="11"/>
        <v>488.61</v>
      </c>
      <c r="D186" s="1672">
        <f t="shared" si="12"/>
        <v>684.05</v>
      </c>
      <c r="E186" s="1670"/>
      <c r="F186" s="1671" t="str">
        <f t="shared" si="13"/>
        <v>307.12</v>
      </c>
      <c r="G186" s="1672">
        <f t="shared" si="10"/>
        <v>429.97</v>
      </c>
      <c r="H186" s="1670"/>
      <c r="I186" s="1670"/>
      <c r="J186" s="1708">
        <v>182</v>
      </c>
      <c r="K186" s="1693">
        <v>356.11</v>
      </c>
      <c r="L186" s="1693">
        <v>362.74</v>
      </c>
      <c r="M186" s="1693">
        <v>369.36</v>
      </c>
      <c r="N186" s="1693">
        <v>375.99</v>
      </c>
      <c r="O186" s="1693">
        <v>382.61</v>
      </c>
      <c r="P186" s="1694">
        <v>389.23</v>
      </c>
      <c r="Q186" s="1694">
        <v>395.86</v>
      </c>
      <c r="R186" s="1694">
        <v>402.48</v>
      </c>
      <c r="S186" s="1695">
        <v>409.11</v>
      </c>
      <c r="T186" s="1696">
        <v>415.73</v>
      </c>
      <c r="U186" s="1696">
        <v>422.36</v>
      </c>
      <c r="V186" s="1695">
        <v>428.98</v>
      </c>
      <c r="W186" s="1695">
        <v>435.61</v>
      </c>
      <c r="X186" s="1695">
        <v>442.23</v>
      </c>
      <c r="Y186" s="1697">
        <v>448.86</v>
      </c>
      <c r="Z186" s="1698">
        <v>455.48</v>
      </c>
      <c r="AA186" s="1699">
        <v>462.11</v>
      </c>
      <c r="AB186" s="1699">
        <v>468.73</v>
      </c>
      <c r="AC186" s="1699">
        <v>475.36</v>
      </c>
      <c r="AD186" s="1699">
        <v>481.98</v>
      </c>
      <c r="AE186" s="1699">
        <v>488.61</v>
      </c>
      <c r="AF186" s="1700">
        <v>402.97</v>
      </c>
      <c r="AG186" s="1700">
        <v>409.6</v>
      </c>
      <c r="AH186" s="1700">
        <v>416.22</v>
      </c>
      <c r="AI186" s="1700">
        <v>422.85</v>
      </c>
      <c r="AJ186" s="1701">
        <v>429.47</v>
      </c>
      <c r="AK186" s="1701">
        <v>436.1</v>
      </c>
      <c r="AL186" s="1701">
        <v>442.72</v>
      </c>
      <c r="AM186" s="1701">
        <v>449.35</v>
      </c>
      <c r="AN186" s="1701">
        <v>455.97</v>
      </c>
      <c r="AO186" s="1702">
        <v>462.6</v>
      </c>
      <c r="AP186" s="1700">
        <v>469.22</v>
      </c>
      <c r="AQ186" s="1700">
        <v>475.85</v>
      </c>
      <c r="AR186" s="1700">
        <v>482.47</v>
      </c>
      <c r="AS186" s="1700">
        <v>489.1</v>
      </c>
      <c r="AT186" s="1700">
        <v>495.72</v>
      </c>
      <c r="AU186" s="1700">
        <v>502.35</v>
      </c>
      <c r="AV186" s="1683">
        <v>508.97</v>
      </c>
      <c r="AW186" s="1700">
        <v>515.6</v>
      </c>
      <c r="AX186" s="1700">
        <v>522.22</v>
      </c>
      <c r="AY186" s="1700">
        <v>528.84</v>
      </c>
      <c r="AZ186" s="1700">
        <v>535.47</v>
      </c>
      <c r="BA186" s="1700">
        <v>542.09</v>
      </c>
      <c r="BB186" s="1700">
        <v>548.72</v>
      </c>
      <c r="BC186" s="1700">
        <v>555.34</v>
      </c>
      <c r="BD186" s="1700">
        <v>561.97</v>
      </c>
      <c r="BE186" s="1700">
        <v>568.59</v>
      </c>
      <c r="BF186" s="1700">
        <v>575.22</v>
      </c>
      <c r="BG186" s="1700">
        <v>581.84</v>
      </c>
      <c r="BH186" s="1700">
        <v>588.47</v>
      </c>
      <c r="BI186" s="1700">
        <v>595.09</v>
      </c>
      <c r="BJ186" s="1700">
        <v>601.72</v>
      </c>
      <c r="BK186" s="1700">
        <v>608.34</v>
      </c>
      <c r="BL186" s="1700">
        <v>614.97</v>
      </c>
      <c r="BM186" s="1700">
        <v>621.59</v>
      </c>
      <c r="BN186" s="1700"/>
      <c r="BO186" s="1703">
        <v>182</v>
      </c>
      <c r="BP186" s="1693">
        <v>213.58</v>
      </c>
      <c r="BQ186" s="1693">
        <v>218.25</v>
      </c>
      <c r="BR186" s="1693">
        <v>222.923</v>
      </c>
      <c r="BS186" s="1693">
        <v>227.64099999999999</v>
      </c>
      <c r="BT186" s="1693">
        <v>232.29</v>
      </c>
      <c r="BU186" s="1694">
        <v>236.96</v>
      </c>
      <c r="BV186" s="1694">
        <v>241.64</v>
      </c>
      <c r="BW186" s="1694">
        <v>246.32</v>
      </c>
      <c r="BX186" s="1695">
        <v>251</v>
      </c>
      <c r="BY186" s="1696">
        <v>255.67</v>
      </c>
      <c r="BZ186" s="1696">
        <v>260.35000000000002</v>
      </c>
      <c r="CA186" s="1695">
        <v>265.02999999999997</v>
      </c>
      <c r="CB186" s="1695">
        <v>269.70999999999998</v>
      </c>
      <c r="CC186" s="1704">
        <v>274.38</v>
      </c>
      <c r="CD186" s="1697">
        <v>279.06</v>
      </c>
      <c r="CE186" s="1698">
        <v>283.74</v>
      </c>
      <c r="CF186" s="1699">
        <v>288.41000000000003</v>
      </c>
      <c r="CG186" s="1699">
        <v>293.08999999999997</v>
      </c>
      <c r="CH186" s="1699">
        <v>297.77</v>
      </c>
      <c r="CI186" s="1699">
        <v>302.45</v>
      </c>
      <c r="CJ186" s="1699">
        <v>307.12</v>
      </c>
      <c r="CK186" s="1700">
        <v>265.60000000000002</v>
      </c>
      <c r="CL186" s="1700">
        <v>270.27999999999997</v>
      </c>
      <c r="CM186" s="1700">
        <v>274.95999999999998</v>
      </c>
      <c r="CN186" s="1700">
        <v>279.63</v>
      </c>
      <c r="CO186" s="1705">
        <v>284.31</v>
      </c>
      <c r="CP186" s="1706">
        <v>288.99</v>
      </c>
      <c r="CQ186" s="1701">
        <v>293.66000000000003</v>
      </c>
      <c r="CR186" s="1701">
        <v>298.33999999999997</v>
      </c>
      <c r="CS186" s="1707">
        <v>303.02</v>
      </c>
      <c r="CT186" s="1700">
        <v>307.7</v>
      </c>
      <c r="CU186" s="1700">
        <v>312.37</v>
      </c>
      <c r="CV186" s="1461">
        <v>317.05</v>
      </c>
      <c r="CW186" s="1700">
        <v>321.73</v>
      </c>
      <c r="CX186" s="1700">
        <v>326.41000000000003</v>
      </c>
      <c r="CY186" s="1700">
        <v>331.08</v>
      </c>
      <c r="CZ186" s="1700">
        <v>335.76</v>
      </c>
      <c r="DA186" s="1700">
        <v>340.44</v>
      </c>
      <c r="DB186" s="1700">
        <v>345.12</v>
      </c>
      <c r="DC186" s="1700">
        <v>349.79</v>
      </c>
      <c r="DD186" s="1700">
        <v>354.47</v>
      </c>
      <c r="DE186" s="1700">
        <v>359.15</v>
      </c>
      <c r="DF186" s="1700">
        <v>363.83</v>
      </c>
      <c r="DG186" s="1700">
        <v>368.5</v>
      </c>
      <c r="DH186" s="1700">
        <v>373.18</v>
      </c>
      <c r="DI186" s="1700">
        <v>377.86</v>
      </c>
      <c r="DJ186" s="1700">
        <v>382.54</v>
      </c>
      <c r="DK186" s="1700">
        <v>387.21</v>
      </c>
      <c r="DL186" s="1700">
        <v>391.89</v>
      </c>
      <c r="DM186" s="1700">
        <v>396.57</v>
      </c>
      <c r="DN186" s="1700">
        <v>401.24</v>
      </c>
      <c r="DO186" s="1700">
        <v>405.92</v>
      </c>
      <c r="DP186" s="1700">
        <v>410.6</v>
      </c>
      <c r="DQ186" s="1700">
        <v>415.28</v>
      </c>
      <c r="DR186" s="1700">
        <v>419.95</v>
      </c>
      <c r="DS186" s="1700"/>
      <c r="DT186" s="1700"/>
      <c r="DU186" s="1700"/>
      <c r="DV186" s="1700"/>
      <c r="DW186" s="1700"/>
      <c r="DX186" s="1700"/>
    </row>
    <row r="187" spans="1:128">
      <c r="A187" s="1622"/>
      <c r="B187" s="1691">
        <f t="shared" si="14"/>
        <v>183</v>
      </c>
      <c r="C187" s="1668" t="str">
        <f t="shared" si="11"/>
        <v>491.4</v>
      </c>
      <c r="D187" s="1672">
        <f t="shared" si="12"/>
        <v>687.96</v>
      </c>
      <c r="E187" s="1670"/>
      <c r="F187" s="1671" t="str">
        <f t="shared" si="13"/>
        <v>308.84</v>
      </c>
      <c r="G187" s="1672">
        <f t="shared" si="10"/>
        <v>432.38</v>
      </c>
      <c r="H187" s="1670"/>
      <c r="I187" s="1670"/>
      <c r="J187" s="1708">
        <v>183</v>
      </c>
      <c r="K187" s="1693">
        <v>358.17</v>
      </c>
      <c r="L187" s="1693">
        <v>364.84</v>
      </c>
      <c r="M187" s="1693">
        <v>371.5</v>
      </c>
      <c r="N187" s="1693">
        <v>378.16</v>
      </c>
      <c r="O187" s="1693">
        <v>384.82</v>
      </c>
      <c r="P187" s="1694">
        <v>391.48</v>
      </c>
      <c r="Q187" s="1694">
        <v>398.14</v>
      </c>
      <c r="R187" s="1694">
        <v>404.8</v>
      </c>
      <c r="S187" s="1695">
        <v>411.46</v>
      </c>
      <c r="T187" s="1696">
        <v>418.13</v>
      </c>
      <c r="U187" s="1696">
        <v>424.79</v>
      </c>
      <c r="V187" s="1695">
        <v>431.45</v>
      </c>
      <c r="W187" s="1695">
        <v>438.11</v>
      </c>
      <c r="X187" s="1695">
        <v>444.77</v>
      </c>
      <c r="Y187" s="1697">
        <v>451.43</v>
      </c>
      <c r="Z187" s="1698">
        <v>458.09</v>
      </c>
      <c r="AA187" s="1699">
        <v>464.75</v>
      </c>
      <c r="AB187" s="1699">
        <v>471.41</v>
      </c>
      <c r="AC187" s="1699">
        <v>478.08</v>
      </c>
      <c r="AD187" s="1699">
        <v>484.74</v>
      </c>
      <c r="AE187" s="1699">
        <v>491.4</v>
      </c>
      <c r="AF187" s="1700">
        <v>405.25</v>
      </c>
      <c r="AG187" s="1700">
        <v>411.91</v>
      </c>
      <c r="AH187" s="1700">
        <v>418.57</v>
      </c>
      <c r="AI187" s="1700">
        <v>425.23</v>
      </c>
      <c r="AJ187" s="1701">
        <v>431.89</v>
      </c>
      <c r="AK187" s="1701">
        <v>438.56</v>
      </c>
      <c r="AL187" s="1701">
        <v>445.22</v>
      </c>
      <c r="AM187" s="1701">
        <v>451.88</v>
      </c>
      <c r="AN187" s="1701">
        <v>458.54</v>
      </c>
      <c r="AO187" s="1702">
        <v>465.2</v>
      </c>
      <c r="AP187" s="1700">
        <v>471.86</v>
      </c>
      <c r="AQ187" s="1700">
        <v>478.52</v>
      </c>
      <c r="AR187" s="1683">
        <v>485.18</v>
      </c>
      <c r="AS187" s="1700">
        <v>491.85</v>
      </c>
      <c r="AT187" s="1700">
        <v>498.51</v>
      </c>
      <c r="AU187" s="1700">
        <v>505.17</v>
      </c>
      <c r="AV187" s="1700">
        <v>511.83</v>
      </c>
      <c r="AW187" s="1700">
        <v>518.49</v>
      </c>
      <c r="AX187" s="1700">
        <v>525.15</v>
      </c>
      <c r="AY187" s="1700">
        <v>531.80999999999995</v>
      </c>
      <c r="AZ187" s="1700">
        <v>538.47</v>
      </c>
      <c r="BA187" s="1700">
        <v>545.14</v>
      </c>
      <c r="BB187" s="1683">
        <v>551.79999999999995</v>
      </c>
      <c r="BC187" s="1700">
        <v>558.46</v>
      </c>
      <c r="BD187" s="1700">
        <v>565.12</v>
      </c>
      <c r="BE187" s="1700">
        <v>571.78</v>
      </c>
      <c r="BF187" s="1700">
        <v>578.44000000000005</v>
      </c>
      <c r="BG187" s="1700">
        <v>585.1</v>
      </c>
      <c r="BH187" s="1700">
        <v>591.76</v>
      </c>
      <c r="BI187" s="1700">
        <v>598.41999999999996</v>
      </c>
      <c r="BJ187" s="1700">
        <v>605.09</v>
      </c>
      <c r="BK187" s="1700">
        <v>611.75</v>
      </c>
      <c r="BL187" s="1700">
        <v>618.41</v>
      </c>
      <c r="BM187" s="1700">
        <v>625.07000000000005</v>
      </c>
      <c r="BN187" s="1700"/>
      <c r="BO187" s="1703">
        <v>183</v>
      </c>
      <c r="BP187" s="1693">
        <v>214.78</v>
      </c>
      <c r="BQ187" s="1693">
        <v>219.48</v>
      </c>
      <c r="BR187" s="1693">
        <v>224.19</v>
      </c>
      <c r="BS187" s="1693">
        <v>228.89</v>
      </c>
      <c r="BT187" s="1693">
        <v>233.59</v>
      </c>
      <c r="BU187" s="1694">
        <v>238.3</v>
      </c>
      <c r="BV187" s="1694">
        <v>243</v>
      </c>
      <c r="BW187" s="1694">
        <v>247.7</v>
      </c>
      <c r="BX187" s="1695">
        <v>252.4</v>
      </c>
      <c r="BY187" s="1696">
        <v>257.11</v>
      </c>
      <c r="BZ187" s="1696">
        <v>261.81</v>
      </c>
      <c r="CA187" s="1695">
        <v>266.51</v>
      </c>
      <c r="CB187" s="1695">
        <v>271.22000000000003</v>
      </c>
      <c r="CC187" s="1704">
        <v>275.92</v>
      </c>
      <c r="CD187" s="1697">
        <v>280.62</v>
      </c>
      <c r="CE187" s="1698">
        <v>285.33</v>
      </c>
      <c r="CF187" s="1699">
        <v>290.02999999999997</v>
      </c>
      <c r="CG187" s="1699">
        <v>294.73</v>
      </c>
      <c r="CH187" s="1699">
        <v>299.44</v>
      </c>
      <c r="CI187" s="1699">
        <v>304.14</v>
      </c>
      <c r="CJ187" s="1699">
        <v>308.83999999999997</v>
      </c>
      <c r="CK187" s="1700">
        <v>267.08</v>
      </c>
      <c r="CL187" s="1700">
        <v>271.77999999999997</v>
      </c>
      <c r="CM187" s="1700">
        <v>276.48</v>
      </c>
      <c r="CN187" s="1700">
        <v>281.19</v>
      </c>
      <c r="CO187" s="1705">
        <v>285.89</v>
      </c>
      <c r="CP187" s="1706">
        <v>290.58999999999997</v>
      </c>
      <c r="CQ187" s="1701">
        <v>295.3</v>
      </c>
      <c r="CR187" s="1701">
        <v>300</v>
      </c>
      <c r="CS187" s="1707">
        <v>304.7</v>
      </c>
      <c r="CT187" s="1700">
        <v>309.41000000000003</v>
      </c>
      <c r="CU187" s="1700">
        <v>314.11</v>
      </c>
      <c r="CV187" s="1700">
        <v>318.81</v>
      </c>
      <c r="CW187" s="1700">
        <v>323.52</v>
      </c>
      <c r="CX187" s="1700">
        <v>328.22</v>
      </c>
      <c r="CY187" s="1700">
        <v>332.92</v>
      </c>
      <c r="CZ187" s="1700">
        <v>337.62</v>
      </c>
      <c r="DA187" s="1700">
        <v>342.33</v>
      </c>
      <c r="DB187" s="1700">
        <v>347.03</v>
      </c>
      <c r="DC187" s="1700">
        <v>351.73</v>
      </c>
      <c r="DD187" s="1700">
        <v>356.44</v>
      </c>
      <c r="DE187" s="1700">
        <v>361.14</v>
      </c>
      <c r="DF187" s="1700">
        <v>365.84</v>
      </c>
      <c r="DG187" s="1700">
        <v>370.55</v>
      </c>
      <c r="DH187" s="1700">
        <v>375.25</v>
      </c>
      <c r="DI187" s="1700">
        <v>379.95</v>
      </c>
      <c r="DJ187" s="1700">
        <v>384.66</v>
      </c>
      <c r="DK187" s="1700">
        <v>389.36</v>
      </c>
      <c r="DL187" s="1700">
        <v>394.06</v>
      </c>
      <c r="DM187" s="1700">
        <v>398.77</v>
      </c>
      <c r="DN187" s="1700">
        <v>403.47</v>
      </c>
      <c r="DO187" s="1700">
        <v>408.17</v>
      </c>
      <c r="DP187" s="1700">
        <v>412.87</v>
      </c>
      <c r="DQ187" s="1700">
        <v>417.58</v>
      </c>
      <c r="DR187" s="1700">
        <v>422.28</v>
      </c>
      <c r="DS187" s="1700"/>
      <c r="DT187" s="1700"/>
      <c r="DU187" s="1700"/>
      <c r="DV187" s="1700"/>
      <c r="DW187" s="1700"/>
      <c r="DX187" s="1700"/>
    </row>
    <row r="188" spans="1:128">
      <c r="A188" s="1622"/>
      <c r="B188" s="1691">
        <f t="shared" si="14"/>
        <v>184</v>
      </c>
      <c r="C188" s="1668" t="str">
        <f t="shared" si="11"/>
        <v>493.63</v>
      </c>
      <c r="D188" s="1672">
        <f t="shared" si="12"/>
        <v>691.08</v>
      </c>
      <c r="E188" s="1670"/>
      <c r="F188" s="1671" t="str">
        <f t="shared" si="13"/>
        <v>310.41</v>
      </c>
      <c r="G188" s="1672">
        <f t="shared" si="10"/>
        <v>434.57</v>
      </c>
      <c r="H188" s="1670"/>
      <c r="I188" s="1670"/>
      <c r="J188" s="1708">
        <v>184</v>
      </c>
      <c r="K188" s="1693">
        <v>359.68</v>
      </c>
      <c r="L188" s="1693">
        <v>366.38</v>
      </c>
      <c r="M188" s="1693">
        <v>373.08</v>
      </c>
      <c r="N188" s="1693">
        <v>379.77</v>
      </c>
      <c r="O188" s="1693">
        <v>386.47</v>
      </c>
      <c r="P188" s="1694">
        <v>393.17</v>
      </c>
      <c r="Q188" s="1694">
        <v>399.87</v>
      </c>
      <c r="R188" s="1694">
        <v>406.56</v>
      </c>
      <c r="S188" s="1695">
        <v>413.26</v>
      </c>
      <c r="T188" s="1696">
        <v>419.96</v>
      </c>
      <c r="U188" s="1696">
        <v>426.66</v>
      </c>
      <c r="V188" s="1695">
        <v>433.36</v>
      </c>
      <c r="W188" s="1695">
        <v>440.05</v>
      </c>
      <c r="X188" s="1695">
        <v>446.75</v>
      </c>
      <c r="Y188" s="1697">
        <v>453.45</v>
      </c>
      <c r="Z188" s="1698">
        <v>460.15</v>
      </c>
      <c r="AA188" s="1699">
        <v>466.84</v>
      </c>
      <c r="AB188" s="1699">
        <v>473.54</v>
      </c>
      <c r="AC188" s="1699">
        <v>480.24</v>
      </c>
      <c r="AD188" s="1699">
        <v>486.94</v>
      </c>
      <c r="AE188" s="1699">
        <v>493.63</v>
      </c>
      <c r="AF188" s="1683">
        <v>407.2</v>
      </c>
      <c r="AG188" s="1683">
        <v>413.9</v>
      </c>
      <c r="AH188" s="1683">
        <v>420.6</v>
      </c>
      <c r="AI188" s="1683">
        <v>427.29</v>
      </c>
      <c r="AJ188" s="1701">
        <v>433.99</v>
      </c>
      <c r="AK188" s="1701">
        <v>440.69</v>
      </c>
      <c r="AL188" s="1701">
        <v>447.39</v>
      </c>
      <c r="AM188" s="1701">
        <v>454.09</v>
      </c>
      <c r="AN188" s="1701">
        <v>460.78</v>
      </c>
      <c r="AO188" s="1702">
        <v>467.48</v>
      </c>
      <c r="AP188" s="1700">
        <v>474.18</v>
      </c>
      <c r="AQ188" s="1700">
        <v>480.88</v>
      </c>
      <c r="AR188" s="1700">
        <v>487.57</v>
      </c>
      <c r="AS188" s="1700">
        <v>494.27</v>
      </c>
      <c r="AT188" s="1683">
        <v>500.97</v>
      </c>
      <c r="AU188" s="1700">
        <v>507.67</v>
      </c>
      <c r="AV188" s="1700">
        <v>514.36</v>
      </c>
      <c r="AW188" s="1683">
        <v>521.05999999999995</v>
      </c>
      <c r="AX188" s="1683">
        <v>527.76</v>
      </c>
      <c r="AY188" s="1683">
        <v>534.46</v>
      </c>
      <c r="AZ188" s="1683">
        <v>541.15</v>
      </c>
      <c r="BA188" s="1683">
        <v>547.85</v>
      </c>
      <c r="BB188" s="1700">
        <v>554.54999999999995</v>
      </c>
      <c r="BC188" s="1683">
        <v>561.25</v>
      </c>
      <c r="BD188" s="1683">
        <v>567.94000000000005</v>
      </c>
      <c r="BE188" s="1683">
        <v>574.64</v>
      </c>
      <c r="BF188" s="1683">
        <v>581.34</v>
      </c>
      <c r="BG188" s="1683">
        <v>588.04</v>
      </c>
      <c r="BH188" s="1683">
        <v>594.73</v>
      </c>
      <c r="BI188" s="1683">
        <v>601.42999999999995</v>
      </c>
      <c r="BJ188" s="1683">
        <v>608.13</v>
      </c>
      <c r="BK188" s="1683">
        <v>614.83000000000004</v>
      </c>
      <c r="BL188" s="1683">
        <v>621.53</v>
      </c>
      <c r="BM188" s="1683">
        <v>628.22</v>
      </c>
      <c r="BN188" s="1683"/>
      <c r="BO188" s="1703">
        <v>184</v>
      </c>
      <c r="BP188" s="1693">
        <v>215.84</v>
      </c>
      <c r="BQ188" s="1693">
        <v>220.56</v>
      </c>
      <c r="BR188" s="1693">
        <v>225.29</v>
      </c>
      <c r="BS188" s="1693">
        <v>230.02</v>
      </c>
      <c r="BT188" s="1693">
        <v>234.75</v>
      </c>
      <c r="BU188" s="1694">
        <v>239.48</v>
      </c>
      <c r="BV188" s="1694">
        <v>244.21</v>
      </c>
      <c r="BW188" s="1694">
        <v>248.94</v>
      </c>
      <c r="BX188" s="1695">
        <v>253.67</v>
      </c>
      <c r="BY188" s="1696">
        <v>258.39999999999998</v>
      </c>
      <c r="BZ188" s="1696">
        <v>263.12</v>
      </c>
      <c r="CA188" s="1695">
        <v>267.85000000000002</v>
      </c>
      <c r="CB188" s="1695">
        <v>272.58</v>
      </c>
      <c r="CC188" s="1704">
        <v>277.31</v>
      </c>
      <c r="CD188" s="1697">
        <v>282.04000000000002</v>
      </c>
      <c r="CE188" s="1698">
        <v>286.77</v>
      </c>
      <c r="CF188" s="1699">
        <v>291.5</v>
      </c>
      <c r="CG188" s="1699">
        <v>296.23</v>
      </c>
      <c r="CH188" s="1699">
        <v>300.95</v>
      </c>
      <c r="CI188" s="1699">
        <v>305.68</v>
      </c>
      <c r="CJ188" s="1699">
        <v>310.41000000000003</v>
      </c>
      <c r="CK188" s="1700">
        <v>268.45999999999998</v>
      </c>
      <c r="CL188" s="1700">
        <v>273.19</v>
      </c>
      <c r="CM188" s="1700">
        <v>277.92</v>
      </c>
      <c r="CN188" s="1700">
        <v>282.64999999999998</v>
      </c>
      <c r="CO188" s="1705">
        <v>287.38</v>
      </c>
      <c r="CP188" s="1706">
        <v>292.11</v>
      </c>
      <c r="CQ188" s="1701">
        <v>296.83999999999997</v>
      </c>
      <c r="CR188" s="1701">
        <v>301.57</v>
      </c>
      <c r="CS188" s="1707">
        <v>306.29000000000002</v>
      </c>
      <c r="CT188" s="1700">
        <v>311.02</v>
      </c>
      <c r="CU188" s="1700">
        <v>315.75</v>
      </c>
      <c r="CV188" s="1700">
        <v>320.48</v>
      </c>
      <c r="CW188" s="1700">
        <v>325.20999999999998</v>
      </c>
      <c r="CX188" s="1700">
        <v>329.94</v>
      </c>
      <c r="CY188" s="1700">
        <v>334.67</v>
      </c>
      <c r="CZ188" s="1700">
        <v>339.4</v>
      </c>
      <c r="DA188" s="1700">
        <v>344.13</v>
      </c>
      <c r="DB188" s="1700">
        <v>348.85</v>
      </c>
      <c r="DC188" s="1700">
        <v>353.58</v>
      </c>
      <c r="DD188" s="1700">
        <v>358.31</v>
      </c>
      <c r="DE188" s="1700">
        <v>363.04</v>
      </c>
      <c r="DF188" s="1700">
        <v>367.77</v>
      </c>
      <c r="DG188" s="1700">
        <v>372.5</v>
      </c>
      <c r="DH188" s="1700">
        <v>377.23</v>
      </c>
      <c r="DI188" s="1700">
        <v>381.96</v>
      </c>
      <c r="DJ188" s="1700">
        <v>386.68</v>
      </c>
      <c r="DK188" s="1700">
        <v>391.41</v>
      </c>
      <c r="DL188" s="1700">
        <v>396.14</v>
      </c>
      <c r="DM188" s="1700">
        <v>400.87</v>
      </c>
      <c r="DN188" s="1700">
        <v>405.6</v>
      </c>
      <c r="DO188" s="1700">
        <v>410.33</v>
      </c>
      <c r="DP188" s="1700">
        <v>415.06</v>
      </c>
      <c r="DQ188" s="1700">
        <v>419.79</v>
      </c>
      <c r="DR188" s="1700">
        <v>424.51</v>
      </c>
      <c r="DS188" s="1700"/>
      <c r="DT188" s="1700"/>
      <c r="DU188" s="1700"/>
      <c r="DV188" s="1700"/>
      <c r="DW188" s="1700"/>
      <c r="DX188" s="1700"/>
    </row>
    <row r="189" spans="1:128">
      <c r="A189" s="1622"/>
      <c r="B189" s="1691">
        <f t="shared" si="14"/>
        <v>185</v>
      </c>
      <c r="C189" s="1668" t="str">
        <f t="shared" si="11"/>
        <v>496.43</v>
      </c>
      <c r="D189" s="1672">
        <f t="shared" si="12"/>
        <v>695</v>
      </c>
      <c r="E189" s="1670"/>
      <c r="F189" s="1671" t="str">
        <f t="shared" si="13"/>
        <v>312.13</v>
      </c>
      <c r="G189" s="1672">
        <f t="shared" si="10"/>
        <v>436.98</v>
      </c>
      <c r="H189" s="1670"/>
      <c r="I189" s="1670"/>
      <c r="J189" s="1708">
        <v>185</v>
      </c>
      <c r="K189" s="1693">
        <v>361.75</v>
      </c>
      <c r="L189" s="1693">
        <v>368.49</v>
      </c>
      <c r="M189" s="1693">
        <v>375.22</v>
      </c>
      <c r="N189" s="1693">
        <v>381.95</v>
      </c>
      <c r="O189" s="1693">
        <v>388.69</v>
      </c>
      <c r="P189" s="1694">
        <v>395.42</v>
      </c>
      <c r="Q189" s="1694">
        <v>402.16</v>
      </c>
      <c r="R189" s="1694">
        <v>408.89</v>
      </c>
      <c r="S189" s="1695">
        <v>415.62</v>
      </c>
      <c r="T189" s="1696">
        <v>422.36</v>
      </c>
      <c r="U189" s="1696">
        <v>429.09</v>
      </c>
      <c r="V189" s="1695">
        <v>435.83</v>
      </c>
      <c r="W189" s="1695">
        <v>442.56</v>
      </c>
      <c r="X189" s="1695">
        <v>449.29</v>
      </c>
      <c r="Y189" s="1697">
        <v>456.03</v>
      </c>
      <c r="Z189" s="1698">
        <v>462.76</v>
      </c>
      <c r="AA189" s="1699">
        <v>469.5</v>
      </c>
      <c r="AB189" s="1699">
        <v>476.23</v>
      </c>
      <c r="AC189" s="1699">
        <v>482.96</v>
      </c>
      <c r="AD189" s="1699">
        <v>489.7</v>
      </c>
      <c r="AE189" s="1699">
        <v>496.43</v>
      </c>
      <c r="AF189" s="1700">
        <v>409.48</v>
      </c>
      <c r="AG189" s="1700">
        <v>416.22</v>
      </c>
      <c r="AH189" s="1700">
        <v>422.95</v>
      </c>
      <c r="AI189" s="1700">
        <v>429.69</v>
      </c>
      <c r="AJ189" s="1701">
        <v>436.42</v>
      </c>
      <c r="AK189" s="1701">
        <v>443.15</v>
      </c>
      <c r="AL189" s="1701">
        <v>449.89</v>
      </c>
      <c r="AM189" s="1701">
        <v>456.62</v>
      </c>
      <c r="AN189" s="1701">
        <v>463.36</v>
      </c>
      <c r="AO189" s="1702">
        <v>470.09</v>
      </c>
      <c r="AP189" s="1700">
        <v>476.82</v>
      </c>
      <c r="AQ189" s="1700">
        <v>483.56</v>
      </c>
      <c r="AR189" s="1683">
        <v>490.29</v>
      </c>
      <c r="AS189" s="1700">
        <v>497.03</v>
      </c>
      <c r="AT189" s="1700">
        <v>503.76</v>
      </c>
      <c r="AU189" s="1700">
        <v>510.49</v>
      </c>
      <c r="AV189" s="1683">
        <v>517.23</v>
      </c>
      <c r="AW189" s="1700">
        <v>523.96</v>
      </c>
      <c r="AX189" s="1700">
        <v>530.70000000000005</v>
      </c>
      <c r="AY189" s="1700">
        <v>537.42999999999995</v>
      </c>
      <c r="AZ189" s="1700">
        <v>544.16</v>
      </c>
      <c r="BA189" s="1700">
        <v>550.9</v>
      </c>
      <c r="BB189" s="1700">
        <v>557.63</v>
      </c>
      <c r="BC189" s="1700">
        <v>564.37</v>
      </c>
      <c r="BD189" s="1700">
        <v>571.1</v>
      </c>
      <c r="BE189" s="1700">
        <v>577.83000000000004</v>
      </c>
      <c r="BF189" s="1700">
        <v>584.57000000000005</v>
      </c>
      <c r="BG189" s="1700">
        <v>591.29999999999995</v>
      </c>
      <c r="BH189" s="1700">
        <v>598.04</v>
      </c>
      <c r="BI189" s="1700">
        <v>604.77</v>
      </c>
      <c r="BJ189" s="1700">
        <v>611.5</v>
      </c>
      <c r="BK189" s="1700">
        <v>618.24</v>
      </c>
      <c r="BL189" s="1700">
        <v>624.97</v>
      </c>
      <c r="BM189" s="1700">
        <v>631.71</v>
      </c>
      <c r="BN189" s="1700"/>
      <c r="BO189" s="1703">
        <v>185</v>
      </c>
      <c r="BP189" s="1693">
        <v>217.04</v>
      </c>
      <c r="BQ189" s="1693">
        <v>221.8</v>
      </c>
      <c r="BR189" s="1693">
        <v>226.55</v>
      </c>
      <c r="BS189" s="1693">
        <v>231.31</v>
      </c>
      <c r="BT189" s="1693">
        <v>236.03</v>
      </c>
      <c r="BU189" s="1694">
        <v>240.81</v>
      </c>
      <c r="BV189" s="1694">
        <v>245.57</v>
      </c>
      <c r="BW189" s="1694">
        <v>250.32</v>
      </c>
      <c r="BX189" s="1695">
        <v>255.08</v>
      </c>
      <c r="BY189" s="1696">
        <v>259.83</v>
      </c>
      <c r="BZ189" s="1696">
        <v>264.58999999999997</v>
      </c>
      <c r="CA189" s="1695">
        <v>269.33999999999997</v>
      </c>
      <c r="CB189" s="1695">
        <v>274.10000000000002</v>
      </c>
      <c r="CC189" s="1704">
        <v>278.85000000000002</v>
      </c>
      <c r="CD189" s="1697">
        <v>283.60000000000002</v>
      </c>
      <c r="CE189" s="1698">
        <v>288.36</v>
      </c>
      <c r="CF189" s="1699">
        <v>293.11</v>
      </c>
      <c r="CG189" s="1699">
        <v>297.87</v>
      </c>
      <c r="CH189" s="1699">
        <v>302.62</v>
      </c>
      <c r="CI189" s="1699">
        <v>307.38</v>
      </c>
      <c r="CJ189" s="1699">
        <v>312.13</v>
      </c>
      <c r="CK189" s="1700">
        <v>269.94</v>
      </c>
      <c r="CL189" s="1700">
        <v>274.7</v>
      </c>
      <c r="CM189" s="1700">
        <v>279.45</v>
      </c>
      <c r="CN189" s="1700">
        <v>284.20999999999998</v>
      </c>
      <c r="CO189" s="1705">
        <v>288.95999999999998</v>
      </c>
      <c r="CP189" s="1706">
        <v>293.72000000000003</v>
      </c>
      <c r="CQ189" s="1701">
        <v>298.47000000000003</v>
      </c>
      <c r="CR189" s="1701">
        <v>303.23</v>
      </c>
      <c r="CS189" s="1707">
        <v>307.98</v>
      </c>
      <c r="CT189" s="1700">
        <v>312.73</v>
      </c>
      <c r="CU189" s="1700">
        <v>317.49</v>
      </c>
      <c r="CV189" s="1700">
        <v>322.24</v>
      </c>
      <c r="CW189" s="1700">
        <v>327</v>
      </c>
      <c r="CX189" s="1700">
        <v>331.75</v>
      </c>
      <c r="CY189" s="1700">
        <v>336.51</v>
      </c>
      <c r="CZ189" s="1700">
        <v>341.26</v>
      </c>
      <c r="DA189" s="1700">
        <v>346.02</v>
      </c>
      <c r="DB189" s="1700">
        <v>350.77</v>
      </c>
      <c r="DC189" s="1700">
        <v>355.52</v>
      </c>
      <c r="DD189" s="1700">
        <v>360.28</v>
      </c>
      <c r="DE189" s="1700">
        <v>365.03</v>
      </c>
      <c r="DF189" s="1700">
        <v>369.79</v>
      </c>
      <c r="DG189" s="1700">
        <v>374.54</v>
      </c>
      <c r="DH189" s="1700">
        <v>379.3</v>
      </c>
      <c r="DI189" s="1700">
        <v>384.05</v>
      </c>
      <c r="DJ189" s="1700">
        <v>388.81</v>
      </c>
      <c r="DK189" s="1700">
        <v>393.56</v>
      </c>
      <c r="DL189" s="1700">
        <v>398.32</v>
      </c>
      <c r="DM189" s="1700">
        <v>403.07</v>
      </c>
      <c r="DN189" s="1700">
        <v>407.82</v>
      </c>
      <c r="DO189" s="1700">
        <v>412.58</v>
      </c>
      <c r="DP189" s="1700">
        <v>417.33</v>
      </c>
      <c r="DQ189" s="1700">
        <v>422.09</v>
      </c>
      <c r="DR189" s="1700">
        <v>426.84</v>
      </c>
      <c r="DS189" s="1700"/>
      <c r="DT189" s="1700"/>
      <c r="DU189" s="1700"/>
      <c r="DV189" s="1700"/>
      <c r="DW189" s="1700"/>
      <c r="DX189" s="1700"/>
    </row>
    <row r="190" spans="1:128">
      <c r="A190" s="1622"/>
      <c r="B190" s="1691">
        <f t="shared" si="14"/>
        <v>186</v>
      </c>
      <c r="C190" s="1668" t="str">
        <f t="shared" si="11"/>
        <v>499.24</v>
      </c>
      <c r="D190" s="1672">
        <f t="shared" si="12"/>
        <v>698.94</v>
      </c>
      <c r="E190" s="1670"/>
      <c r="F190" s="1671" t="str">
        <f t="shared" si="13"/>
        <v>313.85</v>
      </c>
      <c r="G190" s="1672">
        <f t="shared" si="10"/>
        <v>439.39</v>
      </c>
      <c r="H190" s="1670"/>
      <c r="I190" s="1670"/>
      <c r="J190" s="1708">
        <v>186</v>
      </c>
      <c r="K190" s="1693">
        <v>363.83</v>
      </c>
      <c r="L190" s="1693">
        <v>370.6</v>
      </c>
      <c r="M190" s="1693">
        <v>377.37</v>
      </c>
      <c r="N190" s="1693">
        <v>384.14</v>
      </c>
      <c r="O190" s="1693">
        <v>390.91</v>
      </c>
      <c r="P190" s="1694">
        <v>397.68</v>
      </c>
      <c r="Q190" s="1694">
        <v>404.45</v>
      </c>
      <c r="R190" s="1694">
        <v>411.22</v>
      </c>
      <c r="S190" s="1695">
        <v>418</v>
      </c>
      <c r="T190" s="1696">
        <v>424.77</v>
      </c>
      <c r="U190" s="1696">
        <v>431.54</v>
      </c>
      <c r="V190" s="1695">
        <v>438.31</v>
      </c>
      <c r="W190" s="1695">
        <v>445.08</v>
      </c>
      <c r="X190" s="1695">
        <v>451.85</v>
      </c>
      <c r="Y190" s="1697">
        <v>458.62</v>
      </c>
      <c r="Z190" s="1698">
        <v>465.39</v>
      </c>
      <c r="AA190" s="1699">
        <v>472.16</v>
      </c>
      <c r="AB190" s="1699">
        <v>478.93</v>
      </c>
      <c r="AC190" s="1699">
        <v>485.7</v>
      </c>
      <c r="AD190" s="1699">
        <v>492.47</v>
      </c>
      <c r="AE190" s="1699">
        <v>499.24</v>
      </c>
      <c r="AF190" s="1700">
        <v>411.77</v>
      </c>
      <c r="AG190" s="1700">
        <v>418.54</v>
      </c>
      <c r="AH190" s="1700">
        <v>425.31</v>
      </c>
      <c r="AI190" s="1700">
        <v>432.08</v>
      </c>
      <c r="AJ190" s="1701">
        <v>438.85</v>
      </c>
      <c r="AK190" s="1701">
        <v>445.62</v>
      </c>
      <c r="AL190" s="1701">
        <v>452.39</v>
      </c>
      <c r="AM190" s="1701">
        <v>459.16</v>
      </c>
      <c r="AN190" s="1701">
        <v>465.93</v>
      </c>
      <c r="AO190" s="1702">
        <v>472.7</v>
      </c>
      <c r="AP190" s="1700">
        <v>479.47</v>
      </c>
      <c r="AQ190" s="1700">
        <v>486.24</v>
      </c>
      <c r="AR190" s="1700">
        <v>493.01</v>
      </c>
      <c r="AS190" s="1700">
        <v>499.78</v>
      </c>
      <c r="AT190" s="1700">
        <v>506.55</v>
      </c>
      <c r="AU190" s="1700">
        <v>513.32000000000005</v>
      </c>
      <c r="AV190" s="1700">
        <v>520.09</v>
      </c>
      <c r="AW190" s="1700">
        <v>526.87</v>
      </c>
      <c r="AX190" s="1700">
        <v>533.64</v>
      </c>
      <c r="AY190" s="1700">
        <v>540.41</v>
      </c>
      <c r="AZ190" s="1700">
        <v>547.17999999999995</v>
      </c>
      <c r="BA190" s="1700">
        <v>553.95000000000005</v>
      </c>
      <c r="BB190" s="1683">
        <v>560.72</v>
      </c>
      <c r="BC190" s="1700">
        <v>567.49</v>
      </c>
      <c r="BD190" s="1700">
        <v>574.26</v>
      </c>
      <c r="BE190" s="1700">
        <v>581.03</v>
      </c>
      <c r="BF190" s="1700">
        <v>587.79999999999995</v>
      </c>
      <c r="BG190" s="1700">
        <v>594.57000000000005</v>
      </c>
      <c r="BH190" s="1700">
        <v>601.34</v>
      </c>
      <c r="BI190" s="1700">
        <v>608.11</v>
      </c>
      <c r="BJ190" s="1700">
        <v>614.88</v>
      </c>
      <c r="BK190" s="1700">
        <v>621.65</v>
      </c>
      <c r="BL190" s="1700">
        <v>628.41999999999996</v>
      </c>
      <c r="BM190" s="1700">
        <v>635.19000000000005</v>
      </c>
      <c r="BN190" s="1700"/>
      <c r="BO190" s="1703">
        <v>186</v>
      </c>
      <c r="BP190" s="1693">
        <v>218.25</v>
      </c>
      <c r="BQ190" s="1693">
        <v>223.03</v>
      </c>
      <c r="BR190" s="1693">
        <v>227.81</v>
      </c>
      <c r="BS190" s="1693">
        <v>232.59</v>
      </c>
      <c r="BT190" s="1693">
        <v>237.37</v>
      </c>
      <c r="BU190" s="1694">
        <v>242.15</v>
      </c>
      <c r="BV190" s="1694">
        <v>246.93</v>
      </c>
      <c r="BW190" s="1694">
        <v>251.71</v>
      </c>
      <c r="BX190" s="1695">
        <v>256.49</v>
      </c>
      <c r="BY190" s="1696">
        <v>261.27</v>
      </c>
      <c r="BZ190" s="1696">
        <v>266.05</v>
      </c>
      <c r="CA190" s="1695">
        <v>270.83</v>
      </c>
      <c r="CB190" s="1695">
        <v>275.61</v>
      </c>
      <c r="CC190" s="1704">
        <v>280.39</v>
      </c>
      <c r="CD190" s="1697">
        <v>285.17</v>
      </c>
      <c r="CE190" s="1698">
        <v>289.95</v>
      </c>
      <c r="CF190" s="1699">
        <v>294.73</v>
      </c>
      <c r="CG190" s="1699">
        <v>299.51</v>
      </c>
      <c r="CH190" s="1699">
        <v>304.29000000000002</v>
      </c>
      <c r="CI190" s="1699">
        <v>309.07</v>
      </c>
      <c r="CJ190" s="1699">
        <v>313.85000000000002</v>
      </c>
      <c r="CK190" s="1700">
        <v>271.42</v>
      </c>
      <c r="CL190" s="1700">
        <v>276.2</v>
      </c>
      <c r="CM190" s="1700">
        <v>280.98</v>
      </c>
      <c r="CN190" s="1700">
        <v>285.76</v>
      </c>
      <c r="CO190" s="1705">
        <v>290.55</v>
      </c>
      <c r="CP190" s="1706">
        <v>295.33</v>
      </c>
      <c r="CQ190" s="1701">
        <v>300.11</v>
      </c>
      <c r="CR190" s="1701">
        <v>304.89</v>
      </c>
      <c r="CS190" s="1707">
        <v>309.67</v>
      </c>
      <c r="CT190" s="1700">
        <v>314.45</v>
      </c>
      <c r="CU190" s="1700">
        <v>319.23</v>
      </c>
      <c r="CV190" s="1700">
        <v>324.01</v>
      </c>
      <c r="CW190" s="1700">
        <v>328.79</v>
      </c>
      <c r="CX190" s="1700">
        <v>333.57</v>
      </c>
      <c r="CY190" s="1700">
        <v>338.35</v>
      </c>
      <c r="CZ190" s="1700">
        <v>343.13</v>
      </c>
      <c r="DA190" s="1700">
        <v>347.91</v>
      </c>
      <c r="DB190" s="1700">
        <v>352.69</v>
      </c>
      <c r="DC190" s="1700">
        <v>357.47</v>
      </c>
      <c r="DD190" s="1700">
        <v>362.25</v>
      </c>
      <c r="DE190" s="1700">
        <v>367.03</v>
      </c>
      <c r="DF190" s="1700">
        <v>371.81</v>
      </c>
      <c r="DG190" s="1700">
        <v>376.59</v>
      </c>
      <c r="DH190" s="1700">
        <v>381.37</v>
      </c>
      <c r="DI190" s="1700">
        <v>386.15</v>
      </c>
      <c r="DJ190" s="1700">
        <v>390.93</v>
      </c>
      <c r="DK190" s="1700">
        <v>395.71</v>
      </c>
      <c r="DL190" s="1700">
        <v>400.49</v>
      </c>
      <c r="DM190" s="1700">
        <v>405.27</v>
      </c>
      <c r="DN190" s="1700">
        <v>410.05</v>
      </c>
      <c r="DO190" s="1700">
        <v>414.83</v>
      </c>
      <c r="DP190" s="1700">
        <v>419.61</v>
      </c>
      <c r="DQ190" s="1700">
        <v>424.39</v>
      </c>
      <c r="DR190" s="1700">
        <v>429.17</v>
      </c>
      <c r="DS190" s="1700"/>
      <c r="DT190" s="1700"/>
      <c r="DU190" s="1700"/>
      <c r="DV190" s="1700"/>
      <c r="DW190" s="1700"/>
      <c r="DX190" s="1700"/>
    </row>
    <row r="191" spans="1:128">
      <c r="A191" s="1622"/>
      <c r="B191" s="1691">
        <f t="shared" si="14"/>
        <v>187</v>
      </c>
      <c r="C191" s="1668" t="str">
        <f t="shared" si="11"/>
        <v>502.05</v>
      </c>
      <c r="D191" s="1672">
        <f t="shared" si="12"/>
        <v>702.87</v>
      </c>
      <c r="E191" s="1670"/>
      <c r="F191" s="1671" t="str">
        <f t="shared" si="13"/>
        <v>315.58</v>
      </c>
      <c r="G191" s="1672">
        <f t="shared" si="10"/>
        <v>441.81</v>
      </c>
      <c r="H191" s="1670"/>
      <c r="I191" s="1670"/>
      <c r="J191" s="1708">
        <v>187</v>
      </c>
      <c r="K191" s="1693">
        <v>365.92</v>
      </c>
      <c r="L191" s="1693">
        <v>372.73</v>
      </c>
      <c r="M191" s="1693">
        <v>379.53</v>
      </c>
      <c r="N191" s="1693">
        <v>386.34</v>
      </c>
      <c r="O191" s="1693">
        <v>393.15</v>
      </c>
      <c r="P191" s="1694">
        <v>399.95</v>
      </c>
      <c r="Q191" s="1694">
        <v>406.76</v>
      </c>
      <c r="R191" s="1694">
        <v>413.57</v>
      </c>
      <c r="S191" s="1695">
        <v>420.37</v>
      </c>
      <c r="T191" s="1696">
        <v>427.18</v>
      </c>
      <c r="U191" s="1696">
        <v>433.99</v>
      </c>
      <c r="V191" s="1695">
        <v>440.79</v>
      </c>
      <c r="W191" s="1695">
        <v>447.6</v>
      </c>
      <c r="X191" s="1695">
        <v>454.41</v>
      </c>
      <c r="Y191" s="1697">
        <v>461.21</v>
      </c>
      <c r="Z191" s="1698">
        <v>468.02</v>
      </c>
      <c r="AA191" s="1699">
        <v>474.83</v>
      </c>
      <c r="AB191" s="1699">
        <v>481.63</v>
      </c>
      <c r="AC191" s="1699">
        <v>488.44</v>
      </c>
      <c r="AD191" s="1699">
        <v>495.25</v>
      </c>
      <c r="AE191" s="1699">
        <v>502.05</v>
      </c>
      <c r="AF191" s="1683">
        <v>414.06</v>
      </c>
      <c r="AG191" s="1683">
        <v>420.87</v>
      </c>
      <c r="AH191" s="1683">
        <v>427.67</v>
      </c>
      <c r="AI191" s="1683">
        <v>434.48</v>
      </c>
      <c r="AJ191" s="1701">
        <v>441.29</v>
      </c>
      <c r="AK191" s="1701">
        <v>448.09</v>
      </c>
      <c r="AL191" s="1701">
        <v>454.9</v>
      </c>
      <c r="AM191" s="1701">
        <v>461.71</v>
      </c>
      <c r="AN191" s="1701">
        <v>468.51</v>
      </c>
      <c r="AO191" s="1702">
        <v>475.32</v>
      </c>
      <c r="AP191" s="1700">
        <v>482.13</v>
      </c>
      <c r="AQ191" s="1700">
        <v>488.93</v>
      </c>
      <c r="AR191" s="1683">
        <v>495.74</v>
      </c>
      <c r="AS191" s="1700">
        <v>502.55</v>
      </c>
      <c r="AT191" s="1683">
        <v>509.35</v>
      </c>
      <c r="AU191" s="1700">
        <v>516.16</v>
      </c>
      <c r="AV191" s="1700">
        <v>522.97</v>
      </c>
      <c r="AW191" s="1683">
        <v>529.77</v>
      </c>
      <c r="AX191" s="1683">
        <v>536.58000000000004</v>
      </c>
      <c r="AY191" s="1683">
        <v>543.39</v>
      </c>
      <c r="AZ191" s="1683">
        <v>550.19000000000005</v>
      </c>
      <c r="BA191" s="1683">
        <v>557</v>
      </c>
      <c r="BB191" s="1700">
        <v>563.80999999999995</v>
      </c>
      <c r="BC191" s="1683">
        <v>570.62</v>
      </c>
      <c r="BD191" s="1683">
        <v>577.41999999999996</v>
      </c>
      <c r="BE191" s="1683">
        <v>584.23</v>
      </c>
      <c r="BF191" s="1683">
        <v>591.04</v>
      </c>
      <c r="BG191" s="1683">
        <v>597.84</v>
      </c>
      <c r="BH191" s="1683">
        <v>604.65</v>
      </c>
      <c r="BI191" s="1683">
        <v>611.46</v>
      </c>
      <c r="BJ191" s="1683">
        <v>618.26</v>
      </c>
      <c r="BK191" s="1683">
        <v>625.07000000000005</v>
      </c>
      <c r="BL191" s="1683">
        <v>631.88</v>
      </c>
      <c r="BM191" s="1683">
        <v>638.67999999999995</v>
      </c>
      <c r="BN191" s="1683"/>
      <c r="BO191" s="1703">
        <v>187</v>
      </c>
      <c r="BP191" s="1693">
        <v>219.46</v>
      </c>
      <c r="BQ191" s="1693">
        <v>224.26</v>
      </c>
      <c r="BR191" s="1693">
        <v>229.07</v>
      </c>
      <c r="BS191" s="1693">
        <v>233.88</v>
      </c>
      <c r="BT191" s="1693">
        <v>238.68</v>
      </c>
      <c r="BU191" s="1694">
        <v>243.49</v>
      </c>
      <c r="BV191" s="1694">
        <v>248.29</v>
      </c>
      <c r="BW191" s="1694">
        <v>253.1</v>
      </c>
      <c r="BX191" s="1695">
        <v>257.91000000000003</v>
      </c>
      <c r="BY191" s="1696">
        <v>262.70999999999998</v>
      </c>
      <c r="BZ191" s="1696">
        <v>267.52</v>
      </c>
      <c r="CA191" s="1695">
        <v>272.32</v>
      </c>
      <c r="CB191" s="1695">
        <v>277.13</v>
      </c>
      <c r="CC191" s="1704">
        <v>281.94</v>
      </c>
      <c r="CD191" s="1697">
        <v>286.74</v>
      </c>
      <c r="CE191" s="1698">
        <v>291.55</v>
      </c>
      <c r="CF191" s="1699">
        <v>296.35000000000002</v>
      </c>
      <c r="CG191" s="1699">
        <v>301.16000000000003</v>
      </c>
      <c r="CH191" s="1699">
        <v>305.95999999999998</v>
      </c>
      <c r="CI191" s="1699">
        <v>310.77</v>
      </c>
      <c r="CJ191" s="1699">
        <v>315.58</v>
      </c>
      <c r="CK191" s="1700">
        <v>272.91000000000003</v>
      </c>
      <c r="CL191" s="1700">
        <v>277.70999999999998</v>
      </c>
      <c r="CM191" s="1700">
        <v>282.52</v>
      </c>
      <c r="CN191" s="1700">
        <v>287.32</v>
      </c>
      <c r="CO191" s="1705">
        <v>292.13</v>
      </c>
      <c r="CP191" s="1706">
        <v>296.94</v>
      </c>
      <c r="CQ191" s="1701">
        <v>301.74</v>
      </c>
      <c r="CR191" s="1701">
        <v>306.55</v>
      </c>
      <c r="CS191" s="1707">
        <v>311.35000000000002</v>
      </c>
      <c r="CT191" s="1700">
        <v>316.16000000000003</v>
      </c>
      <c r="CU191" s="1700">
        <v>320.97000000000003</v>
      </c>
      <c r="CV191" s="1700">
        <v>325.77</v>
      </c>
      <c r="CW191" s="1700">
        <v>330.58</v>
      </c>
      <c r="CX191" s="1700">
        <v>335.38</v>
      </c>
      <c r="CY191" s="1700">
        <v>340.19</v>
      </c>
      <c r="CZ191" s="1700">
        <v>344.99</v>
      </c>
      <c r="DA191" s="1700">
        <v>349.8</v>
      </c>
      <c r="DB191" s="1700">
        <v>354.61</v>
      </c>
      <c r="DC191" s="1700">
        <v>359.41</v>
      </c>
      <c r="DD191" s="1700">
        <v>364.22</v>
      </c>
      <c r="DE191" s="1700">
        <v>369.02</v>
      </c>
      <c r="DF191" s="1700">
        <v>373.83</v>
      </c>
      <c r="DG191" s="1700">
        <v>378.64</v>
      </c>
      <c r="DH191" s="1700">
        <v>383.44</v>
      </c>
      <c r="DI191" s="1700">
        <v>388.25</v>
      </c>
      <c r="DJ191" s="1700">
        <v>393.05</v>
      </c>
      <c r="DK191" s="1700">
        <v>397.86</v>
      </c>
      <c r="DL191" s="1700">
        <v>402.67</v>
      </c>
      <c r="DM191" s="1700">
        <v>407.47</v>
      </c>
      <c r="DN191" s="1700">
        <v>412.28</v>
      </c>
      <c r="DO191" s="1700">
        <v>417.08</v>
      </c>
      <c r="DP191" s="1700">
        <v>421.89</v>
      </c>
      <c r="DQ191" s="1700">
        <v>426.7</v>
      </c>
      <c r="DR191" s="1700">
        <v>431.5</v>
      </c>
      <c r="DS191" s="1700"/>
      <c r="DT191" s="1700"/>
      <c r="DU191" s="1700"/>
      <c r="DV191" s="1700"/>
      <c r="DW191" s="1700"/>
      <c r="DX191" s="1700"/>
    </row>
    <row r="192" spans="1:128">
      <c r="A192" s="1622"/>
      <c r="B192" s="1691">
        <f t="shared" si="14"/>
        <v>188</v>
      </c>
      <c r="C192" s="1668" t="str">
        <f t="shared" si="11"/>
        <v>504.29</v>
      </c>
      <c r="D192" s="1672">
        <f t="shared" si="12"/>
        <v>706.01</v>
      </c>
      <c r="E192" s="1670"/>
      <c r="F192" s="1671" t="str">
        <f t="shared" si="13"/>
        <v>317.15</v>
      </c>
      <c r="G192" s="1672">
        <f t="shared" si="10"/>
        <v>444.01</v>
      </c>
      <c r="H192" s="1670"/>
      <c r="I192" s="1670"/>
      <c r="J192" s="1708">
        <v>188</v>
      </c>
      <c r="K192" s="1693">
        <v>367.43</v>
      </c>
      <c r="L192" s="1693">
        <v>374.27</v>
      </c>
      <c r="M192" s="1693">
        <v>381.11</v>
      </c>
      <c r="N192" s="1693">
        <v>387.96</v>
      </c>
      <c r="O192" s="1693">
        <v>394.8</v>
      </c>
      <c r="P192" s="1694">
        <v>401.64</v>
      </c>
      <c r="Q192" s="1694">
        <v>408.49</v>
      </c>
      <c r="R192" s="1694">
        <v>415.33</v>
      </c>
      <c r="S192" s="1695">
        <v>422.17</v>
      </c>
      <c r="T192" s="1696">
        <v>429.01</v>
      </c>
      <c r="U192" s="1696">
        <v>435.86</v>
      </c>
      <c r="V192" s="1695">
        <v>442.7</v>
      </c>
      <c r="W192" s="1695">
        <v>449.54</v>
      </c>
      <c r="X192" s="1695">
        <v>456.39</v>
      </c>
      <c r="Y192" s="1697">
        <v>463.23</v>
      </c>
      <c r="Z192" s="1698">
        <v>470.07</v>
      </c>
      <c r="AA192" s="1699">
        <v>476.92</v>
      </c>
      <c r="AB192" s="1699">
        <v>483.76</v>
      </c>
      <c r="AC192" s="1699">
        <v>490.6</v>
      </c>
      <c r="AD192" s="1699">
        <v>497.45</v>
      </c>
      <c r="AE192" s="1699">
        <v>504.29</v>
      </c>
      <c r="AF192" s="1700">
        <v>416.01</v>
      </c>
      <c r="AG192" s="1700">
        <v>422.85</v>
      </c>
      <c r="AH192" s="1700">
        <v>429.7</v>
      </c>
      <c r="AI192" s="1700">
        <v>436.54</v>
      </c>
      <c r="AJ192" s="1701">
        <v>443.38</v>
      </c>
      <c r="AK192" s="1701">
        <v>450.23</v>
      </c>
      <c r="AL192" s="1701">
        <v>457.07</v>
      </c>
      <c r="AM192" s="1701">
        <v>463.91</v>
      </c>
      <c r="AN192" s="1701">
        <v>470.76</v>
      </c>
      <c r="AO192" s="1702">
        <v>477.6</v>
      </c>
      <c r="AP192" s="1700">
        <v>484.44</v>
      </c>
      <c r="AQ192" s="1700">
        <v>491.29</v>
      </c>
      <c r="AR192" s="1700">
        <v>498.13</v>
      </c>
      <c r="AS192" s="1700">
        <v>504.97</v>
      </c>
      <c r="AT192" s="1700">
        <v>511.82</v>
      </c>
      <c r="AU192" s="1700">
        <v>518.66</v>
      </c>
      <c r="AV192" s="1683">
        <v>525.5</v>
      </c>
      <c r="AW192" s="1700">
        <v>532.35</v>
      </c>
      <c r="AX192" s="1700">
        <v>539.19000000000005</v>
      </c>
      <c r="AY192" s="1700">
        <v>546.03</v>
      </c>
      <c r="AZ192" s="1700">
        <v>552.87</v>
      </c>
      <c r="BA192" s="1700">
        <v>559.72</v>
      </c>
      <c r="BB192" s="1700">
        <v>566.55999999999995</v>
      </c>
      <c r="BC192" s="1700">
        <v>573.4</v>
      </c>
      <c r="BD192" s="1700">
        <v>580.25</v>
      </c>
      <c r="BE192" s="1700">
        <v>587.09</v>
      </c>
      <c r="BF192" s="1700">
        <v>593.92999999999995</v>
      </c>
      <c r="BG192" s="1700">
        <v>600.78</v>
      </c>
      <c r="BH192" s="1700">
        <v>607.62</v>
      </c>
      <c r="BI192" s="1700">
        <v>614.46</v>
      </c>
      <c r="BJ192" s="1700">
        <v>621.30999999999995</v>
      </c>
      <c r="BK192" s="1700">
        <v>628.15</v>
      </c>
      <c r="BL192" s="1700">
        <v>634.99</v>
      </c>
      <c r="BM192" s="1700">
        <v>641.84</v>
      </c>
      <c r="BN192" s="1700"/>
      <c r="BO192" s="1703">
        <v>188</v>
      </c>
      <c r="BP192" s="1693">
        <v>220.52</v>
      </c>
      <c r="BQ192" s="1693">
        <v>225.35</v>
      </c>
      <c r="BR192" s="1693">
        <v>230.18</v>
      </c>
      <c r="BS192" s="1693">
        <v>235.01</v>
      </c>
      <c r="BT192" s="1693">
        <v>239.84</v>
      </c>
      <c r="BU192" s="1694">
        <v>244.67</v>
      </c>
      <c r="BV192" s="1694">
        <v>249.5</v>
      </c>
      <c r="BW192" s="1694">
        <v>254.34</v>
      </c>
      <c r="BX192" s="1695">
        <v>259.17</v>
      </c>
      <c r="BY192" s="1696">
        <v>264</v>
      </c>
      <c r="BZ192" s="1696">
        <v>268.83</v>
      </c>
      <c r="CA192" s="1695">
        <v>273.66000000000003</v>
      </c>
      <c r="CB192" s="1695">
        <v>278.49</v>
      </c>
      <c r="CC192" s="1704">
        <v>283.33</v>
      </c>
      <c r="CD192" s="1697">
        <v>288.16000000000003</v>
      </c>
      <c r="CE192" s="1698">
        <v>292.99</v>
      </c>
      <c r="CF192" s="1699">
        <v>297.82</v>
      </c>
      <c r="CG192" s="1699">
        <v>302.64999999999998</v>
      </c>
      <c r="CH192" s="1699">
        <v>307.48</v>
      </c>
      <c r="CI192" s="1699">
        <v>312.32</v>
      </c>
      <c r="CJ192" s="1699">
        <v>317.14999999999998</v>
      </c>
      <c r="CK192" s="1700">
        <v>274.29000000000002</v>
      </c>
      <c r="CL192" s="1700">
        <v>279.12</v>
      </c>
      <c r="CM192" s="1700">
        <v>283.95999999999998</v>
      </c>
      <c r="CN192" s="1700">
        <v>288.79000000000002</v>
      </c>
      <c r="CO192" s="1705">
        <v>293.62</v>
      </c>
      <c r="CP192" s="1706">
        <v>298.45</v>
      </c>
      <c r="CQ192" s="1701">
        <v>303.27999999999997</v>
      </c>
      <c r="CR192" s="1701">
        <v>308.11</v>
      </c>
      <c r="CS192" s="1707">
        <v>312.95</v>
      </c>
      <c r="CT192" s="1700">
        <v>317.77999999999997</v>
      </c>
      <c r="CU192" s="1700">
        <v>322.61</v>
      </c>
      <c r="CV192" s="1700">
        <v>327.44</v>
      </c>
      <c r="CW192" s="1700">
        <v>332.27</v>
      </c>
      <c r="CX192" s="1700">
        <v>337.1</v>
      </c>
      <c r="CY192" s="1700">
        <v>341.93</v>
      </c>
      <c r="CZ192" s="1700">
        <v>346.77</v>
      </c>
      <c r="DA192" s="1700">
        <v>351.6</v>
      </c>
      <c r="DB192" s="1700">
        <v>356.43</v>
      </c>
      <c r="DC192" s="1700">
        <v>361.26</v>
      </c>
      <c r="DD192" s="1700">
        <v>366.09</v>
      </c>
      <c r="DE192" s="1700">
        <v>370.92</v>
      </c>
      <c r="DF192" s="1700">
        <v>375.76</v>
      </c>
      <c r="DG192" s="1700">
        <v>380.59</v>
      </c>
      <c r="DH192" s="1700">
        <v>385.42</v>
      </c>
      <c r="DI192" s="1700">
        <v>390.25</v>
      </c>
      <c r="DJ192" s="1700">
        <v>395.08</v>
      </c>
      <c r="DK192" s="1700">
        <v>399.91</v>
      </c>
      <c r="DL192" s="1700">
        <v>404.75</v>
      </c>
      <c r="DM192" s="1700">
        <v>409.58</v>
      </c>
      <c r="DN192" s="1700">
        <v>414.41</v>
      </c>
      <c r="DO192" s="1700">
        <v>419.24</v>
      </c>
      <c r="DP192" s="1700">
        <v>424.07</v>
      </c>
      <c r="DQ192" s="1700">
        <v>428.9</v>
      </c>
      <c r="DR192" s="1700">
        <v>433.74</v>
      </c>
      <c r="DS192" s="1700"/>
      <c r="DT192" s="1700"/>
      <c r="DU192" s="1700"/>
      <c r="DV192" s="1700"/>
      <c r="DW192" s="1700"/>
      <c r="DX192" s="1700"/>
    </row>
    <row r="193" spans="1:128">
      <c r="A193" s="1622"/>
      <c r="B193" s="1691">
        <f t="shared" si="14"/>
        <v>189</v>
      </c>
      <c r="C193" s="1668" t="str">
        <f t="shared" si="11"/>
        <v>507.11</v>
      </c>
      <c r="D193" s="1672">
        <f t="shared" si="12"/>
        <v>709.95</v>
      </c>
      <c r="E193" s="1670"/>
      <c r="F193" s="1671" t="str">
        <f t="shared" si="13"/>
        <v>318.87</v>
      </c>
      <c r="G193" s="1672">
        <f t="shared" si="10"/>
        <v>446.42</v>
      </c>
      <c r="H193" s="1670"/>
      <c r="I193" s="1670"/>
      <c r="J193" s="1708">
        <v>189</v>
      </c>
      <c r="K193" s="1693">
        <v>369.52</v>
      </c>
      <c r="L193" s="1693">
        <v>376.4</v>
      </c>
      <c r="M193" s="1693">
        <v>383.28</v>
      </c>
      <c r="N193" s="1693">
        <v>390.16</v>
      </c>
      <c r="O193" s="1693">
        <v>397.04</v>
      </c>
      <c r="P193" s="1694">
        <v>403.92</v>
      </c>
      <c r="Q193" s="1694">
        <v>410.8</v>
      </c>
      <c r="R193" s="1694">
        <v>417.68</v>
      </c>
      <c r="S193" s="1695">
        <v>424.56</v>
      </c>
      <c r="T193" s="1696">
        <v>431.44</v>
      </c>
      <c r="U193" s="1696">
        <v>438.32</v>
      </c>
      <c r="V193" s="1695">
        <v>445.2</v>
      </c>
      <c r="W193" s="1695">
        <v>452.08</v>
      </c>
      <c r="X193" s="1695">
        <v>458.96</v>
      </c>
      <c r="Y193" s="1697">
        <v>465.84</v>
      </c>
      <c r="Z193" s="1698">
        <v>472.72</v>
      </c>
      <c r="AA193" s="1699">
        <v>479.59</v>
      </c>
      <c r="AB193" s="1699">
        <v>486.47</v>
      </c>
      <c r="AC193" s="1699">
        <v>493.35</v>
      </c>
      <c r="AD193" s="1699">
        <v>500.23</v>
      </c>
      <c r="AE193" s="1699">
        <v>507.11</v>
      </c>
      <c r="AF193" s="1700">
        <v>418.31</v>
      </c>
      <c r="AG193" s="1700">
        <v>425.19</v>
      </c>
      <c r="AH193" s="1700">
        <v>432.06</v>
      </c>
      <c r="AI193" s="1700">
        <v>438.94</v>
      </c>
      <c r="AJ193" s="1701">
        <v>445.82</v>
      </c>
      <c r="AK193" s="1701">
        <v>452.7</v>
      </c>
      <c r="AL193" s="1701">
        <v>459.58</v>
      </c>
      <c r="AM193" s="1701">
        <v>466.46</v>
      </c>
      <c r="AN193" s="1701">
        <v>473.34</v>
      </c>
      <c r="AO193" s="1702">
        <v>480.22</v>
      </c>
      <c r="AP193" s="1700">
        <v>487.1</v>
      </c>
      <c r="AQ193" s="1700">
        <v>493.98</v>
      </c>
      <c r="AR193" s="1683">
        <v>500.86</v>
      </c>
      <c r="AS193" s="1700">
        <v>507.74</v>
      </c>
      <c r="AT193" s="1700">
        <v>514.62</v>
      </c>
      <c r="AU193" s="1700">
        <v>521.5</v>
      </c>
      <c r="AV193" s="1700">
        <v>528.38</v>
      </c>
      <c r="AW193" s="1700">
        <v>535.26</v>
      </c>
      <c r="AX193" s="1700">
        <v>542.14</v>
      </c>
      <c r="AY193" s="1700">
        <v>549.02</v>
      </c>
      <c r="AZ193" s="1700">
        <v>555.9</v>
      </c>
      <c r="BA193" s="1700">
        <v>562.78</v>
      </c>
      <c r="BB193" s="1683">
        <v>569.66</v>
      </c>
      <c r="BC193" s="1700">
        <v>576.54</v>
      </c>
      <c r="BD193" s="1700">
        <v>283.42</v>
      </c>
      <c r="BE193" s="1683">
        <v>590.29999999999995</v>
      </c>
      <c r="BF193" s="1700">
        <v>597.17999999999995</v>
      </c>
      <c r="BG193" s="1700">
        <v>604.04999999999995</v>
      </c>
      <c r="BH193" s="1700">
        <v>610.92999999999995</v>
      </c>
      <c r="BI193" s="1700">
        <v>617.80999999999995</v>
      </c>
      <c r="BJ193" s="1700">
        <v>624.69000000000005</v>
      </c>
      <c r="BK193" s="1700">
        <v>631.57000000000005</v>
      </c>
      <c r="BL193" s="1700">
        <v>638.45000000000005</v>
      </c>
      <c r="BM193" s="1700">
        <v>645.33000000000004</v>
      </c>
      <c r="BN193" s="1700"/>
      <c r="BO193" s="1703">
        <v>189</v>
      </c>
      <c r="BP193" s="1693">
        <v>221.73</v>
      </c>
      <c r="BQ193" s="1693">
        <v>226.58</v>
      </c>
      <c r="BR193" s="1693">
        <v>231.44</v>
      </c>
      <c r="BS193" s="1693">
        <v>236.3</v>
      </c>
      <c r="BT193" s="1693">
        <v>241.16</v>
      </c>
      <c r="BU193" s="1694">
        <v>246.01</v>
      </c>
      <c r="BV193" s="1694">
        <v>250.87</v>
      </c>
      <c r="BW193" s="1694">
        <v>255.73</v>
      </c>
      <c r="BX193" s="1695">
        <v>260.58999999999997</v>
      </c>
      <c r="BY193" s="1696">
        <v>265.44</v>
      </c>
      <c r="BZ193" s="1696">
        <v>270.3</v>
      </c>
      <c r="CA193" s="1695">
        <v>275.16000000000003</v>
      </c>
      <c r="CB193" s="1695">
        <v>280.01</v>
      </c>
      <c r="CC193" s="1704">
        <v>284.87</v>
      </c>
      <c r="CD193" s="1697">
        <v>289.73</v>
      </c>
      <c r="CE193" s="1698">
        <v>294.58999999999997</v>
      </c>
      <c r="CF193" s="1699">
        <v>299.44</v>
      </c>
      <c r="CG193" s="1699">
        <v>304.3</v>
      </c>
      <c r="CH193" s="1699">
        <v>309.16000000000003</v>
      </c>
      <c r="CI193" s="1699">
        <v>314.02</v>
      </c>
      <c r="CJ193" s="1699">
        <v>318.87</v>
      </c>
      <c r="CK193" s="1700">
        <v>275.77999999999997</v>
      </c>
      <c r="CL193" s="1700">
        <v>280.63</v>
      </c>
      <c r="CM193" s="1700">
        <v>285.49</v>
      </c>
      <c r="CN193" s="1700">
        <v>290.35000000000002</v>
      </c>
      <c r="CO193" s="1705">
        <v>295.2</v>
      </c>
      <c r="CP193" s="1706">
        <v>300.06</v>
      </c>
      <c r="CQ193" s="1701">
        <v>304.92</v>
      </c>
      <c r="CR193" s="1701">
        <v>309.77999999999997</v>
      </c>
      <c r="CS193" s="1707">
        <v>314.63</v>
      </c>
      <c r="CT193" s="1700">
        <v>319.49</v>
      </c>
      <c r="CU193" s="1700">
        <v>324.35000000000002</v>
      </c>
      <c r="CV193" s="1700">
        <v>329.21</v>
      </c>
      <c r="CW193" s="1700">
        <v>334.06</v>
      </c>
      <c r="CX193" s="1700">
        <v>338.92</v>
      </c>
      <c r="CY193" s="1700">
        <v>343.78</v>
      </c>
      <c r="CZ193" s="1700">
        <v>348.64</v>
      </c>
      <c r="DA193" s="1700">
        <v>353.49</v>
      </c>
      <c r="DB193" s="1700">
        <v>358.35</v>
      </c>
      <c r="DC193" s="1700">
        <v>363.21</v>
      </c>
      <c r="DD193" s="1700">
        <v>368.06</v>
      </c>
      <c r="DE193" s="1700">
        <v>372.92</v>
      </c>
      <c r="DF193" s="1700">
        <v>377.78</v>
      </c>
      <c r="DG193" s="1700">
        <v>382.64</v>
      </c>
      <c r="DH193" s="1700">
        <v>387.49</v>
      </c>
      <c r="DI193" s="1700">
        <v>392.35</v>
      </c>
      <c r="DJ193" s="1700">
        <v>397.21</v>
      </c>
      <c r="DK193" s="1700">
        <v>402.07</v>
      </c>
      <c r="DL193" s="1700">
        <v>406.92</v>
      </c>
      <c r="DM193" s="1700">
        <v>411.78</v>
      </c>
      <c r="DN193" s="1700">
        <v>416.64</v>
      </c>
      <c r="DO193" s="1700">
        <v>421.49</v>
      </c>
      <c r="DP193" s="1700">
        <v>426.35</v>
      </c>
      <c r="DQ193" s="1700">
        <v>431.21</v>
      </c>
      <c r="DR193" s="1700">
        <v>436.07</v>
      </c>
      <c r="DS193" s="1700"/>
      <c r="DT193" s="1700"/>
      <c r="DU193" s="1700"/>
      <c r="DV193" s="1700"/>
      <c r="DW193" s="1700"/>
      <c r="DX193" s="1700"/>
    </row>
    <row r="194" spans="1:128">
      <c r="A194" s="1622"/>
      <c r="B194" s="1691">
        <f t="shared" si="14"/>
        <v>190</v>
      </c>
      <c r="C194" s="1668" t="str">
        <f t="shared" si="11"/>
        <v>509.94</v>
      </c>
      <c r="D194" s="1672">
        <f t="shared" si="12"/>
        <v>713.92</v>
      </c>
      <c r="E194" s="1670"/>
      <c r="F194" s="1671" t="str">
        <f t="shared" si="13"/>
        <v>320.6</v>
      </c>
      <c r="G194" s="1672">
        <f t="shared" si="10"/>
        <v>448.84</v>
      </c>
      <c r="H194" s="1670"/>
      <c r="I194" s="1670"/>
      <c r="J194" s="1708">
        <v>190</v>
      </c>
      <c r="K194" s="1693">
        <v>371.62</v>
      </c>
      <c r="L194" s="1693">
        <v>378.54</v>
      </c>
      <c r="M194" s="1693">
        <v>385.46</v>
      </c>
      <c r="N194" s="1693">
        <v>392.37</v>
      </c>
      <c r="O194" s="1693">
        <v>399.29</v>
      </c>
      <c r="P194" s="1694">
        <v>406.2</v>
      </c>
      <c r="Q194" s="1694">
        <v>413.12</v>
      </c>
      <c r="R194" s="1694">
        <v>420.04</v>
      </c>
      <c r="S194" s="1695">
        <v>426.95</v>
      </c>
      <c r="T194" s="1696">
        <v>433.87</v>
      </c>
      <c r="U194" s="1696">
        <v>440.78</v>
      </c>
      <c r="V194" s="1695">
        <v>447.7</v>
      </c>
      <c r="W194" s="1695">
        <v>454.62</v>
      </c>
      <c r="X194" s="1695">
        <v>461.53</v>
      </c>
      <c r="Y194" s="1697">
        <v>468.45</v>
      </c>
      <c r="Z194" s="1698">
        <v>475.36</v>
      </c>
      <c r="AA194" s="1699">
        <v>482.28</v>
      </c>
      <c r="AB194" s="1699">
        <v>489.2</v>
      </c>
      <c r="AC194" s="1699">
        <v>496.11</v>
      </c>
      <c r="AD194" s="1699">
        <v>503.03</v>
      </c>
      <c r="AE194" s="1699">
        <v>509.94</v>
      </c>
      <c r="AF194" s="1683">
        <v>420.61</v>
      </c>
      <c r="AG194" s="1683">
        <v>427.52</v>
      </c>
      <c r="AH194" s="1683">
        <v>434.44</v>
      </c>
      <c r="AI194" s="1683">
        <v>441.35</v>
      </c>
      <c r="AJ194" s="1701">
        <v>448.27</v>
      </c>
      <c r="AK194" s="1701">
        <v>455.19</v>
      </c>
      <c r="AL194" s="1701">
        <v>462.1</v>
      </c>
      <c r="AM194" s="1701">
        <v>496.02</v>
      </c>
      <c r="AN194" s="1701">
        <v>475.93</v>
      </c>
      <c r="AO194" s="1702">
        <v>482.85</v>
      </c>
      <c r="AP194" s="1700">
        <v>489.77</v>
      </c>
      <c r="AQ194" s="1700">
        <v>496.68</v>
      </c>
      <c r="AR194" s="1700">
        <v>503.6</v>
      </c>
      <c r="AS194" s="1700">
        <v>510.51</v>
      </c>
      <c r="AT194" s="1683">
        <v>517.42999999999995</v>
      </c>
      <c r="AU194" s="1700">
        <v>524.35</v>
      </c>
      <c r="AV194" s="1700">
        <v>531.26</v>
      </c>
      <c r="AW194" s="1683">
        <v>538.17999999999995</v>
      </c>
      <c r="AX194" s="1683">
        <v>545.09</v>
      </c>
      <c r="AY194" s="1683">
        <v>552.01</v>
      </c>
      <c r="AZ194" s="1683">
        <v>558.92999999999995</v>
      </c>
      <c r="BA194" s="1683">
        <v>565.84</v>
      </c>
      <c r="BB194" s="1700">
        <v>572.76</v>
      </c>
      <c r="BC194" s="1683">
        <v>579.66999999999996</v>
      </c>
      <c r="BD194" s="1683">
        <v>586.59</v>
      </c>
      <c r="BE194" s="1700">
        <v>593.51</v>
      </c>
      <c r="BF194" s="1683">
        <v>600.24</v>
      </c>
      <c r="BG194" s="1683">
        <v>607.34</v>
      </c>
      <c r="BH194" s="1683">
        <v>614.25</v>
      </c>
      <c r="BI194" s="1683">
        <v>621.16999999999996</v>
      </c>
      <c r="BJ194" s="1683">
        <v>628.09</v>
      </c>
      <c r="BK194" s="1683">
        <v>635</v>
      </c>
      <c r="BL194" s="1683">
        <v>941.92</v>
      </c>
      <c r="BM194" s="1683">
        <v>648.83000000000004</v>
      </c>
      <c r="BN194" s="1683"/>
      <c r="BO194" s="1703">
        <v>190</v>
      </c>
      <c r="BP194" s="1693">
        <v>222.94</v>
      </c>
      <c r="BQ194" s="1693">
        <v>227.82</v>
      </c>
      <c r="BR194" s="1693">
        <v>232.71</v>
      </c>
      <c r="BS194" s="1693">
        <v>237.59</v>
      </c>
      <c r="BT194" s="1693">
        <v>242.47</v>
      </c>
      <c r="BU194" s="1694">
        <v>247.36</v>
      </c>
      <c r="BV194" s="1694">
        <v>252.24</v>
      </c>
      <c r="BW194" s="1694">
        <v>257.12</v>
      </c>
      <c r="BX194" s="1695">
        <v>262</v>
      </c>
      <c r="BY194" s="1696">
        <v>266.89</v>
      </c>
      <c r="BZ194" s="1696">
        <v>271.77</v>
      </c>
      <c r="CA194" s="1695">
        <v>276.64999999999998</v>
      </c>
      <c r="CB194" s="1695">
        <v>281.54000000000002</v>
      </c>
      <c r="CC194" s="1704">
        <v>286.42</v>
      </c>
      <c r="CD194" s="1697">
        <v>291.3</v>
      </c>
      <c r="CE194" s="1698">
        <v>296.19</v>
      </c>
      <c r="CF194" s="1699">
        <v>301.07</v>
      </c>
      <c r="CG194" s="1699">
        <v>305.95</v>
      </c>
      <c r="CH194" s="1699">
        <v>310.83</v>
      </c>
      <c r="CI194" s="1699">
        <v>315.72000000000003</v>
      </c>
      <c r="CJ194" s="1699">
        <v>320.60000000000002</v>
      </c>
      <c r="CK194" s="1700">
        <v>277.26</v>
      </c>
      <c r="CL194" s="1700">
        <v>282.14</v>
      </c>
      <c r="CM194" s="1700">
        <v>287.02999999999997</v>
      </c>
      <c r="CN194" s="1700">
        <v>291.91000000000003</v>
      </c>
      <c r="CO194" s="1705">
        <v>296.79000000000002</v>
      </c>
      <c r="CP194" s="1706">
        <v>301.68</v>
      </c>
      <c r="CQ194" s="1701">
        <v>306.56</v>
      </c>
      <c r="CR194" s="1701">
        <v>311.44</v>
      </c>
      <c r="CS194" s="1707">
        <v>316.32</v>
      </c>
      <c r="CT194" s="1700">
        <v>321.20999999999998</v>
      </c>
      <c r="CU194" s="1700">
        <v>326.08999999999997</v>
      </c>
      <c r="CV194" s="1700">
        <v>330.97</v>
      </c>
      <c r="CW194" s="1700">
        <v>335.86</v>
      </c>
      <c r="CX194" s="1700">
        <v>340.74</v>
      </c>
      <c r="CY194" s="1700">
        <v>345.62</v>
      </c>
      <c r="CZ194" s="1700">
        <v>350.51</v>
      </c>
      <c r="DA194" s="1700">
        <v>355.39</v>
      </c>
      <c r="DB194" s="1700">
        <v>360.27</v>
      </c>
      <c r="DC194" s="1700">
        <v>365.15</v>
      </c>
      <c r="DD194" s="1700">
        <v>370.04</v>
      </c>
      <c r="DE194" s="1700">
        <v>374.92</v>
      </c>
      <c r="DF194" s="1700">
        <v>379.8</v>
      </c>
      <c r="DG194" s="1700">
        <v>384.69</v>
      </c>
      <c r="DH194" s="1700">
        <v>389.57</v>
      </c>
      <c r="DI194" s="1700">
        <v>394.45</v>
      </c>
      <c r="DJ194" s="1700">
        <v>399.34</v>
      </c>
      <c r="DK194" s="1700">
        <v>404.22</v>
      </c>
      <c r="DL194" s="1700">
        <v>409.1</v>
      </c>
      <c r="DM194" s="1700">
        <v>413.98</v>
      </c>
      <c r="DN194" s="1700">
        <v>418.87</v>
      </c>
      <c r="DO194" s="1700">
        <v>423.75</v>
      </c>
      <c r="DP194" s="1700">
        <v>428.63</v>
      </c>
      <c r="DQ194" s="1700">
        <v>433.52</v>
      </c>
      <c r="DR194" s="1700">
        <v>438.4</v>
      </c>
      <c r="DS194" s="1700"/>
      <c r="DT194" s="1700"/>
      <c r="DU194" s="1700"/>
      <c r="DV194" s="1700"/>
      <c r="DW194" s="1700"/>
      <c r="DX194" s="1700"/>
    </row>
    <row r="195" spans="1:128">
      <c r="A195" s="1622"/>
      <c r="B195" s="1691">
        <f t="shared" si="14"/>
        <v>191</v>
      </c>
      <c r="C195" s="1668" t="str">
        <f t="shared" si="11"/>
        <v>512.78</v>
      </c>
      <c r="D195" s="1672">
        <f t="shared" si="12"/>
        <v>717.89</v>
      </c>
      <c r="E195" s="1670"/>
      <c r="F195" s="1671" t="str">
        <f t="shared" si="13"/>
        <v>322.33</v>
      </c>
      <c r="G195" s="1672">
        <f t="shared" si="10"/>
        <v>451.26</v>
      </c>
      <c r="H195" s="1670"/>
      <c r="I195" s="1670"/>
      <c r="J195" s="1708">
        <v>191</v>
      </c>
      <c r="K195" s="1693">
        <v>373.74</v>
      </c>
      <c r="L195" s="1693">
        <v>380.69</v>
      </c>
      <c r="M195" s="1693">
        <v>387.64</v>
      </c>
      <c r="N195" s="1693">
        <v>394.59</v>
      </c>
      <c r="O195" s="1693">
        <v>401.55</v>
      </c>
      <c r="P195" s="1694">
        <v>408.5</v>
      </c>
      <c r="Q195" s="1694">
        <v>415.45</v>
      </c>
      <c r="R195" s="1694">
        <v>422.4</v>
      </c>
      <c r="S195" s="1695">
        <v>429.36</v>
      </c>
      <c r="T195" s="1696">
        <v>436.31</v>
      </c>
      <c r="U195" s="1696">
        <v>443.26</v>
      </c>
      <c r="V195" s="1695">
        <v>450.21</v>
      </c>
      <c r="W195" s="1695">
        <v>457.17</v>
      </c>
      <c r="X195" s="1695">
        <v>464.12</v>
      </c>
      <c r="Y195" s="1697">
        <v>471.07</v>
      </c>
      <c r="Z195" s="1698">
        <v>478.02</v>
      </c>
      <c r="AA195" s="1699">
        <v>484.97</v>
      </c>
      <c r="AB195" s="1699">
        <v>491.93</v>
      </c>
      <c r="AC195" s="1699">
        <v>498.88</v>
      </c>
      <c r="AD195" s="1699">
        <v>505.83</v>
      </c>
      <c r="AE195" s="1699">
        <v>512.78</v>
      </c>
      <c r="AF195" s="1700">
        <v>422.91</v>
      </c>
      <c r="AG195" s="1700">
        <v>429.86</v>
      </c>
      <c r="AH195" s="1700">
        <v>436.81</v>
      </c>
      <c r="AI195" s="1700">
        <v>443.77</v>
      </c>
      <c r="AJ195" s="1701">
        <v>450.72</v>
      </c>
      <c r="AK195" s="1701">
        <v>457.67</v>
      </c>
      <c r="AL195" s="1701">
        <v>464.62</v>
      </c>
      <c r="AM195" s="1701">
        <v>471.58</v>
      </c>
      <c r="AN195" s="1701">
        <v>478.53</v>
      </c>
      <c r="AO195" s="1702">
        <v>485.48</v>
      </c>
      <c r="AP195" s="1700">
        <v>492.43</v>
      </c>
      <c r="AQ195" s="1700">
        <v>499.39</v>
      </c>
      <c r="AR195" s="1683">
        <v>506.34</v>
      </c>
      <c r="AS195" s="1700">
        <v>513.29</v>
      </c>
      <c r="AT195" s="1700">
        <v>520.24</v>
      </c>
      <c r="AU195" s="1700">
        <v>527.20000000000005</v>
      </c>
      <c r="AV195" s="1683">
        <v>534.15</v>
      </c>
      <c r="AW195" s="1683">
        <v>541.1</v>
      </c>
      <c r="AX195" s="1700">
        <v>548.04999999999995</v>
      </c>
      <c r="AY195" s="1700">
        <v>555.01</v>
      </c>
      <c r="AZ195" s="1700">
        <v>561.96</v>
      </c>
      <c r="BA195" s="1700">
        <v>568.91</v>
      </c>
      <c r="BB195" s="1700">
        <v>575.86</v>
      </c>
      <c r="BC195" s="1700">
        <v>582.82000000000005</v>
      </c>
      <c r="BD195" s="1700">
        <v>589.77</v>
      </c>
      <c r="BE195" s="1700">
        <v>596.72</v>
      </c>
      <c r="BF195" s="1700">
        <v>603.66999999999996</v>
      </c>
      <c r="BG195" s="1700">
        <v>610.62</v>
      </c>
      <c r="BH195" s="1700">
        <v>617.58000000000004</v>
      </c>
      <c r="BI195" s="1700">
        <v>624.53</v>
      </c>
      <c r="BJ195" s="1700">
        <v>631.48</v>
      </c>
      <c r="BK195" s="1700">
        <v>638.42999999999995</v>
      </c>
      <c r="BL195" s="1700">
        <v>645.39</v>
      </c>
      <c r="BM195" s="1700">
        <v>652.34</v>
      </c>
      <c r="BN195" s="1700"/>
      <c r="BO195" s="1703">
        <v>191</v>
      </c>
      <c r="BP195" s="1693">
        <v>224.26</v>
      </c>
      <c r="BQ195" s="1693">
        <v>229.07</v>
      </c>
      <c r="BR195" s="1693">
        <v>233.97</v>
      </c>
      <c r="BS195" s="1693">
        <v>238.88</v>
      </c>
      <c r="BT195" s="1693">
        <v>243.79</v>
      </c>
      <c r="BU195" s="1694">
        <v>248.7</v>
      </c>
      <c r="BV195" s="1694">
        <v>253.61</v>
      </c>
      <c r="BW195" s="1694">
        <v>258.52</v>
      </c>
      <c r="BX195" s="1695">
        <v>263.43</v>
      </c>
      <c r="BY195" s="1696">
        <v>268.33999999999997</v>
      </c>
      <c r="BZ195" s="1696">
        <v>273.24</v>
      </c>
      <c r="CA195" s="1695">
        <v>278.14999999999998</v>
      </c>
      <c r="CB195" s="1695">
        <v>283.06</v>
      </c>
      <c r="CC195" s="1704">
        <v>287.97000000000003</v>
      </c>
      <c r="CD195" s="1697">
        <v>292.88</v>
      </c>
      <c r="CE195" s="1698">
        <v>297.79000000000002</v>
      </c>
      <c r="CF195" s="1699">
        <v>302.7</v>
      </c>
      <c r="CG195" s="1699">
        <v>307.61</v>
      </c>
      <c r="CH195" s="1699">
        <v>312.51</v>
      </c>
      <c r="CI195" s="1699">
        <v>317.42</v>
      </c>
      <c r="CJ195" s="1699">
        <v>322.33</v>
      </c>
      <c r="CK195" s="1700">
        <v>278.75</v>
      </c>
      <c r="CL195" s="1700">
        <v>283.66000000000003</v>
      </c>
      <c r="CM195" s="1700">
        <v>288.56</v>
      </c>
      <c r="CN195" s="1700">
        <v>293.47000000000003</v>
      </c>
      <c r="CO195" s="1705">
        <v>298.38</v>
      </c>
      <c r="CP195" s="1706">
        <v>303.29000000000002</v>
      </c>
      <c r="CQ195" s="1701">
        <v>308.2</v>
      </c>
      <c r="CR195" s="1701">
        <v>313.11</v>
      </c>
      <c r="CS195" s="1707">
        <v>318.02</v>
      </c>
      <c r="CT195" s="1700">
        <v>322.92</v>
      </c>
      <c r="CU195" s="1700">
        <v>327.83</v>
      </c>
      <c r="CV195" s="1700">
        <v>332.74</v>
      </c>
      <c r="CW195" s="1700">
        <v>337.65</v>
      </c>
      <c r="CX195" s="1700">
        <v>342.56</v>
      </c>
      <c r="CY195" s="1700">
        <v>347.47</v>
      </c>
      <c r="CZ195" s="1700">
        <v>352.38</v>
      </c>
      <c r="DA195" s="1700">
        <v>357.29</v>
      </c>
      <c r="DB195" s="1700">
        <v>362.19</v>
      </c>
      <c r="DC195" s="1700">
        <v>367.1</v>
      </c>
      <c r="DD195" s="1700">
        <v>372.01</v>
      </c>
      <c r="DE195" s="1700">
        <v>376.92</v>
      </c>
      <c r="DF195" s="1700">
        <v>381.83</v>
      </c>
      <c r="DG195" s="1700">
        <v>386.74</v>
      </c>
      <c r="DH195" s="1700">
        <v>391.65</v>
      </c>
      <c r="DI195" s="1700">
        <v>396.56</v>
      </c>
      <c r="DJ195" s="1700">
        <v>401.46</v>
      </c>
      <c r="DK195" s="1700">
        <v>406.37</v>
      </c>
      <c r="DL195" s="1700">
        <v>411.28</v>
      </c>
      <c r="DM195" s="1700">
        <v>416.19</v>
      </c>
      <c r="DN195" s="1700">
        <v>421.1</v>
      </c>
      <c r="DO195" s="1700">
        <v>426.01</v>
      </c>
      <c r="DP195" s="1700">
        <v>430.92</v>
      </c>
      <c r="DQ195" s="1700">
        <v>435.82</v>
      </c>
      <c r="DR195" s="1700">
        <v>440.73</v>
      </c>
      <c r="DS195" s="1700"/>
      <c r="DT195" s="1700"/>
      <c r="DU195" s="1700"/>
      <c r="DV195" s="1700"/>
      <c r="DW195" s="1700"/>
      <c r="DX195" s="1700"/>
    </row>
    <row r="196" spans="1:128">
      <c r="A196" s="1622"/>
      <c r="B196" s="1691">
        <f t="shared" si="14"/>
        <v>192</v>
      </c>
      <c r="C196" s="1668" t="str">
        <f t="shared" si="11"/>
        <v>515.02</v>
      </c>
      <c r="D196" s="1672">
        <f t="shared" si="12"/>
        <v>721.03</v>
      </c>
      <c r="E196" s="1670"/>
      <c r="F196" s="1671" t="str">
        <f t="shared" si="13"/>
        <v>323.9</v>
      </c>
      <c r="G196" s="1672">
        <f t="shared" si="10"/>
        <v>453.46</v>
      </c>
      <c r="H196" s="1670"/>
      <c r="I196" s="1670"/>
      <c r="J196" s="1708">
        <v>192</v>
      </c>
      <c r="K196" s="1693">
        <v>375.24</v>
      </c>
      <c r="L196" s="1693">
        <v>382.23</v>
      </c>
      <c r="M196" s="1693">
        <v>389.22</v>
      </c>
      <c r="N196" s="1693">
        <v>396.21</v>
      </c>
      <c r="O196" s="1693">
        <v>403.2</v>
      </c>
      <c r="P196" s="1694">
        <v>410.19</v>
      </c>
      <c r="Q196" s="1694">
        <v>417.18</v>
      </c>
      <c r="R196" s="1694">
        <v>424.17</v>
      </c>
      <c r="S196" s="1695">
        <v>431.15</v>
      </c>
      <c r="T196" s="1696">
        <v>438.14</v>
      </c>
      <c r="U196" s="1696">
        <v>445.13</v>
      </c>
      <c r="V196" s="1695">
        <v>452.12</v>
      </c>
      <c r="W196" s="1695">
        <v>459.11</v>
      </c>
      <c r="X196" s="1695">
        <v>466.1</v>
      </c>
      <c r="Y196" s="1697">
        <v>473.09</v>
      </c>
      <c r="Z196" s="1698">
        <v>480.08</v>
      </c>
      <c r="AA196" s="1699">
        <v>487.06</v>
      </c>
      <c r="AB196" s="1699">
        <v>494.05</v>
      </c>
      <c r="AC196" s="1699">
        <v>501.04</v>
      </c>
      <c r="AD196" s="1699">
        <v>508.03</v>
      </c>
      <c r="AE196" s="1699">
        <v>515.02</v>
      </c>
      <c r="AF196" s="1700">
        <v>424.86</v>
      </c>
      <c r="AG196" s="1700">
        <v>431.85</v>
      </c>
      <c r="AH196" s="1700">
        <v>438.84</v>
      </c>
      <c r="AI196" s="1700">
        <v>445.83</v>
      </c>
      <c r="AJ196" s="1701">
        <v>452.82</v>
      </c>
      <c r="AK196" s="1701">
        <v>459.81</v>
      </c>
      <c r="AL196" s="1701">
        <v>466.79</v>
      </c>
      <c r="AM196" s="1701">
        <v>473.78</v>
      </c>
      <c r="AN196" s="1701">
        <v>480.77</v>
      </c>
      <c r="AO196" s="1702">
        <v>487.76</v>
      </c>
      <c r="AP196" s="1700">
        <v>494.75</v>
      </c>
      <c r="AQ196" s="1700">
        <v>501.74</v>
      </c>
      <c r="AR196" s="1700">
        <v>508.73</v>
      </c>
      <c r="AS196" s="1700">
        <v>515.72</v>
      </c>
      <c r="AT196" s="1700">
        <v>522.71</v>
      </c>
      <c r="AU196" s="1700">
        <v>529.69000000000005</v>
      </c>
      <c r="AV196" s="1700">
        <v>536.67999999999995</v>
      </c>
      <c r="AW196" s="1700">
        <v>543.66999999999996</v>
      </c>
      <c r="AX196" s="1700">
        <v>550.66</v>
      </c>
      <c r="AY196" s="1700">
        <v>557.65</v>
      </c>
      <c r="AZ196" s="1700">
        <v>564.64</v>
      </c>
      <c r="BA196" s="1700">
        <v>571.63</v>
      </c>
      <c r="BB196" s="1683">
        <v>578.62</v>
      </c>
      <c r="BC196" s="1700">
        <v>585.6</v>
      </c>
      <c r="BD196" s="1700">
        <v>592.59</v>
      </c>
      <c r="BE196" s="1700">
        <v>599.58000000000004</v>
      </c>
      <c r="BF196" s="1700">
        <v>606.57000000000005</v>
      </c>
      <c r="BG196" s="1700">
        <v>613.55999999999995</v>
      </c>
      <c r="BH196" s="1700">
        <v>620.54999999999995</v>
      </c>
      <c r="BI196" s="1700">
        <v>627.54</v>
      </c>
      <c r="BJ196" s="1700">
        <v>634.53</v>
      </c>
      <c r="BK196" s="1700">
        <v>641.51</v>
      </c>
      <c r="BL196" s="1700">
        <v>648.5</v>
      </c>
      <c r="BM196" s="1700">
        <v>655.49</v>
      </c>
      <c r="BN196" s="1700"/>
      <c r="BO196" s="1703">
        <v>192</v>
      </c>
      <c r="BP196" s="1693">
        <v>225.21</v>
      </c>
      <c r="BQ196" s="1693">
        <v>230.15</v>
      </c>
      <c r="BR196" s="1693">
        <v>235.08</v>
      </c>
      <c r="BS196" s="1693">
        <v>240.02</v>
      </c>
      <c r="BT196" s="1693">
        <v>244.95</v>
      </c>
      <c r="BU196" s="1694">
        <v>249.89</v>
      </c>
      <c r="BV196" s="1694">
        <v>254.82</v>
      </c>
      <c r="BW196" s="1694">
        <v>259.75</v>
      </c>
      <c r="BX196" s="1695">
        <v>264.69</v>
      </c>
      <c r="BY196" s="1696">
        <v>269.62</v>
      </c>
      <c r="BZ196" s="1696">
        <v>274.56</v>
      </c>
      <c r="CA196" s="1695">
        <v>279.49</v>
      </c>
      <c r="CB196" s="1695">
        <v>284.43</v>
      </c>
      <c r="CC196" s="1704">
        <v>289.36</v>
      </c>
      <c r="CD196" s="1697">
        <v>294.3</v>
      </c>
      <c r="CE196" s="1698">
        <v>299.23</v>
      </c>
      <c r="CF196" s="1699">
        <v>304.16000000000003</v>
      </c>
      <c r="CG196" s="1699">
        <v>309.10000000000002</v>
      </c>
      <c r="CH196" s="1699">
        <v>314.02999999999997</v>
      </c>
      <c r="CI196" s="1699">
        <v>318.97000000000003</v>
      </c>
      <c r="CJ196" s="1699">
        <v>323.89999999999998</v>
      </c>
      <c r="CK196" s="1700">
        <v>280.13</v>
      </c>
      <c r="CL196" s="1700">
        <v>285.07</v>
      </c>
      <c r="CM196" s="1700">
        <v>290</v>
      </c>
      <c r="CN196" s="1700">
        <v>294.94</v>
      </c>
      <c r="CO196" s="1705">
        <v>299.87</v>
      </c>
      <c r="CP196" s="1706">
        <v>304.8</v>
      </c>
      <c r="CQ196" s="1701">
        <v>309.74</v>
      </c>
      <c r="CR196" s="1701">
        <v>314.67</v>
      </c>
      <c r="CS196" s="1707">
        <v>319.61</v>
      </c>
      <c r="CT196" s="1700">
        <v>324.54000000000002</v>
      </c>
      <c r="CU196" s="1700">
        <v>329.48</v>
      </c>
      <c r="CV196" s="1700">
        <v>334.41</v>
      </c>
      <c r="CW196" s="1700">
        <v>339.35</v>
      </c>
      <c r="CX196" s="1700">
        <v>344.28</v>
      </c>
      <c r="CY196" s="1700">
        <v>349.21</v>
      </c>
      <c r="CZ196" s="1700">
        <v>354.15</v>
      </c>
      <c r="DA196" s="1700">
        <v>359.08</v>
      </c>
      <c r="DB196" s="1700">
        <v>364.02</v>
      </c>
      <c r="DC196" s="1700">
        <v>368.95</v>
      </c>
      <c r="DD196" s="1700">
        <v>373.89</v>
      </c>
      <c r="DE196" s="1700">
        <v>378.82</v>
      </c>
      <c r="DF196" s="1700">
        <v>383.76</v>
      </c>
      <c r="DG196" s="1700">
        <v>388.69</v>
      </c>
      <c r="DH196" s="1700">
        <v>393.62</v>
      </c>
      <c r="DI196" s="1700">
        <v>398.56</v>
      </c>
      <c r="DJ196" s="1700">
        <v>403.49</v>
      </c>
      <c r="DK196" s="1700">
        <v>408.43</v>
      </c>
      <c r="DL196" s="1700">
        <v>413.36</v>
      </c>
      <c r="DM196" s="1700">
        <v>418.3</v>
      </c>
      <c r="DN196" s="1700">
        <v>423.23</v>
      </c>
      <c r="DO196" s="1700">
        <v>428.16</v>
      </c>
      <c r="DP196" s="1700">
        <v>433.1</v>
      </c>
      <c r="DQ196" s="1700">
        <v>438.03</v>
      </c>
      <c r="DR196" s="1700">
        <v>442.97</v>
      </c>
      <c r="DS196" s="1700"/>
      <c r="DT196" s="1700"/>
      <c r="DU196" s="1700"/>
      <c r="DV196" s="1700"/>
      <c r="DW196" s="1700"/>
      <c r="DX196" s="1700"/>
    </row>
    <row r="197" spans="1:128">
      <c r="A197" s="1622"/>
      <c r="B197" s="1691">
        <f t="shared" si="14"/>
        <v>193</v>
      </c>
      <c r="C197" s="1668" t="str">
        <f t="shared" si="11"/>
        <v>517.87</v>
      </c>
      <c r="D197" s="1672">
        <f t="shared" si="12"/>
        <v>725.02</v>
      </c>
      <c r="E197" s="1670"/>
      <c r="F197" s="1671" t="str">
        <f t="shared" si="13"/>
        <v>325.03</v>
      </c>
      <c r="G197" s="1672">
        <f t="shared" ref="G197:G260" si="15">ROUND(F197*1.4,2)</f>
        <v>455.04</v>
      </c>
      <c r="H197" s="1670"/>
      <c r="I197" s="1670"/>
      <c r="J197" s="1708">
        <v>193</v>
      </c>
      <c r="K197" s="1693">
        <v>377.36</v>
      </c>
      <c r="L197" s="1693">
        <v>384.39</v>
      </c>
      <c r="M197" s="1693">
        <v>391.41</v>
      </c>
      <c r="N197" s="1693">
        <v>398.44</v>
      </c>
      <c r="O197" s="1693">
        <v>405.46</v>
      </c>
      <c r="P197" s="1694">
        <v>412.49</v>
      </c>
      <c r="Q197" s="1694">
        <v>419.52</v>
      </c>
      <c r="R197" s="1694">
        <v>426.54</v>
      </c>
      <c r="S197" s="1695">
        <v>433.57</v>
      </c>
      <c r="T197" s="1696">
        <v>440.59</v>
      </c>
      <c r="U197" s="1696">
        <v>447.62</v>
      </c>
      <c r="V197" s="1695">
        <v>454.64</v>
      </c>
      <c r="W197" s="1695">
        <v>461.67</v>
      </c>
      <c r="X197" s="1695">
        <v>468.69</v>
      </c>
      <c r="Y197" s="1697">
        <v>475.72</v>
      </c>
      <c r="Z197" s="1698">
        <v>482.74</v>
      </c>
      <c r="AA197" s="1699">
        <v>489.77</v>
      </c>
      <c r="AB197" s="1699">
        <v>496.79</v>
      </c>
      <c r="AC197" s="1699">
        <v>503.82</v>
      </c>
      <c r="AD197" s="1699">
        <v>510.84</v>
      </c>
      <c r="AE197" s="1699">
        <v>517.87</v>
      </c>
      <c r="AF197" s="1683">
        <v>427.17</v>
      </c>
      <c r="AG197" s="1683">
        <v>434.2</v>
      </c>
      <c r="AH197" s="1683">
        <v>441.22</v>
      </c>
      <c r="AI197" s="1683">
        <v>448.25</v>
      </c>
      <c r="AJ197" s="1701">
        <v>455.27</v>
      </c>
      <c r="AK197" s="1701">
        <v>462.3</v>
      </c>
      <c r="AL197" s="1701">
        <v>469.32</v>
      </c>
      <c r="AM197" s="1701">
        <v>476.35</v>
      </c>
      <c r="AN197" s="1701">
        <v>483.37</v>
      </c>
      <c r="AO197" s="1702">
        <v>490.4</v>
      </c>
      <c r="AP197" s="1700">
        <v>497.42</v>
      </c>
      <c r="AQ197" s="1700">
        <v>504.45</v>
      </c>
      <c r="AR197" s="1683">
        <v>511.47</v>
      </c>
      <c r="AS197" s="1700">
        <v>518.5</v>
      </c>
      <c r="AT197" s="1683">
        <v>525.52</v>
      </c>
      <c r="AU197" s="1700">
        <v>532.54999999999995</v>
      </c>
      <c r="AV197" s="1700">
        <v>539.57000000000005</v>
      </c>
      <c r="AW197" s="1683">
        <v>546.6</v>
      </c>
      <c r="AX197" s="1683">
        <v>553.63</v>
      </c>
      <c r="AY197" s="1683">
        <v>560.65</v>
      </c>
      <c r="AZ197" s="1683">
        <v>567.67999999999995</v>
      </c>
      <c r="BA197" s="1683">
        <v>571.70000000000005</v>
      </c>
      <c r="BB197" s="1700">
        <v>581.73</v>
      </c>
      <c r="BC197" s="1683">
        <v>588.75</v>
      </c>
      <c r="BD197" s="1683">
        <v>595.78</v>
      </c>
      <c r="BE197" s="1683">
        <v>602.79999999999995</v>
      </c>
      <c r="BF197" s="1683">
        <v>609.83000000000004</v>
      </c>
      <c r="BG197" s="1683">
        <v>616.85</v>
      </c>
      <c r="BH197" s="1683">
        <v>623.88</v>
      </c>
      <c r="BI197" s="1683">
        <v>630.9</v>
      </c>
      <c r="BJ197" s="1683">
        <v>637.92999999999995</v>
      </c>
      <c r="BK197" s="1683">
        <v>644.95000000000005</v>
      </c>
      <c r="BL197" s="1683">
        <v>651.98</v>
      </c>
      <c r="BM197" s="1683">
        <v>659</v>
      </c>
      <c r="BN197" s="1683"/>
      <c r="BO197" s="1703">
        <v>193</v>
      </c>
      <c r="BP197" s="1693">
        <v>226.43</v>
      </c>
      <c r="BQ197" s="1693">
        <v>231.39</v>
      </c>
      <c r="BR197" s="1693">
        <v>236.35</v>
      </c>
      <c r="BS197" s="1693">
        <v>241.31</v>
      </c>
      <c r="BT197" s="1693">
        <v>246.27</v>
      </c>
      <c r="BU197" s="1694">
        <v>251.23</v>
      </c>
      <c r="BV197" s="1694">
        <v>256.19</v>
      </c>
      <c r="BW197" s="1694">
        <v>261.14999999999998</v>
      </c>
      <c r="BX197" s="1695">
        <v>266.11</v>
      </c>
      <c r="BY197" s="1696">
        <v>271.07</v>
      </c>
      <c r="BZ197" s="1696">
        <v>276.02999999999997</v>
      </c>
      <c r="CA197" s="1695">
        <v>280.99</v>
      </c>
      <c r="CB197" s="1695">
        <v>285.95</v>
      </c>
      <c r="CC197" s="1704">
        <v>290.91000000000003</v>
      </c>
      <c r="CD197" s="1697">
        <v>295.87</v>
      </c>
      <c r="CE197" s="1698">
        <v>300.83</v>
      </c>
      <c r="CF197" s="1699">
        <v>305.79000000000002</v>
      </c>
      <c r="CG197" s="1699">
        <v>310.75</v>
      </c>
      <c r="CH197" s="1699">
        <v>315.70999999999998</v>
      </c>
      <c r="CI197" s="1699">
        <v>320.67</v>
      </c>
      <c r="CJ197" s="1699">
        <v>325.02999999999997</v>
      </c>
      <c r="CK197" s="1700">
        <v>281.62</v>
      </c>
      <c r="CL197" s="1700">
        <v>286.58</v>
      </c>
      <c r="CM197" s="1700">
        <v>291.54000000000002</v>
      </c>
      <c r="CN197" s="1700">
        <v>296.5</v>
      </c>
      <c r="CO197" s="1705">
        <v>301.45999999999998</v>
      </c>
      <c r="CP197" s="1706">
        <v>306.42</v>
      </c>
      <c r="CQ197" s="1701">
        <v>311.38</v>
      </c>
      <c r="CR197" s="1701">
        <v>316.33999999999997</v>
      </c>
      <c r="CS197" s="1707">
        <v>321.3</v>
      </c>
      <c r="CT197" s="1700">
        <v>326.26</v>
      </c>
      <c r="CU197" s="1700">
        <v>332.22</v>
      </c>
      <c r="CV197" s="1700">
        <v>336.18</v>
      </c>
      <c r="CW197" s="1700">
        <v>341.14</v>
      </c>
      <c r="CX197" s="1700">
        <v>346.1</v>
      </c>
      <c r="CY197" s="1700">
        <v>351.06</v>
      </c>
      <c r="CZ197" s="1700">
        <v>356.02</v>
      </c>
      <c r="DA197" s="1700">
        <v>360.98</v>
      </c>
      <c r="DB197" s="1700">
        <v>365.94</v>
      </c>
      <c r="DC197" s="1700">
        <v>370.9</v>
      </c>
      <c r="DD197" s="1700">
        <v>375.86</v>
      </c>
      <c r="DE197" s="1700">
        <v>380.82</v>
      </c>
      <c r="DF197" s="1700">
        <v>385.78</v>
      </c>
      <c r="DG197" s="1700">
        <v>390.74</v>
      </c>
      <c r="DH197" s="1700">
        <v>395.7</v>
      </c>
      <c r="DI197" s="1700">
        <v>400.66</v>
      </c>
      <c r="DJ197" s="1700">
        <v>405.62</v>
      </c>
      <c r="DK197" s="1700">
        <v>410.58</v>
      </c>
      <c r="DL197" s="1700">
        <v>415.54</v>
      </c>
      <c r="DM197" s="1700">
        <v>420.5</v>
      </c>
      <c r="DN197" s="1700">
        <v>425.46</v>
      </c>
      <c r="DO197" s="1700">
        <v>430.42</v>
      </c>
      <c r="DP197" s="1700">
        <v>435.38</v>
      </c>
      <c r="DQ197" s="1700">
        <v>440.34</v>
      </c>
      <c r="DR197" s="1700">
        <v>445.3</v>
      </c>
      <c r="DS197" s="1700"/>
      <c r="DT197" s="1700"/>
      <c r="DU197" s="1700"/>
      <c r="DV197" s="1700"/>
      <c r="DW197" s="1700"/>
      <c r="DX197" s="1700"/>
    </row>
    <row r="198" spans="1:128">
      <c r="A198" s="1622"/>
      <c r="B198" s="1691">
        <f t="shared" si="14"/>
        <v>194</v>
      </c>
      <c r="C198" s="1668" t="str">
        <f t="shared" ref="C198:C204" si="16">IF($C$1=40.5,AJ198,IF($C$1=41.5,AK198,IF($C$1=42.5,AL198,IF($C$1=43.5,AN198,IF($C$1=44.5,AN198,IF($C$1=45.5,AO198,IF($C$1=46.5,AP198,)))))))&amp;
IF($C$1=47.5,AQ198,IF($C$1=48.5,AR198,IF($C$1=49.5,AS198,IF($C$1=50.5,AT198,IF($C$1=51.5,AU198,IF($C$1=52.5,AV198,IF($C$1=53.5,AW198,)))))))&amp;
IF($C$1=54.5,AX198,IF($C$1=55.5,AY198,IF($C$1=56.5,AZ198,IF($C$1=57.5,BA198,IF($C$1=15.5,K198,IF($C$1=16.5,L198,IF($C$1=17.5,M198,)))))))&amp;
IF($C$1=18.5,N198,IF($C$1=19.5,O198,IF($C$1=20.5,P198,IF($C$1=21.5,Q198,IF($C$1=22.5,R198,IF($C$1=23.5,S198,IF($C$1=24.5,T198,)))))))&amp;IF($C$1=25.5,U198,IF($C$1=26.5,V198,IF($C$1=39.5,AI198,)))&amp;IF($C$1=31.5,AA198,IF($C$1=32.5,AB198,IF($C$1=33.5,AC198,IF($C$1=34.5,AD198,IF($C$1=35.5,AE198,)))))&amp;IF($C$1=36.5,AF198,IF($C$1=37.5,AG198,IF($C$1=38.5,AH198,)))&amp;IF($C$1=27.5,W198,IF($C$1=28.5,X198,IF($C$1=29.5,Y198,IF($C$1=30.5,Z198,))))</f>
        <v>520.73</v>
      </c>
      <c r="D198" s="1672">
        <f t="shared" ref="D198:D261" si="17">ROUND(C198*1.4,2)</f>
        <v>729.02</v>
      </c>
      <c r="E198" s="1670"/>
      <c r="F198" s="1671" t="str">
        <f t="shared" ref="F198:F204" si="18">IF($C$1=40.5,CO198,IF($C$1=41.5,CP198,IF($C$1=42.5,CQ198,IF($C$1=43.5,CS198,IF($C$1=44.5,CS198,IF($C$1=45.5,CT198,IF($C$1=46.5,CU198,)))))))&amp;
IF($C$1=47.5,CV198,IF($C$1=48.5,CW198,IF($C$1=49.5,CX198,IF($C$1=50.5,CY198,IF($C$1=51.5,CZ198,IF($C$1=52.5,DA198,IF($C$1=53.5,DB198,)))))))&amp;
IF($C$1=54.5,DC198,IF($C$1=55.5,DD198,IF($C$1=56.5,DE198,IF($C$1=57.5,DF198,IF($C$1=15.5,BP198,IF($C$1=16.5,BQ198,IF($C$1=17.5,BR198,)))))))&amp;
IF($C$1=18.5,BS198,IF($C$1=19.5,BT198,IF($C$1=20.5,BU198,IF($C$1=21.5,BV198,IF($C$1=22.5,BW198,IF($C$1=23.5,BX198,IF($C$1=24.5,BY198,)))))))&amp;IF($C$1=25.5,BZ198,IF($C$1=26.5,CA198,IF($C$1=39.5,CN198,)))&amp;IF($C$1=31.5,CF198,IF($C$1=32.5,CG198,IF($C$1=33.5,CH198,IF($C$1=34.5,CI198,IF($C$1=35.5,CJ198,)))))&amp;IF($C$1=36.5,CK198,IF($C$1=37.5,CL198,IF($C$1=38.5,CM198,)))&amp;IF($C$1=27.5,CB198,IF($C$1=28.5,CC198,IF($C$1=29.5,CD198,IF($C$1=30.5,CE198,))))</f>
        <v>327.37</v>
      </c>
      <c r="G198" s="1672">
        <f t="shared" si="15"/>
        <v>458.32</v>
      </c>
      <c r="H198" s="1670"/>
      <c r="I198" s="1670"/>
      <c r="J198" s="1708">
        <v>194</v>
      </c>
      <c r="K198" s="1693">
        <v>379.49</v>
      </c>
      <c r="L198" s="1693">
        <v>386.56</v>
      </c>
      <c r="M198" s="1693">
        <v>393.62</v>
      </c>
      <c r="N198" s="1693">
        <v>400.68</v>
      </c>
      <c r="O198" s="1693">
        <v>407.74</v>
      </c>
      <c r="P198" s="1694">
        <v>414.8</v>
      </c>
      <c r="Q198" s="1694">
        <v>421.86</v>
      </c>
      <c r="R198" s="1694">
        <v>428.92</v>
      </c>
      <c r="S198" s="1695">
        <v>435.99</v>
      </c>
      <c r="T198" s="1696">
        <v>443.05</v>
      </c>
      <c r="U198" s="1696">
        <v>450.11</v>
      </c>
      <c r="V198" s="1695">
        <v>457.17</v>
      </c>
      <c r="W198" s="1695">
        <v>464.23</v>
      </c>
      <c r="X198" s="1695">
        <v>471.29</v>
      </c>
      <c r="Y198" s="1697">
        <v>478.36</v>
      </c>
      <c r="Z198" s="1698">
        <v>485.42</v>
      </c>
      <c r="AA198" s="1699">
        <v>492.48</v>
      </c>
      <c r="AB198" s="1699">
        <v>499.54</v>
      </c>
      <c r="AC198" s="1699">
        <v>506.6</v>
      </c>
      <c r="AD198" s="1699">
        <v>513.66</v>
      </c>
      <c r="AE198" s="1699">
        <v>520.73</v>
      </c>
      <c r="AF198" s="1700">
        <v>429.49</v>
      </c>
      <c r="AG198" s="1700">
        <v>436.55</v>
      </c>
      <c r="AH198" s="1700">
        <v>443.61</v>
      </c>
      <c r="AI198" s="1700">
        <v>450.67</v>
      </c>
      <c r="AJ198" s="1701">
        <v>457.73</v>
      </c>
      <c r="AK198" s="1701">
        <v>464.79</v>
      </c>
      <c r="AL198" s="1701">
        <v>471.86</v>
      </c>
      <c r="AM198" s="1701">
        <v>478.92</v>
      </c>
      <c r="AN198" s="1701">
        <v>485.98</v>
      </c>
      <c r="AO198" s="1702">
        <v>493.04</v>
      </c>
      <c r="AP198" s="1700">
        <v>500.1</v>
      </c>
      <c r="AQ198" s="1700">
        <v>507.16</v>
      </c>
      <c r="AR198" s="1700">
        <v>514.23</v>
      </c>
      <c r="AS198" s="1700">
        <v>521.29</v>
      </c>
      <c r="AT198" s="1700">
        <v>528.35</v>
      </c>
      <c r="AU198" s="1700">
        <v>535.41</v>
      </c>
      <c r="AV198" s="1683">
        <v>542.47</v>
      </c>
      <c r="AW198" s="1700">
        <v>549.53</v>
      </c>
      <c r="AX198" s="1700">
        <v>556.6</v>
      </c>
      <c r="AY198" s="1700">
        <v>563.66</v>
      </c>
      <c r="AZ198" s="1700">
        <v>570.72</v>
      </c>
      <c r="BA198" s="1700">
        <v>577.78</v>
      </c>
      <c r="BB198" s="1700">
        <v>584.84</v>
      </c>
      <c r="BC198" s="1700">
        <v>591.9</v>
      </c>
      <c r="BD198" s="1700">
        <v>598.97</v>
      </c>
      <c r="BE198" s="1700">
        <v>606.03</v>
      </c>
      <c r="BF198" s="1700">
        <v>613.09</v>
      </c>
      <c r="BG198" s="1700">
        <v>620.15</v>
      </c>
      <c r="BH198" s="1700">
        <v>627.21</v>
      </c>
      <c r="BI198" s="1700">
        <v>634.27</v>
      </c>
      <c r="BJ198" s="1700">
        <v>641.33000000000004</v>
      </c>
      <c r="BK198" s="1700">
        <v>648.4</v>
      </c>
      <c r="BL198" s="1700">
        <v>655.46</v>
      </c>
      <c r="BM198" s="1700">
        <v>662.52</v>
      </c>
      <c r="BN198" s="1700"/>
      <c r="BO198" s="1703">
        <v>194</v>
      </c>
      <c r="BP198" s="1693">
        <v>227.65</v>
      </c>
      <c r="BQ198" s="1693">
        <v>232.64</v>
      </c>
      <c r="BR198" s="1693">
        <v>237.62</v>
      </c>
      <c r="BS198" s="1693">
        <v>242.61</v>
      </c>
      <c r="BT198" s="1693">
        <v>247.6</v>
      </c>
      <c r="BU198" s="1694">
        <v>252.58</v>
      </c>
      <c r="BV198" s="1694">
        <v>257.57</v>
      </c>
      <c r="BW198" s="1694">
        <v>262.55</v>
      </c>
      <c r="BX198" s="1695">
        <v>267.54000000000002</v>
      </c>
      <c r="BY198" s="1696">
        <v>272.52999999999997</v>
      </c>
      <c r="BZ198" s="1696">
        <v>277.51</v>
      </c>
      <c r="CA198" s="1695">
        <v>282.5</v>
      </c>
      <c r="CB198" s="1695">
        <v>287.48</v>
      </c>
      <c r="CC198" s="1704">
        <v>292.47000000000003</v>
      </c>
      <c r="CD198" s="1697">
        <v>297.45</v>
      </c>
      <c r="CE198" s="1698">
        <v>302.44</v>
      </c>
      <c r="CF198" s="1699">
        <v>307.43</v>
      </c>
      <c r="CG198" s="1699">
        <v>312.41000000000003</v>
      </c>
      <c r="CH198" s="1699">
        <v>317.39999999999998</v>
      </c>
      <c r="CI198" s="1699">
        <v>322.38</v>
      </c>
      <c r="CJ198" s="1699">
        <v>327.37</v>
      </c>
      <c r="CK198" s="1700">
        <v>283.11</v>
      </c>
      <c r="CL198" s="1700">
        <v>288.08999999999997</v>
      </c>
      <c r="CM198" s="1700">
        <v>293.08</v>
      </c>
      <c r="CN198" s="1700">
        <v>298.07</v>
      </c>
      <c r="CO198" s="1705">
        <v>303.05</v>
      </c>
      <c r="CP198" s="1706">
        <v>308.04000000000002</v>
      </c>
      <c r="CQ198" s="1701">
        <v>312.02</v>
      </c>
      <c r="CR198" s="1701">
        <v>318.01</v>
      </c>
      <c r="CS198" s="1707">
        <v>323</v>
      </c>
      <c r="CT198" s="1700">
        <v>327.98</v>
      </c>
      <c r="CU198" s="1700">
        <v>332.97</v>
      </c>
      <c r="CV198" s="1461">
        <v>337.95</v>
      </c>
      <c r="CW198" s="1700">
        <v>342.94</v>
      </c>
      <c r="CX198" s="1700">
        <v>347.92</v>
      </c>
      <c r="CY198" s="1700">
        <v>352.91</v>
      </c>
      <c r="CZ198" s="1700">
        <v>357.9</v>
      </c>
      <c r="DA198" s="1700">
        <v>362.88</v>
      </c>
      <c r="DB198" s="1700">
        <v>367.87</v>
      </c>
      <c r="DC198" s="1700">
        <v>372.85</v>
      </c>
      <c r="DD198" s="1700">
        <v>377.84</v>
      </c>
      <c r="DE198" s="1700">
        <v>382.83</v>
      </c>
      <c r="DF198" s="1700">
        <v>387.81</v>
      </c>
      <c r="DG198" s="1700">
        <v>392.8</v>
      </c>
      <c r="DH198" s="1700">
        <v>397.78</v>
      </c>
      <c r="DI198" s="1700">
        <v>402.77</v>
      </c>
      <c r="DJ198" s="1700">
        <v>407.75</v>
      </c>
      <c r="DK198" s="1700">
        <v>412.74</v>
      </c>
      <c r="DL198" s="1700">
        <v>417.73</v>
      </c>
      <c r="DM198" s="1700">
        <v>422.71</v>
      </c>
      <c r="DN198" s="1700">
        <v>427.7</v>
      </c>
      <c r="DO198" s="1700">
        <v>432.68</v>
      </c>
      <c r="DP198" s="1700">
        <v>437.67</v>
      </c>
      <c r="DQ198" s="1700">
        <v>442.65</v>
      </c>
      <c r="DR198" s="1700">
        <v>447.64</v>
      </c>
      <c r="DS198" s="1700"/>
      <c r="DT198" s="1700"/>
      <c r="DU198" s="1700"/>
      <c r="DV198" s="1700"/>
      <c r="DW198" s="1700"/>
      <c r="DX198" s="1700"/>
    </row>
    <row r="199" spans="1:128">
      <c r="A199" s="1622"/>
      <c r="B199" s="1691">
        <f t="shared" ref="B199:B204" si="19">B198+1</f>
        <v>195</v>
      </c>
      <c r="C199" s="1668" t="str">
        <f t="shared" si="16"/>
        <v>523.59</v>
      </c>
      <c r="D199" s="1672">
        <f t="shared" si="17"/>
        <v>733.03</v>
      </c>
      <c r="E199" s="1670"/>
      <c r="F199" s="1671" t="str">
        <f t="shared" si="18"/>
        <v>328.94</v>
      </c>
      <c r="G199" s="1672">
        <f t="shared" si="15"/>
        <v>460.52</v>
      </c>
      <c r="H199" s="1670"/>
      <c r="I199" s="1670"/>
      <c r="J199" s="1708">
        <v>195</v>
      </c>
      <c r="K199" s="1693">
        <v>381.63</v>
      </c>
      <c r="L199" s="1693">
        <v>388.73</v>
      </c>
      <c r="M199" s="1693">
        <v>395.83</v>
      </c>
      <c r="N199" s="1693">
        <v>402.93</v>
      </c>
      <c r="O199" s="1693">
        <v>410.02</v>
      </c>
      <c r="P199" s="1694">
        <v>417.12</v>
      </c>
      <c r="Q199" s="1694">
        <v>424.22</v>
      </c>
      <c r="R199" s="1694">
        <v>431.32</v>
      </c>
      <c r="S199" s="1695">
        <v>438.42</v>
      </c>
      <c r="T199" s="1696">
        <v>445.51</v>
      </c>
      <c r="U199" s="1696">
        <v>452.61</v>
      </c>
      <c r="V199" s="1695">
        <v>459.71</v>
      </c>
      <c r="W199" s="1695">
        <v>466.81</v>
      </c>
      <c r="X199" s="1695">
        <v>473.91</v>
      </c>
      <c r="Y199" s="1697">
        <v>481</v>
      </c>
      <c r="Z199" s="1698">
        <v>488.1</v>
      </c>
      <c r="AA199" s="1699">
        <v>495.2</v>
      </c>
      <c r="AB199" s="1699">
        <v>502.3</v>
      </c>
      <c r="AC199" s="1699">
        <v>509.4</v>
      </c>
      <c r="AD199" s="1699">
        <v>516.49</v>
      </c>
      <c r="AE199" s="1699">
        <v>523.59</v>
      </c>
      <c r="AF199" s="1700">
        <v>431.81</v>
      </c>
      <c r="AG199" s="1700">
        <v>438.9</v>
      </c>
      <c r="AH199" s="1700">
        <v>446</v>
      </c>
      <c r="AI199" s="1700">
        <v>453.1</v>
      </c>
      <c r="AJ199" s="1701">
        <v>460.2</v>
      </c>
      <c r="AK199" s="1701">
        <v>467.3</v>
      </c>
      <c r="AL199" s="1701">
        <v>474.39</v>
      </c>
      <c r="AM199" s="1701">
        <v>481.49</v>
      </c>
      <c r="AN199" s="1701">
        <v>488.59</v>
      </c>
      <c r="AO199" s="1702">
        <v>495.69</v>
      </c>
      <c r="AP199" s="1700">
        <v>502.79</v>
      </c>
      <c r="AQ199" s="1700">
        <v>509.88</v>
      </c>
      <c r="AR199" s="1683">
        <v>516.98</v>
      </c>
      <c r="AS199" s="1700">
        <v>524.08000000000004</v>
      </c>
      <c r="AT199" s="1700">
        <v>531.17999999999995</v>
      </c>
      <c r="AU199" s="1700">
        <v>538.28</v>
      </c>
      <c r="AV199" s="1700">
        <v>545.37</v>
      </c>
      <c r="AW199" s="1700">
        <v>552.47</v>
      </c>
      <c r="AX199" s="1700">
        <v>559.57000000000005</v>
      </c>
      <c r="AY199" s="1700">
        <v>566.66999999999996</v>
      </c>
      <c r="AZ199" s="1700">
        <v>573.77</v>
      </c>
      <c r="BA199" s="1700">
        <v>580.86</v>
      </c>
      <c r="BB199" s="1683">
        <v>587.96</v>
      </c>
      <c r="BC199" s="1700">
        <v>595.05999999999995</v>
      </c>
      <c r="BD199" s="1700">
        <v>602.16</v>
      </c>
      <c r="BE199" s="1700">
        <v>609.26</v>
      </c>
      <c r="BF199" s="1700">
        <v>616.35</v>
      </c>
      <c r="BG199" s="1700">
        <v>623.45000000000005</v>
      </c>
      <c r="BH199" s="1700">
        <v>630.54999999999995</v>
      </c>
      <c r="BI199" s="1700">
        <v>637.65</v>
      </c>
      <c r="BJ199" s="1700">
        <v>644.75</v>
      </c>
      <c r="BK199" s="1700">
        <v>651.84</v>
      </c>
      <c r="BL199" s="1700">
        <v>658.94</v>
      </c>
      <c r="BM199" s="1700">
        <v>666.04</v>
      </c>
      <c r="BN199" s="1700"/>
      <c r="BO199" s="1703">
        <v>195</v>
      </c>
      <c r="BP199" s="1693">
        <v>228.71</v>
      </c>
      <c r="BQ199" s="1693">
        <v>233.72</v>
      </c>
      <c r="BR199" s="1693">
        <v>238.73</v>
      </c>
      <c r="BS199" s="1693">
        <v>243.74</v>
      </c>
      <c r="BT199" s="1693">
        <v>248.76</v>
      </c>
      <c r="BU199" s="1694">
        <v>253.77</v>
      </c>
      <c r="BV199" s="1694">
        <v>258.77999999999997</v>
      </c>
      <c r="BW199" s="1694">
        <v>263.79000000000002</v>
      </c>
      <c r="BX199" s="1695">
        <v>268.8</v>
      </c>
      <c r="BY199" s="1696">
        <v>273.81</v>
      </c>
      <c r="BZ199" s="1696">
        <v>278.82</v>
      </c>
      <c r="CA199" s="1695">
        <v>283.83999999999997</v>
      </c>
      <c r="CB199" s="1695">
        <v>288.85000000000002</v>
      </c>
      <c r="CC199" s="1704">
        <v>293.86</v>
      </c>
      <c r="CD199" s="1697">
        <v>298.87</v>
      </c>
      <c r="CE199" s="1698">
        <v>303.88</v>
      </c>
      <c r="CF199" s="1699">
        <v>308.89</v>
      </c>
      <c r="CG199" s="1699">
        <v>313.91000000000003</v>
      </c>
      <c r="CH199" s="1699">
        <v>318.92</v>
      </c>
      <c r="CI199" s="1699">
        <v>323.93</v>
      </c>
      <c r="CJ199" s="1699">
        <v>328.94</v>
      </c>
      <c r="CK199" s="1700">
        <v>284.5</v>
      </c>
      <c r="CL199" s="1700">
        <v>289.51</v>
      </c>
      <c r="CM199" s="1700">
        <v>294.52</v>
      </c>
      <c r="CN199" s="1700">
        <v>299.52999999999997</v>
      </c>
      <c r="CO199" s="1705">
        <v>304.54000000000002</v>
      </c>
      <c r="CP199" s="1706">
        <v>309.55</v>
      </c>
      <c r="CQ199" s="1701">
        <v>314.56</v>
      </c>
      <c r="CR199" s="1701">
        <v>319.58</v>
      </c>
      <c r="CS199" s="1707">
        <v>324.58999999999997</v>
      </c>
      <c r="CT199" s="1700">
        <v>329.6</v>
      </c>
      <c r="CU199" s="1700">
        <v>334.61</v>
      </c>
      <c r="CV199" s="1700">
        <v>339.62</v>
      </c>
      <c r="CW199" s="1700">
        <v>344.63</v>
      </c>
      <c r="CX199" s="1700">
        <v>349.64</v>
      </c>
      <c r="CY199" s="1700">
        <v>354.66</v>
      </c>
      <c r="CZ199" s="1700">
        <v>359.67</v>
      </c>
      <c r="DA199" s="1700">
        <v>364.68</v>
      </c>
      <c r="DB199" s="1700">
        <v>369.69</v>
      </c>
      <c r="DC199" s="1700">
        <v>374.7</v>
      </c>
      <c r="DD199" s="1700">
        <v>379.71</v>
      </c>
      <c r="DE199" s="1700">
        <v>384.73</v>
      </c>
      <c r="DF199" s="1700">
        <v>389.74</v>
      </c>
      <c r="DG199" s="1700">
        <v>394.75</v>
      </c>
      <c r="DH199" s="1700">
        <v>399.76</v>
      </c>
      <c r="DI199" s="1700">
        <v>404.77</v>
      </c>
      <c r="DJ199" s="1700">
        <v>409.78</v>
      </c>
      <c r="DK199" s="1700">
        <v>414.79</v>
      </c>
      <c r="DL199" s="1700">
        <v>419.81</v>
      </c>
      <c r="DM199" s="1700">
        <v>424.82</v>
      </c>
      <c r="DN199" s="1700">
        <v>429.83</v>
      </c>
      <c r="DO199" s="1700">
        <v>434.84</v>
      </c>
      <c r="DP199" s="1700">
        <v>439.85</v>
      </c>
      <c r="DQ199" s="1700">
        <v>444.86</v>
      </c>
      <c r="DR199" s="1700">
        <v>449.87</v>
      </c>
      <c r="DS199" s="1700"/>
      <c r="DT199" s="1700"/>
      <c r="DU199" s="1700"/>
      <c r="DV199" s="1700"/>
      <c r="DW199" s="1700"/>
      <c r="DX199" s="1700"/>
    </row>
    <row r="200" spans="1:128">
      <c r="A200" s="1622"/>
      <c r="B200" s="1691">
        <f t="shared" si="19"/>
        <v>196</v>
      </c>
      <c r="C200" s="1668" t="str">
        <f t="shared" si="16"/>
        <v>525.83</v>
      </c>
      <c r="D200" s="1672">
        <f t="shared" si="17"/>
        <v>736.16</v>
      </c>
      <c r="E200" s="1670"/>
      <c r="F200" s="1671" t="str">
        <f t="shared" si="18"/>
        <v>330.68</v>
      </c>
      <c r="G200" s="1672">
        <f t="shared" si="15"/>
        <v>462.95</v>
      </c>
      <c r="H200" s="1670"/>
      <c r="I200" s="1670"/>
      <c r="J200" s="1708">
        <v>196</v>
      </c>
      <c r="K200" s="1693">
        <v>383.14</v>
      </c>
      <c r="L200" s="1693">
        <v>390.27</v>
      </c>
      <c r="M200" s="1693">
        <v>397.41</v>
      </c>
      <c r="N200" s="1693">
        <v>404.54</v>
      </c>
      <c r="O200" s="1693">
        <v>411.68</v>
      </c>
      <c r="P200" s="1694">
        <v>418.81</v>
      </c>
      <c r="Q200" s="1694">
        <v>425.95</v>
      </c>
      <c r="R200" s="1694">
        <v>433.08</v>
      </c>
      <c r="S200" s="1695">
        <v>440.21</v>
      </c>
      <c r="T200" s="1696">
        <v>447.35</v>
      </c>
      <c r="U200" s="1696">
        <v>454.48</v>
      </c>
      <c r="V200" s="1695">
        <v>461.62</v>
      </c>
      <c r="W200" s="1695">
        <v>468.75</v>
      </c>
      <c r="X200" s="1695">
        <v>475.89</v>
      </c>
      <c r="Y200" s="1697">
        <v>483.02</v>
      </c>
      <c r="Z200" s="1698">
        <v>490.16</v>
      </c>
      <c r="AA200" s="1699">
        <v>497.29</v>
      </c>
      <c r="AB200" s="1699">
        <v>504.42</v>
      </c>
      <c r="AC200" s="1699">
        <v>511.56</v>
      </c>
      <c r="AD200" s="1699">
        <v>518.69000000000005</v>
      </c>
      <c r="AE200" s="1699">
        <v>525.83000000000004</v>
      </c>
      <c r="AF200" s="1683">
        <v>433.76</v>
      </c>
      <c r="AG200" s="1683">
        <v>440.89</v>
      </c>
      <c r="AH200" s="1683">
        <v>448.03</v>
      </c>
      <c r="AI200" s="1683">
        <v>455.16</v>
      </c>
      <c r="AJ200" s="1701">
        <v>462.3</v>
      </c>
      <c r="AK200" s="1701">
        <v>469.43</v>
      </c>
      <c r="AL200" s="1701">
        <v>476.57</v>
      </c>
      <c r="AM200" s="1701">
        <v>483.7</v>
      </c>
      <c r="AN200" s="1701">
        <v>490.83</v>
      </c>
      <c r="AO200" s="1702">
        <v>497.97</v>
      </c>
      <c r="AP200" s="1700">
        <v>505.1</v>
      </c>
      <c r="AQ200" s="1700">
        <v>512.24</v>
      </c>
      <c r="AR200" s="1700">
        <v>519.37</v>
      </c>
      <c r="AS200" s="1700">
        <v>526.51</v>
      </c>
      <c r="AT200" s="1683">
        <v>533.64</v>
      </c>
      <c r="AU200" s="1700">
        <v>540.77</v>
      </c>
      <c r="AV200" s="1700">
        <v>547.91</v>
      </c>
      <c r="AW200" s="1683">
        <v>555.04</v>
      </c>
      <c r="AX200" s="1683">
        <v>562.17999999999995</v>
      </c>
      <c r="AY200" s="1683">
        <v>569.30999999999995</v>
      </c>
      <c r="AZ200" s="1683">
        <v>576.45000000000005</v>
      </c>
      <c r="BA200" s="1683">
        <v>583.58000000000004</v>
      </c>
      <c r="BB200" s="1700">
        <v>590.72</v>
      </c>
      <c r="BC200" s="1683">
        <v>597.85</v>
      </c>
      <c r="BD200" s="1683">
        <v>604.98</v>
      </c>
      <c r="BE200" s="1683">
        <v>612.12</v>
      </c>
      <c r="BF200" s="1683">
        <v>619.25</v>
      </c>
      <c r="BG200" s="1683">
        <v>626.39</v>
      </c>
      <c r="BH200" s="1683">
        <v>633.52</v>
      </c>
      <c r="BI200" s="1683">
        <v>640.66</v>
      </c>
      <c r="BJ200" s="1683">
        <v>647.79</v>
      </c>
      <c r="BK200" s="1683">
        <v>654.92999999999995</v>
      </c>
      <c r="BL200" s="1683">
        <v>662.06</v>
      </c>
      <c r="BM200" s="1683">
        <v>669.19</v>
      </c>
      <c r="BN200" s="1683"/>
      <c r="BO200" s="1703">
        <v>196</v>
      </c>
      <c r="BP200" s="1693">
        <v>229.93</v>
      </c>
      <c r="BQ200" s="1693">
        <v>234.97</v>
      </c>
      <c r="BR200" s="1693">
        <v>240.01</v>
      </c>
      <c r="BS200" s="1693">
        <v>245.04</v>
      </c>
      <c r="BT200" s="1693">
        <v>250.08</v>
      </c>
      <c r="BU200" s="1694">
        <v>255.12</v>
      </c>
      <c r="BV200" s="1694">
        <v>260.16000000000003</v>
      </c>
      <c r="BW200" s="1694">
        <v>265.19</v>
      </c>
      <c r="BX200" s="1695">
        <v>270.23</v>
      </c>
      <c r="BY200" s="1696">
        <v>275.27</v>
      </c>
      <c r="BZ200" s="1696">
        <v>280.31</v>
      </c>
      <c r="CA200" s="1695">
        <v>285.33999999999997</v>
      </c>
      <c r="CB200" s="1695">
        <v>290.38</v>
      </c>
      <c r="CC200" s="1704">
        <v>295.42</v>
      </c>
      <c r="CD200" s="1697">
        <v>300.45</v>
      </c>
      <c r="CE200" s="1698">
        <v>305.49</v>
      </c>
      <c r="CF200" s="1699">
        <v>310.52999999999997</v>
      </c>
      <c r="CG200" s="1699">
        <v>315.57</v>
      </c>
      <c r="CH200" s="1699">
        <v>320.60000000000002</v>
      </c>
      <c r="CI200" s="1699">
        <v>325.64</v>
      </c>
      <c r="CJ200" s="1699">
        <v>330.68</v>
      </c>
      <c r="CK200" s="1700">
        <v>285.99</v>
      </c>
      <c r="CL200" s="1700">
        <v>291.02</v>
      </c>
      <c r="CM200" s="1700">
        <v>296.06</v>
      </c>
      <c r="CN200" s="1700">
        <v>301.10000000000002</v>
      </c>
      <c r="CO200" s="1705">
        <v>306.13</v>
      </c>
      <c r="CP200" s="1706">
        <v>311.17</v>
      </c>
      <c r="CQ200" s="1701">
        <v>316.20999999999998</v>
      </c>
      <c r="CR200" s="1701">
        <v>321.25</v>
      </c>
      <c r="CS200" s="1707">
        <v>326.27999999999997</v>
      </c>
      <c r="CT200" s="1700">
        <v>331.32</v>
      </c>
      <c r="CU200" s="1700">
        <v>336.36</v>
      </c>
      <c r="CV200" s="1700">
        <v>341.4</v>
      </c>
      <c r="CW200" s="1700">
        <v>346.43</v>
      </c>
      <c r="CX200" s="1700">
        <v>351.47</v>
      </c>
      <c r="CY200" s="1700">
        <v>356.51</v>
      </c>
      <c r="CZ200" s="1700">
        <v>361.54</v>
      </c>
      <c r="DA200" s="1700">
        <v>366.58</v>
      </c>
      <c r="DB200" s="1700">
        <v>371.62</v>
      </c>
      <c r="DC200" s="1700">
        <v>376.66</v>
      </c>
      <c r="DD200" s="1700">
        <v>381.69</v>
      </c>
      <c r="DE200" s="1700">
        <v>386.73</v>
      </c>
      <c r="DF200" s="1700">
        <v>391.77</v>
      </c>
      <c r="DG200" s="1700">
        <v>369.8</v>
      </c>
      <c r="DH200" s="1700">
        <v>401.84</v>
      </c>
      <c r="DI200" s="1700">
        <v>406.88</v>
      </c>
      <c r="DJ200" s="1700">
        <v>411.92</v>
      </c>
      <c r="DK200" s="1700">
        <v>416.95</v>
      </c>
      <c r="DL200" s="1700">
        <v>421.99</v>
      </c>
      <c r="DM200" s="1700">
        <v>427.03</v>
      </c>
      <c r="DN200" s="1700">
        <v>432.06</v>
      </c>
      <c r="DO200" s="1700">
        <v>437.1</v>
      </c>
      <c r="DP200" s="1700">
        <v>442.14</v>
      </c>
      <c r="DQ200" s="1700">
        <v>447.18</v>
      </c>
      <c r="DR200" s="1700">
        <v>452.21</v>
      </c>
      <c r="DS200" s="1700"/>
      <c r="DT200" s="1700"/>
      <c r="DU200" s="1700"/>
      <c r="DV200" s="1700"/>
      <c r="DW200" s="1700"/>
      <c r="DX200" s="1700"/>
    </row>
    <row r="201" spans="1:128">
      <c r="A201" s="1622"/>
      <c r="B201" s="1691">
        <f t="shared" si="19"/>
        <v>197</v>
      </c>
      <c r="C201" s="1668" t="str">
        <f t="shared" si="16"/>
        <v>528.7</v>
      </c>
      <c r="D201" s="1672">
        <f t="shared" si="17"/>
        <v>740.18</v>
      </c>
      <c r="E201" s="1670"/>
      <c r="F201" s="1671" t="str">
        <f t="shared" si="18"/>
        <v>332.42</v>
      </c>
      <c r="G201" s="1672">
        <f t="shared" si="15"/>
        <v>465.39</v>
      </c>
      <c r="H201" s="1670"/>
      <c r="I201" s="1670"/>
      <c r="J201" s="1708">
        <v>197</v>
      </c>
      <c r="K201" s="1693">
        <v>385.29</v>
      </c>
      <c r="L201" s="1693">
        <v>392.46</v>
      </c>
      <c r="M201" s="1693">
        <v>399.63</v>
      </c>
      <c r="N201" s="1693">
        <v>406.8</v>
      </c>
      <c r="O201" s="1693">
        <v>413.97</v>
      </c>
      <c r="P201" s="1694">
        <v>421.14</v>
      </c>
      <c r="Q201" s="1694">
        <v>428.31</v>
      </c>
      <c r="R201" s="1694">
        <v>435.48</v>
      </c>
      <c r="S201" s="1695">
        <v>442.65</v>
      </c>
      <c r="T201" s="1696">
        <v>449.82</v>
      </c>
      <c r="U201" s="1696">
        <v>456.99</v>
      </c>
      <c r="V201" s="1695">
        <v>464.17</v>
      </c>
      <c r="W201" s="1695">
        <v>471.34</v>
      </c>
      <c r="X201" s="1695">
        <v>478.51</v>
      </c>
      <c r="Y201" s="1697">
        <v>485.68</v>
      </c>
      <c r="Z201" s="1698">
        <v>492.85</v>
      </c>
      <c r="AA201" s="1699">
        <v>500.02</v>
      </c>
      <c r="AB201" s="1699">
        <v>507.19</v>
      </c>
      <c r="AC201" s="1699">
        <v>514.36</v>
      </c>
      <c r="AD201" s="1699">
        <v>521.53</v>
      </c>
      <c r="AE201" s="1699">
        <v>528.70000000000005</v>
      </c>
      <c r="AF201" s="1700">
        <v>436.08</v>
      </c>
      <c r="AG201" s="1700">
        <v>443.25</v>
      </c>
      <c r="AH201" s="1700">
        <v>450.43</v>
      </c>
      <c r="AI201" s="1700">
        <v>457.6</v>
      </c>
      <c r="AJ201" s="1701">
        <v>464.77</v>
      </c>
      <c r="AK201" s="1701">
        <v>471.94</v>
      </c>
      <c r="AL201" s="1701">
        <v>479.11</v>
      </c>
      <c r="AM201" s="1701">
        <v>486.28</v>
      </c>
      <c r="AN201" s="1701">
        <v>493.45</v>
      </c>
      <c r="AO201" s="1702">
        <v>500.62</v>
      </c>
      <c r="AP201" s="1700">
        <v>507.79</v>
      </c>
      <c r="AQ201" s="1700">
        <v>514.96</v>
      </c>
      <c r="AR201" s="1683">
        <v>522.13</v>
      </c>
      <c r="AS201" s="1700">
        <v>529.29999999999995</v>
      </c>
      <c r="AT201" s="1700">
        <v>536.48</v>
      </c>
      <c r="AU201" s="1700">
        <v>543.65</v>
      </c>
      <c r="AV201" s="1683">
        <v>550.82000000000005</v>
      </c>
      <c r="AW201" s="1700">
        <v>557.99</v>
      </c>
      <c r="AX201" s="1700">
        <v>565.16</v>
      </c>
      <c r="AY201" s="1700">
        <v>572.33000000000004</v>
      </c>
      <c r="AZ201" s="1700">
        <v>579.5</v>
      </c>
      <c r="BA201" s="1700">
        <v>586.66999999999996</v>
      </c>
      <c r="BB201" s="1700">
        <v>593.84</v>
      </c>
      <c r="BC201" s="1700">
        <v>601.01</v>
      </c>
      <c r="BD201" s="1700">
        <v>608.17999999999995</v>
      </c>
      <c r="BE201" s="1700">
        <v>615.35</v>
      </c>
      <c r="BF201" s="1700">
        <v>622.52</v>
      </c>
      <c r="BG201" s="1700">
        <v>629.70000000000005</v>
      </c>
      <c r="BH201" s="1700">
        <v>636.87</v>
      </c>
      <c r="BI201" s="1700">
        <v>644.04</v>
      </c>
      <c r="BJ201" s="1700">
        <v>651.21</v>
      </c>
      <c r="BK201" s="1700">
        <v>658.38</v>
      </c>
      <c r="BL201" s="1700">
        <v>665.55</v>
      </c>
      <c r="BM201" s="1700">
        <v>672.72</v>
      </c>
      <c r="BN201" s="1700"/>
      <c r="BO201" s="1703">
        <v>197</v>
      </c>
      <c r="BP201" s="1693">
        <v>231.16</v>
      </c>
      <c r="BQ201" s="1693">
        <v>236.22</v>
      </c>
      <c r="BR201" s="1693">
        <v>241.28</v>
      </c>
      <c r="BS201" s="1693">
        <v>246.35</v>
      </c>
      <c r="BT201" s="1693">
        <v>251.41</v>
      </c>
      <c r="BU201" s="1694">
        <v>256.47000000000003</v>
      </c>
      <c r="BV201" s="1694">
        <v>261.54000000000002</v>
      </c>
      <c r="BW201" s="1694">
        <v>266.60000000000002</v>
      </c>
      <c r="BX201" s="1695">
        <v>271.66000000000003</v>
      </c>
      <c r="BY201" s="1696">
        <v>276.73</v>
      </c>
      <c r="BZ201" s="1696">
        <v>281.79000000000002</v>
      </c>
      <c r="CA201" s="1695">
        <v>286.85000000000002</v>
      </c>
      <c r="CB201" s="1695">
        <v>291.91000000000003</v>
      </c>
      <c r="CC201" s="1704">
        <v>296.98</v>
      </c>
      <c r="CD201" s="1697">
        <v>302.04000000000002</v>
      </c>
      <c r="CE201" s="1698">
        <v>307.10000000000002</v>
      </c>
      <c r="CF201" s="1699">
        <v>312.17</v>
      </c>
      <c r="CG201" s="1699">
        <v>317.23</v>
      </c>
      <c r="CH201" s="1699">
        <v>322.29000000000002</v>
      </c>
      <c r="CI201" s="1699">
        <v>327.35000000000002</v>
      </c>
      <c r="CJ201" s="1699">
        <v>332.42</v>
      </c>
      <c r="CK201" s="1700">
        <v>287.48</v>
      </c>
      <c r="CL201" s="1700">
        <v>292.54000000000002</v>
      </c>
      <c r="CM201" s="1700">
        <v>297.60000000000002</v>
      </c>
      <c r="CN201" s="1700">
        <v>302.67</v>
      </c>
      <c r="CO201" s="1705">
        <v>307.73</v>
      </c>
      <c r="CP201" s="1706">
        <v>312.79000000000002</v>
      </c>
      <c r="CQ201" s="1701">
        <v>317.86</v>
      </c>
      <c r="CR201" s="1701">
        <v>322.92</v>
      </c>
      <c r="CS201" s="1707">
        <v>327.98</v>
      </c>
      <c r="CT201" s="1700">
        <v>333.04</v>
      </c>
      <c r="CU201" s="1700">
        <v>338.11</v>
      </c>
      <c r="CV201" s="1700">
        <v>343.17</v>
      </c>
      <c r="CW201" s="1700">
        <v>348.23</v>
      </c>
      <c r="CX201" s="1700">
        <v>353.3</v>
      </c>
      <c r="CY201" s="1700">
        <v>358.36</v>
      </c>
      <c r="CZ201" s="1700">
        <v>363.42</v>
      </c>
      <c r="DA201" s="1700">
        <v>368.48</v>
      </c>
      <c r="DB201" s="1700">
        <v>373.55</v>
      </c>
      <c r="DC201" s="1700">
        <v>378.61</v>
      </c>
      <c r="DD201" s="1700">
        <v>383.67</v>
      </c>
      <c r="DE201" s="1700">
        <v>388.74</v>
      </c>
      <c r="DF201" s="1700">
        <v>393.8</v>
      </c>
      <c r="DG201" s="1700">
        <v>398.86</v>
      </c>
      <c r="DH201" s="1700">
        <v>403.92</v>
      </c>
      <c r="DI201" s="1700">
        <v>408.99</v>
      </c>
      <c r="DJ201" s="1700">
        <v>414.05</v>
      </c>
      <c r="DK201" s="1700">
        <v>419.11</v>
      </c>
      <c r="DL201" s="1700">
        <v>424.18</v>
      </c>
      <c r="DM201" s="1700">
        <v>429.24</v>
      </c>
      <c r="DN201" s="1700">
        <v>434.3</v>
      </c>
      <c r="DO201" s="1700">
        <v>439.36</v>
      </c>
      <c r="DP201" s="1700">
        <v>444.43</v>
      </c>
      <c r="DQ201" s="1700">
        <v>449.49</v>
      </c>
      <c r="DR201" s="1700">
        <v>454.55</v>
      </c>
      <c r="DS201" s="1700"/>
      <c r="DT201" s="1700"/>
      <c r="DU201" s="1700"/>
      <c r="DV201" s="1700"/>
      <c r="DW201" s="1700"/>
      <c r="DX201" s="1700"/>
    </row>
    <row r="202" spans="1:128">
      <c r="A202" s="1622"/>
      <c r="B202" s="1691">
        <f t="shared" si="19"/>
        <v>198</v>
      </c>
      <c r="C202" s="1668" t="str">
        <f t="shared" si="16"/>
        <v>531.59</v>
      </c>
      <c r="D202" s="1672">
        <f t="shared" si="17"/>
        <v>744.23</v>
      </c>
      <c r="E202" s="1670"/>
      <c r="F202" s="1671" t="str">
        <f t="shared" si="18"/>
        <v>333.99</v>
      </c>
      <c r="G202" s="1672">
        <f t="shared" si="15"/>
        <v>467.59</v>
      </c>
      <c r="H202" s="1670"/>
      <c r="I202" s="1670"/>
      <c r="J202" s="1708">
        <v>198</v>
      </c>
      <c r="K202" s="1693">
        <v>387.44</v>
      </c>
      <c r="L202" s="1693">
        <v>394.65</v>
      </c>
      <c r="M202" s="1693">
        <v>401.86</v>
      </c>
      <c r="N202" s="1693">
        <v>409.07</v>
      </c>
      <c r="O202" s="1693">
        <v>416.27</v>
      </c>
      <c r="P202" s="1694">
        <v>423.48</v>
      </c>
      <c r="Q202" s="1694">
        <v>430.69</v>
      </c>
      <c r="R202" s="1694">
        <v>437.89</v>
      </c>
      <c r="S202" s="1695">
        <v>445.1</v>
      </c>
      <c r="T202" s="1696">
        <v>452.31</v>
      </c>
      <c r="U202" s="1696">
        <v>459.52</v>
      </c>
      <c r="V202" s="1695">
        <v>466.72</v>
      </c>
      <c r="W202" s="1695">
        <v>473.93</v>
      </c>
      <c r="X202" s="1695">
        <v>481.14</v>
      </c>
      <c r="Y202" s="1697">
        <v>488.34</v>
      </c>
      <c r="Z202" s="1698">
        <v>495.55</v>
      </c>
      <c r="AA202" s="1699">
        <v>502.76</v>
      </c>
      <c r="AB202" s="1699">
        <v>509.97</v>
      </c>
      <c r="AC202" s="1699">
        <v>517.16999999999996</v>
      </c>
      <c r="AD202" s="1699">
        <v>524.38</v>
      </c>
      <c r="AE202" s="1699">
        <v>531.59</v>
      </c>
      <c r="AF202" s="1700">
        <v>438.42</v>
      </c>
      <c r="AG202" s="1700">
        <v>445.62</v>
      </c>
      <c r="AH202" s="1700">
        <v>452.83</v>
      </c>
      <c r="AI202" s="1700">
        <v>460.04</v>
      </c>
      <c r="AJ202" s="1701">
        <v>467.24</v>
      </c>
      <c r="AK202" s="1701">
        <v>474.45</v>
      </c>
      <c r="AL202" s="1701">
        <v>481.66</v>
      </c>
      <c r="AM202" s="1701">
        <v>488.87</v>
      </c>
      <c r="AN202" s="1701">
        <v>496.07</v>
      </c>
      <c r="AO202" s="1702">
        <v>503.28</v>
      </c>
      <c r="AP202" s="1700">
        <v>510.49</v>
      </c>
      <c r="AQ202" s="1700">
        <v>517.69000000000005</v>
      </c>
      <c r="AR202" s="1700">
        <v>524.9</v>
      </c>
      <c r="AS202" s="1700">
        <v>532.11</v>
      </c>
      <c r="AT202" s="1700">
        <v>539.32000000000005</v>
      </c>
      <c r="AU202" s="1700">
        <v>546.52</v>
      </c>
      <c r="AV202" s="1700">
        <v>553.73</v>
      </c>
      <c r="AW202" s="1700">
        <v>560.97</v>
      </c>
      <c r="AX202" s="1700">
        <v>568.14</v>
      </c>
      <c r="AY202" s="1700">
        <v>575.35</v>
      </c>
      <c r="AZ202" s="1700">
        <v>582.55999999999995</v>
      </c>
      <c r="BA202" s="1700">
        <v>589.77</v>
      </c>
      <c r="BB202" s="1683">
        <v>596.97</v>
      </c>
      <c r="BC202" s="1700">
        <v>604.17999999999995</v>
      </c>
      <c r="BD202" s="1700">
        <v>611.39</v>
      </c>
      <c r="BE202" s="1700">
        <v>618.6</v>
      </c>
      <c r="BF202" s="1700">
        <v>625.79999999999995</v>
      </c>
      <c r="BG202" s="1700">
        <v>633.01</v>
      </c>
      <c r="BH202" s="1700">
        <v>640.22</v>
      </c>
      <c r="BI202" s="1700">
        <v>647.41999999999996</v>
      </c>
      <c r="BJ202" s="1700">
        <v>654.63</v>
      </c>
      <c r="BK202" s="1700">
        <v>661.84</v>
      </c>
      <c r="BL202" s="1700">
        <v>669.05</v>
      </c>
      <c r="BM202" s="1700">
        <v>676.25</v>
      </c>
      <c r="BN202" s="1700"/>
      <c r="BO202" s="1703">
        <v>198</v>
      </c>
      <c r="BP202" s="1693">
        <v>232.22</v>
      </c>
      <c r="BQ202" s="1693">
        <v>237.3</v>
      </c>
      <c r="BR202" s="1693">
        <v>242.39</v>
      </c>
      <c r="BS202" s="1693">
        <v>247.48</v>
      </c>
      <c r="BT202" s="1693">
        <v>252.57</v>
      </c>
      <c r="BU202" s="1694">
        <v>257.66000000000003</v>
      </c>
      <c r="BV202" s="1694">
        <v>262.75</v>
      </c>
      <c r="BW202" s="1694">
        <v>267.83999999999997</v>
      </c>
      <c r="BX202" s="1695">
        <v>272.92</v>
      </c>
      <c r="BY202" s="1696">
        <v>278.01</v>
      </c>
      <c r="BZ202" s="1696">
        <v>283.10000000000002</v>
      </c>
      <c r="CA202" s="1695">
        <v>288.19</v>
      </c>
      <c r="CB202" s="1695">
        <v>293.27999999999997</v>
      </c>
      <c r="CC202" s="1704">
        <v>298.37</v>
      </c>
      <c r="CD202" s="1697">
        <v>303.45999999999998</v>
      </c>
      <c r="CE202" s="1698">
        <v>308.54000000000002</v>
      </c>
      <c r="CF202" s="1699">
        <v>313.63</v>
      </c>
      <c r="CG202" s="1699">
        <v>318.72000000000003</v>
      </c>
      <c r="CH202" s="1699">
        <v>323.81</v>
      </c>
      <c r="CI202" s="1699">
        <v>328.9</v>
      </c>
      <c r="CJ202" s="1699">
        <v>333.99</v>
      </c>
      <c r="CK202" s="1700">
        <v>288.86</v>
      </c>
      <c r="CL202" s="1700">
        <v>293.95</v>
      </c>
      <c r="CM202" s="1700">
        <v>299.04000000000002</v>
      </c>
      <c r="CN202" s="1700">
        <v>304.13</v>
      </c>
      <c r="CO202" s="1705">
        <v>309.22000000000003</v>
      </c>
      <c r="CP202" s="1706">
        <v>314.31</v>
      </c>
      <c r="CQ202" s="1701">
        <v>319.39999999999998</v>
      </c>
      <c r="CR202" s="1701">
        <v>324.48</v>
      </c>
      <c r="CS202" s="1712">
        <v>329.57</v>
      </c>
      <c r="CT202" s="1700">
        <v>334.66</v>
      </c>
      <c r="CU202" s="1700">
        <v>339.75</v>
      </c>
      <c r="CV202" s="1700">
        <v>344.84</v>
      </c>
      <c r="CW202" s="1700">
        <v>349.93</v>
      </c>
      <c r="CX202" s="1700">
        <v>355.02</v>
      </c>
      <c r="CY202" s="1700">
        <v>360.1</v>
      </c>
      <c r="CZ202" s="1700">
        <v>365.19</v>
      </c>
      <c r="DA202" s="1700">
        <v>370.28</v>
      </c>
      <c r="DB202" s="1700">
        <v>375.37</v>
      </c>
      <c r="DC202" s="1700">
        <v>380.46</v>
      </c>
      <c r="DD202" s="1700">
        <v>385.55</v>
      </c>
      <c r="DE202" s="1700">
        <v>390.64</v>
      </c>
      <c r="DF202" s="1700">
        <v>395.72</v>
      </c>
      <c r="DG202" s="1700">
        <v>400.81</v>
      </c>
      <c r="DH202" s="1700">
        <v>405.9</v>
      </c>
      <c r="DI202" s="1700">
        <v>410.99</v>
      </c>
      <c r="DJ202" s="1700">
        <v>416.08</v>
      </c>
      <c r="DK202" s="1700">
        <v>421.17</v>
      </c>
      <c r="DL202" s="1700">
        <v>426.26</v>
      </c>
      <c r="DM202" s="1700">
        <v>431.34</v>
      </c>
      <c r="DN202" s="1700">
        <v>436.43</v>
      </c>
      <c r="DO202" s="1700">
        <v>441.52</v>
      </c>
      <c r="DP202" s="1700">
        <v>446.61</v>
      </c>
      <c r="DQ202" s="1700">
        <v>451.7</v>
      </c>
      <c r="DR202" s="1700">
        <v>456.79</v>
      </c>
      <c r="DS202" s="1700"/>
      <c r="DT202" s="1700"/>
      <c r="DU202" s="1700"/>
      <c r="DV202" s="1700"/>
      <c r="DW202" s="1700"/>
      <c r="DX202" s="1700"/>
    </row>
    <row r="203" spans="1:128">
      <c r="A203" s="1622"/>
      <c r="B203" s="1691">
        <f t="shared" si="19"/>
        <v>199</v>
      </c>
      <c r="C203" s="1668" t="str">
        <f t="shared" si="16"/>
        <v>533.82</v>
      </c>
      <c r="D203" s="1672">
        <f t="shared" si="17"/>
        <v>747.35</v>
      </c>
      <c r="E203" s="1670"/>
      <c r="F203" s="1671" t="str">
        <f t="shared" si="18"/>
        <v>335.73</v>
      </c>
      <c r="G203" s="1672">
        <f t="shared" si="15"/>
        <v>470.02</v>
      </c>
      <c r="H203" s="1670"/>
      <c r="I203" s="1670"/>
      <c r="J203" s="1708">
        <v>199</v>
      </c>
      <c r="K203" s="1693">
        <v>388.95</v>
      </c>
      <c r="L203" s="1693">
        <v>396.19</v>
      </c>
      <c r="M203" s="1693">
        <v>403.44</v>
      </c>
      <c r="N203" s="1693">
        <v>410.68</v>
      </c>
      <c r="O203" s="1693">
        <v>417.93</v>
      </c>
      <c r="P203" s="1694">
        <v>425.17</v>
      </c>
      <c r="Q203" s="1694">
        <v>432.41</v>
      </c>
      <c r="R203" s="1694">
        <v>439.66</v>
      </c>
      <c r="S203" s="1695">
        <v>446.9</v>
      </c>
      <c r="T203" s="1696">
        <v>454.14</v>
      </c>
      <c r="U203" s="1696">
        <v>461.39</v>
      </c>
      <c r="V203" s="1695">
        <v>468.63</v>
      </c>
      <c r="W203" s="1695">
        <v>475.87</v>
      </c>
      <c r="X203" s="1695">
        <v>483.12</v>
      </c>
      <c r="Y203" s="1697">
        <v>490.36</v>
      </c>
      <c r="Z203" s="1698">
        <v>497.6</v>
      </c>
      <c r="AA203" s="1699">
        <v>504.85</v>
      </c>
      <c r="AB203" s="1699">
        <v>512.09</v>
      </c>
      <c r="AC203" s="1699">
        <v>519.34</v>
      </c>
      <c r="AD203" s="1699">
        <v>526.58000000000004</v>
      </c>
      <c r="AE203" s="1699">
        <v>533.82000000000005</v>
      </c>
      <c r="AF203" s="1683">
        <v>440.37</v>
      </c>
      <c r="AG203" s="1683">
        <v>447.61</v>
      </c>
      <c r="AH203" s="1683">
        <v>454.85</v>
      </c>
      <c r="AI203" s="1683">
        <v>462.1</v>
      </c>
      <c r="AJ203" s="1701">
        <v>469.34</v>
      </c>
      <c r="AK203" s="1701">
        <v>476.59</v>
      </c>
      <c r="AL203" s="1701">
        <v>483.83</v>
      </c>
      <c r="AM203" s="1701">
        <v>491.07</v>
      </c>
      <c r="AN203" s="1701">
        <v>498.32</v>
      </c>
      <c r="AO203" s="1702">
        <v>505.56</v>
      </c>
      <c r="AP203" s="1700">
        <v>512.79999999999995</v>
      </c>
      <c r="AQ203" s="1700">
        <v>520.04999999999995</v>
      </c>
      <c r="AR203" s="1683">
        <v>527.29</v>
      </c>
      <c r="AS203" s="1700">
        <v>534.53</v>
      </c>
      <c r="AT203" s="1683">
        <v>541.78</v>
      </c>
      <c r="AU203" s="1700">
        <v>549.02</v>
      </c>
      <c r="AV203" s="1700">
        <v>556.26</v>
      </c>
      <c r="AW203" s="1683">
        <v>563.51</v>
      </c>
      <c r="AX203" s="1683">
        <v>570.75</v>
      </c>
      <c r="AY203" s="1683">
        <v>578</v>
      </c>
      <c r="AZ203" s="1683">
        <v>585.24</v>
      </c>
      <c r="BA203" s="1683">
        <v>592.48</v>
      </c>
      <c r="BB203" s="1700">
        <v>599.73</v>
      </c>
      <c r="BC203" s="1683">
        <v>606.97</v>
      </c>
      <c r="BD203" s="1683">
        <v>614.21</v>
      </c>
      <c r="BE203" s="1683">
        <v>621.46</v>
      </c>
      <c r="BF203" s="1683">
        <v>628.70000000000005</v>
      </c>
      <c r="BG203" s="1683">
        <v>635.94000000000005</v>
      </c>
      <c r="BH203" s="1683">
        <v>643.19000000000005</v>
      </c>
      <c r="BI203" s="1683">
        <v>650.42999999999995</v>
      </c>
      <c r="BJ203" s="1683">
        <v>657.68</v>
      </c>
      <c r="BK203" s="1683">
        <v>994.92</v>
      </c>
      <c r="BL203" s="1683">
        <v>672.16</v>
      </c>
      <c r="BM203" s="1683">
        <v>679.41</v>
      </c>
      <c r="BN203" s="1683"/>
      <c r="BO203" s="1703">
        <v>199</v>
      </c>
      <c r="BP203" s="1693">
        <v>233.44</v>
      </c>
      <c r="BQ203" s="1693">
        <v>238.56</v>
      </c>
      <c r="BR203" s="1693">
        <v>243.67</v>
      </c>
      <c r="BS203" s="1693">
        <v>248.79</v>
      </c>
      <c r="BT203" s="1693">
        <v>253.9</v>
      </c>
      <c r="BU203" s="1694">
        <v>259.02</v>
      </c>
      <c r="BV203" s="1694">
        <v>264.13</v>
      </c>
      <c r="BW203" s="1694">
        <v>269.24</v>
      </c>
      <c r="BX203" s="1695">
        <v>274.36</v>
      </c>
      <c r="BY203" s="1696">
        <v>279.47000000000003</v>
      </c>
      <c r="BZ203" s="1696">
        <v>284.58999999999997</v>
      </c>
      <c r="CA203" s="1695">
        <v>289.7</v>
      </c>
      <c r="CB203" s="1695">
        <v>294.82</v>
      </c>
      <c r="CC203" s="1704">
        <v>299.93</v>
      </c>
      <c r="CD203" s="1697">
        <v>305.04000000000002</v>
      </c>
      <c r="CE203" s="1698">
        <v>310.16000000000003</v>
      </c>
      <c r="CF203" s="1699">
        <v>315.27</v>
      </c>
      <c r="CG203" s="1699">
        <v>320.39</v>
      </c>
      <c r="CH203" s="1699">
        <v>325.5</v>
      </c>
      <c r="CI203" s="1699">
        <v>330.62</v>
      </c>
      <c r="CJ203" s="1699">
        <v>335.73</v>
      </c>
      <c r="CK203" s="1700">
        <v>290.36</v>
      </c>
      <c r="CL203" s="1700">
        <v>295.47000000000003</v>
      </c>
      <c r="CM203" s="1700">
        <v>300.58999999999997</v>
      </c>
      <c r="CN203" s="1700">
        <v>305.7</v>
      </c>
      <c r="CO203" s="1705">
        <v>310.81</v>
      </c>
      <c r="CP203" s="1706">
        <v>315.93</v>
      </c>
      <c r="CQ203" s="1701">
        <v>321.04000000000002</v>
      </c>
      <c r="CR203" s="1701">
        <v>326.16000000000003</v>
      </c>
      <c r="CS203" s="1712">
        <v>331.27</v>
      </c>
      <c r="CT203" s="1700">
        <v>336.39</v>
      </c>
      <c r="CU203" s="1700">
        <v>341.5</v>
      </c>
      <c r="CV203" s="1700">
        <v>346.62</v>
      </c>
      <c r="CW203" s="1700">
        <v>351.73</v>
      </c>
      <c r="CX203" s="1700">
        <v>356.84</v>
      </c>
      <c r="CY203" s="1700">
        <v>361.96</v>
      </c>
      <c r="CZ203" s="1700">
        <v>367.07</v>
      </c>
      <c r="DA203" s="1700">
        <v>372.19</v>
      </c>
      <c r="DB203" s="1700">
        <v>377.3</v>
      </c>
      <c r="DC203" s="1700">
        <v>382.42</v>
      </c>
      <c r="DD203" s="1700">
        <v>387.53</v>
      </c>
      <c r="DE203" s="1700">
        <v>392.64</v>
      </c>
      <c r="DF203" s="1700">
        <v>397.76</v>
      </c>
      <c r="DG203" s="1700">
        <v>402.87</v>
      </c>
      <c r="DH203" s="1700">
        <v>407.99</v>
      </c>
      <c r="DI203" s="1700">
        <v>413.1</v>
      </c>
      <c r="DJ203" s="1700">
        <v>418.22</v>
      </c>
      <c r="DK203" s="1700">
        <v>423.33</v>
      </c>
      <c r="DL203" s="1700">
        <v>428.44</v>
      </c>
      <c r="DM203" s="1700">
        <v>433.56</v>
      </c>
      <c r="DN203" s="1700">
        <v>438.67</v>
      </c>
      <c r="DO203" s="1700">
        <v>443.79</v>
      </c>
      <c r="DP203" s="1700">
        <v>448.9</v>
      </c>
      <c r="DQ203" s="1700">
        <v>454.02</v>
      </c>
      <c r="DR203" s="1700">
        <v>459.13</v>
      </c>
      <c r="DS203" s="1700"/>
      <c r="DT203" s="1700"/>
      <c r="DU203" s="1700"/>
      <c r="DV203" s="1700"/>
      <c r="DW203" s="1700"/>
      <c r="DX203" s="1700"/>
    </row>
    <row r="204" spans="1:128" ht="19.5" thickBot="1">
      <c r="A204" s="1622"/>
      <c r="B204" s="1691">
        <f t="shared" si="19"/>
        <v>200</v>
      </c>
      <c r="C204" s="1668" t="str">
        <f t="shared" si="16"/>
        <v>536.72</v>
      </c>
      <c r="D204" s="1672">
        <f t="shared" si="17"/>
        <v>751.41</v>
      </c>
      <c r="E204" s="1670"/>
      <c r="F204" s="1671" t="str">
        <f t="shared" si="18"/>
        <v>337.47</v>
      </c>
      <c r="G204" s="1672">
        <f t="shared" si="15"/>
        <v>472.46</v>
      </c>
      <c r="H204" s="1670"/>
      <c r="I204" s="1670"/>
      <c r="J204" s="1713">
        <v>200</v>
      </c>
      <c r="K204" s="1714">
        <v>391.12</v>
      </c>
      <c r="L204" s="1714">
        <v>398.4</v>
      </c>
      <c r="M204" s="1714">
        <v>405.68</v>
      </c>
      <c r="N204" s="1714">
        <v>412.96</v>
      </c>
      <c r="O204" s="1714">
        <v>420.24</v>
      </c>
      <c r="P204" s="1715">
        <v>427.52</v>
      </c>
      <c r="Q204" s="1715">
        <v>434.8</v>
      </c>
      <c r="R204" s="1715">
        <v>442.08</v>
      </c>
      <c r="S204" s="1716">
        <v>449.36</v>
      </c>
      <c r="T204" s="1717">
        <v>456.64</v>
      </c>
      <c r="U204" s="1717">
        <v>463.92</v>
      </c>
      <c r="V204" s="1716">
        <v>471.2</v>
      </c>
      <c r="W204" s="1716">
        <v>478.48</v>
      </c>
      <c r="X204" s="1716">
        <v>485.76</v>
      </c>
      <c r="Y204" s="1718">
        <v>493.04</v>
      </c>
      <c r="Z204" s="1719">
        <v>500.32</v>
      </c>
      <c r="AA204" s="1720">
        <v>507.6</v>
      </c>
      <c r="AB204" s="1720">
        <v>514.88</v>
      </c>
      <c r="AC204" s="1720">
        <v>522.16</v>
      </c>
      <c r="AD204" s="1720">
        <v>529.44000000000005</v>
      </c>
      <c r="AE204" s="1720">
        <v>536.72</v>
      </c>
      <c r="AF204" s="1700">
        <v>442.7</v>
      </c>
      <c r="AG204" s="1700">
        <v>449.98</v>
      </c>
      <c r="AH204" s="1700">
        <v>457.26</v>
      </c>
      <c r="AI204" s="1700">
        <v>464.54</v>
      </c>
      <c r="AJ204" s="1721">
        <v>471.82</v>
      </c>
      <c r="AK204" s="1721">
        <v>479.1</v>
      </c>
      <c r="AL204" s="1721">
        <v>486.38</v>
      </c>
      <c r="AM204" s="1721">
        <v>493.66</v>
      </c>
      <c r="AN204" s="1721">
        <v>500.94</v>
      </c>
      <c r="AO204" s="1722">
        <v>508.22</v>
      </c>
      <c r="AP204" s="1723">
        <v>515.5</v>
      </c>
      <c r="AQ204" s="1723">
        <v>522.78</v>
      </c>
      <c r="AR204" s="1700">
        <v>530.05999999999995</v>
      </c>
      <c r="AS204" s="1723">
        <v>537.34</v>
      </c>
      <c r="AT204" s="1700">
        <v>544.62</v>
      </c>
      <c r="AU204" s="1723">
        <v>551.9</v>
      </c>
      <c r="AV204" s="1724">
        <v>559.17999999999995</v>
      </c>
      <c r="AW204" s="1700">
        <v>566.46</v>
      </c>
      <c r="AX204" s="1700">
        <v>573.74</v>
      </c>
      <c r="AY204" s="1700">
        <v>581.02</v>
      </c>
      <c r="AZ204" s="1700">
        <v>588.29999999999995</v>
      </c>
      <c r="BA204" s="1700">
        <v>595.58000000000004</v>
      </c>
      <c r="BB204" s="1725">
        <v>602.86</v>
      </c>
      <c r="BC204" s="1700">
        <v>610.14</v>
      </c>
      <c r="BD204" s="1700">
        <v>617.41999999999996</v>
      </c>
      <c r="BE204" s="1700">
        <v>624.70000000000005</v>
      </c>
      <c r="BF204" s="1700">
        <v>631.98</v>
      </c>
      <c r="BG204" s="1700">
        <v>639.26</v>
      </c>
      <c r="BH204" s="1700">
        <v>646.54</v>
      </c>
      <c r="BI204" s="1700">
        <v>653.82000000000005</v>
      </c>
      <c r="BJ204" s="1700">
        <v>661.1</v>
      </c>
      <c r="BK204" s="1700">
        <v>668.38</v>
      </c>
      <c r="BL204" s="1700">
        <v>675.66</v>
      </c>
      <c r="BM204" s="1700">
        <v>682.94</v>
      </c>
      <c r="BN204" s="1723"/>
      <c r="BO204" s="1726">
        <v>200</v>
      </c>
      <c r="BP204" s="1714">
        <v>234.67</v>
      </c>
      <c r="BQ204" s="1714">
        <v>239.81</v>
      </c>
      <c r="BR204" s="1714">
        <v>244.95</v>
      </c>
      <c r="BS204" s="1714">
        <v>250.07</v>
      </c>
      <c r="BT204" s="1714">
        <v>255.23</v>
      </c>
      <c r="BU204" s="1715">
        <v>260.37</v>
      </c>
      <c r="BV204" s="1715">
        <v>265.51</v>
      </c>
      <c r="BW204" s="1715">
        <v>270.64999999999998</v>
      </c>
      <c r="BX204" s="1716">
        <v>275.79000000000002</v>
      </c>
      <c r="BY204" s="1717">
        <v>280.93</v>
      </c>
      <c r="BZ204" s="1717">
        <v>286.07</v>
      </c>
      <c r="CA204" s="1716">
        <v>291.20999999999998</v>
      </c>
      <c r="CB204" s="1716">
        <v>296.35000000000002</v>
      </c>
      <c r="CC204" s="1727">
        <v>301.49</v>
      </c>
      <c r="CD204" s="1718">
        <v>306.63</v>
      </c>
      <c r="CE204" s="1719">
        <v>311.77</v>
      </c>
      <c r="CF204" s="1720">
        <v>316.91000000000003</v>
      </c>
      <c r="CG204" s="1720">
        <v>322.05</v>
      </c>
      <c r="CH204" s="1720">
        <v>327.19</v>
      </c>
      <c r="CI204" s="1720">
        <v>332.33</v>
      </c>
      <c r="CJ204" s="1720">
        <v>337.47</v>
      </c>
      <c r="CK204" s="1723">
        <v>291.85000000000002</v>
      </c>
      <c r="CL204" s="1723">
        <v>296.99</v>
      </c>
      <c r="CM204" s="1723">
        <v>302.13</v>
      </c>
      <c r="CN204" s="1723">
        <v>307.27</v>
      </c>
      <c r="CO204" s="1728">
        <v>312.41000000000003</v>
      </c>
      <c r="CP204" s="1729">
        <v>317.55</v>
      </c>
      <c r="CQ204" s="1721">
        <v>322.69</v>
      </c>
      <c r="CR204" s="1721">
        <v>327.83</v>
      </c>
      <c r="CS204" s="1730">
        <v>332.97</v>
      </c>
      <c r="CT204" s="1723">
        <v>338.11</v>
      </c>
      <c r="CU204" s="1723">
        <v>343.25</v>
      </c>
      <c r="CV204" s="1700">
        <v>348.39</v>
      </c>
      <c r="CW204" s="1723">
        <v>353.53</v>
      </c>
      <c r="CX204" s="1723">
        <v>358.67</v>
      </c>
      <c r="CY204" s="1723">
        <v>363.81</v>
      </c>
      <c r="CZ204" s="1723">
        <v>368.95</v>
      </c>
      <c r="DA204" s="1723">
        <v>374.09</v>
      </c>
      <c r="DB204" s="1723">
        <v>379.23</v>
      </c>
      <c r="DC204" s="1723">
        <v>384.37</v>
      </c>
      <c r="DD204" s="1725">
        <v>389.51</v>
      </c>
      <c r="DE204" s="1723">
        <v>394.65</v>
      </c>
      <c r="DF204" s="1723">
        <v>399.79</v>
      </c>
      <c r="DG204" s="1723">
        <v>404.93</v>
      </c>
      <c r="DH204" s="1723">
        <v>410.07</v>
      </c>
      <c r="DI204" s="1723">
        <v>415.21</v>
      </c>
      <c r="DJ204" s="1723">
        <v>420.35</v>
      </c>
      <c r="DK204" s="1723">
        <v>425.49</v>
      </c>
      <c r="DL204" s="1723">
        <v>430.63</v>
      </c>
      <c r="DM204" s="1723">
        <v>435.77</v>
      </c>
      <c r="DN204" s="1723">
        <v>440.91</v>
      </c>
      <c r="DO204" s="1723">
        <v>446.05</v>
      </c>
      <c r="DP204" s="1723">
        <v>451.19</v>
      </c>
      <c r="DQ204" s="1700">
        <v>456.33</v>
      </c>
      <c r="DR204" s="1723">
        <v>461.47</v>
      </c>
      <c r="DS204" s="1723"/>
      <c r="DT204" s="1723"/>
      <c r="DU204" s="1723"/>
      <c r="DV204" s="1723"/>
      <c r="DW204" s="1723"/>
      <c r="DX204" s="1723"/>
    </row>
    <row r="205" spans="1:128" ht="19.5" thickBot="1">
      <c r="A205" s="1622"/>
      <c r="B205" s="1691">
        <f>B204+1</f>
        <v>201</v>
      </c>
      <c r="C205" s="1731">
        <f t="shared" ref="C205:C268" si="20">C204+$C$1006</f>
        <v>539.41000000000008</v>
      </c>
      <c r="D205" s="1672">
        <f t="shared" si="17"/>
        <v>755.17</v>
      </c>
      <c r="E205" s="1670"/>
      <c r="F205" s="1732">
        <f t="shared" ref="F205:F268" si="21">F204+$F$1006</f>
        <v>339.16</v>
      </c>
      <c r="G205" s="1672">
        <f t="shared" si="15"/>
        <v>474.82</v>
      </c>
      <c r="H205" s="1670"/>
      <c r="I205" s="1670"/>
      <c r="J205" s="1733" t="s">
        <v>589</v>
      </c>
      <c r="K205" s="1666">
        <v>1.96</v>
      </c>
      <c r="L205" s="1661">
        <v>1.99</v>
      </c>
      <c r="M205" s="1661">
        <v>2.0299999999999998</v>
      </c>
      <c r="N205" s="1661">
        <v>2.06</v>
      </c>
      <c r="O205" s="1661">
        <v>2.1</v>
      </c>
      <c r="P205" s="1662">
        <v>2.14</v>
      </c>
      <c r="Q205" s="1662">
        <v>2.1800000000000002</v>
      </c>
      <c r="R205" s="1662">
        <v>2.21</v>
      </c>
      <c r="S205" s="1734">
        <v>2.25</v>
      </c>
      <c r="T205" s="1664">
        <v>2.29</v>
      </c>
      <c r="U205" s="1664">
        <v>2.3199999999999998</v>
      </c>
      <c r="V205" s="1734">
        <v>2.36</v>
      </c>
      <c r="W205" s="1734">
        <v>2.39</v>
      </c>
      <c r="X205" s="1734">
        <v>2.4300000000000002</v>
      </c>
      <c r="Y205" s="1735">
        <v>2.46</v>
      </c>
      <c r="Z205" s="1734">
        <v>2.5</v>
      </c>
      <c r="AA205" s="1736">
        <v>2.54</v>
      </c>
      <c r="AB205" s="1736">
        <v>2.58</v>
      </c>
      <c r="AC205" s="1736">
        <v>2.61</v>
      </c>
      <c r="AD205" s="1736">
        <v>2.65</v>
      </c>
      <c r="AE205" s="1736">
        <v>2.69</v>
      </c>
      <c r="AF205" s="1737">
        <v>2.21</v>
      </c>
      <c r="AG205" s="1737">
        <v>2.25</v>
      </c>
      <c r="AH205" s="1737">
        <v>2.29</v>
      </c>
      <c r="AI205" s="1737">
        <v>2.3199999999999998</v>
      </c>
      <c r="AJ205" s="1738">
        <v>2.36</v>
      </c>
      <c r="AK205" s="1738">
        <v>2.4</v>
      </c>
      <c r="AL205" s="1738">
        <v>2.4300000000000002</v>
      </c>
      <c r="AM205" s="1738">
        <v>2.4700000000000002</v>
      </c>
      <c r="AN205" s="1738">
        <v>2.5099999999999998</v>
      </c>
      <c r="AO205" s="1738">
        <v>2.54</v>
      </c>
      <c r="AP205" s="1737">
        <v>2.58</v>
      </c>
      <c r="AQ205" s="1737">
        <v>2.61</v>
      </c>
      <c r="AR205" s="1737">
        <v>2.65</v>
      </c>
      <c r="AS205" s="1737">
        <v>2.69</v>
      </c>
      <c r="AT205" s="1737">
        <v>2.72</v>
      </c>
      <c r="AU205" s="1737">
        <v>2.76</v>
      </c>
      <c r="AV205" s="1739">
        <v>2.8</v>
      </c>
      <c r="AW205" s="1737">
        <v>2.83</v>
      </c>
      <c r="AX205" s="1737">
        <v>2.87</v>
      </c>
      <c r="AY205" s="1737">
        <v>2.91</v>
      </c>
      <c r="AZ205" s="1737">
        <v>2.94</v>
      </c>
      <c r="BA205" s="1737">
        <v>2.98</v>
      </c>
      <c r="BB205" s="1737">
        <v>3.01</v>
      </c>
      <c r="BC205" s="1737">
        <v>3.05</v>
      </c>
      <c r="BD205" s="1737">
        <v>3.09</v>
      </c>
      <c r="BE205" s="1737">
        <v>3.12</v>
      </c>
      <c r="BF205" s="1737">
        <v>3.16</v>
      </c>
      <c r="BG205" s="1737">
        <v>3.2</v>
      </c>
      <c r="BH205" s="1737">
        <v>3.23</v>
      </c>
      <c r="BI205" s="1737">
        <v>3.27</v>
      </c>
      <c r="BJ205" s="1737">
        <v>3.31</v>
      </c>
      <c r="BK205" s="1737">
        <v>3.34</v>
      </c>
      <c r="BL205" s="1737">
        <v>3.38</v>
      </c>
      <c r="BM205" s="1737">
        <v>3.42</v>
      </c>
      <c r="BN205" s="1737"/>
      <c r="BO205" s="1740" t="s">
        <v>589</v>
      </c>
      <c r="BP205" s="1661">
        <v>1.17</v>
      </c>
      <c r="BQ205" s="1661">
        <v>1.2</v>
      </c>
      <c r="BR205" s="1661">
        <v>1.22</v>
      </c>
      <c r="BS205" s="1661">
        <v>1.25</v>
      </c>
      <c r="BT205" s="1661">
        <v>1.28</v>
      </c>
      <c r="BU205" s="1662">
        <v>1.3</v>
      </c>
      <c r="BV205" s="1662">
        <v>1.33</v>
      </c>
      <c r="BW205" s="1662">
        <v>1.35</v>
      </c>
      <c r="BX205" s="1664">
        <v>1.38</v>
      </c>
      <c r="BY205" s="1664">
        <v>1.41</v>
      </c>
      <c r="BZ205" s="1664">
        <v>1.43</v>
      </c>
      <c r="CA205" s="1664">
        <v>1.46</v>
      </c>
      <c r="CB205" s="1734">
        <v>1.48</v>
      </c>
      <c r="CC205" s="1734">
        <v>1.51</v>
      </c>
      <c r="CD205" s="1735">
        <v>1.54</v>
      </c>
      <c r="CE205" s="1741">
        <v>1.56</v>
      </c>
      <c r="CF205" s="1742">
        <v>1.59</v>
      </c>
      <c r="CG205" s="1742">
        <v>1.61</v>
      </c>
      <c r="CH205" s="1742">
        <v>1.64</v>
      </c>
      <c r="CI205" s="1742">
        <v>1.66</v>
      </c>
      <c r="CJ205" s="1742">
        <v>1.69</v>
      </c>
      <c r="CK205" s="1737">
        <v>1.46</v>
      </c>
      <c r="CL205" s="1737">
        <v>1.48</v>
      </c>
      <c r="CM205" s="1737">
        <v>1.51</v>
      </c>
      <c r="CN205" s="1737">
        <v>1.54</v>
      </c>
      <c r="CO205" s="1738">
        <v>1.56</v>
      </c>
      <c r="CP205" s="1743">
        <v>1.59</v>
      </c>
      <c r="CQ205" s="1738">
        <v>1.61</v>
      </c>
      <c r="CR205" s="1738">
        <v>1.64</v>
      </c>
      <c r="CS205" s="1743">
        <v>1.66</v>
      </c>
      <c r="CT205" s="1737">
        <v>1.69</v>
      </c>
      <c r="CU205" s="1737">
        <v>1.72</v>
      </c>
      <c r="CV205" s="1737">
        <v>1.74</v>
      </c>
      <c r="CW205" s="1737">
        <v>1.77</v>
      </c>
      <c r="CX205" s="1737">
        <v>1.79</v>
      </c>
      <c r="CY205" s="1737">
        <v>1.82</v>
      </c>
      <c r="CZ205" s="1737">
        <v>1.84</v>
      </c>
      <c r="DA205" s="1737">
        <v>1.87</v>
      </c>
      <c r="DB205" s="1737">
        <v>1.9</v>
      </c>
      <c r="DC205" s="1737">
        <v>1.92</v>
      </c>
      <c r="DD205" s="1744">
        <v>1.95</v>
      </c>
      <c r="DE205" s="1737">
        <v>1.97</v>
      </c>
      <c r="DF205" s="1737">
        <v>2</v>
      </c>
      <c r="DG205" s="1737">
        <v>2.02</v>
      </c>
      <c r="DH205" s="1737">
        <v>2.0499999999999998</v>
      </c>
      <c r="DI205" s="1737">
        <v>2.08</v>
      </c>
      <c r="DJ205" s="1737">
        <v>2.1</v>
      </c>
      <c r="DK205" s="1737">
        <v>2.13</v>
      </c>
      <c r="DL205" s="1737">
        <v>2.15</v>
      </c>
      <c r="DM205" s="1737">
        <v>2.1800000000000002</v>
      </c>
      <c r="DN205" s="1737">
        <v>2.2000000000000002</v>
      </c>
      <c r="DO205" s="1737">
        <v>2.23</v>
      </c>
      <c r="DP205" s="1737">
        <v>2.2599999999999998</v>
      </c>
      <c r="DQ205" s="1737">
        <v>2.2799999999999998</v>
      </c>
      <c r="DR205" s="1737">
        <v>2.31</v>
      </c>
      <c r="DS205" s="1737"/>
      <c r="DT205" s="1737"/>
      <c r="DU205" s="1737"/>
      <c r="DV205" s="1737"/>
      <c r="DW205" s="1737"/>
      <c r="DX205" s="1737"/>
    </row>
    <row r="206" spans="1:128" ht="15.75">
      <c r="A206" s="1622"/>
      <c r="B206" s="1691">
        <f t="shared" ref="B206:B269" si="22">B205+1</f>
        <v>202</v>
      </c>
      <c r="C206" s="1731">
        <f t="shared" si="20"/>
        <v>542.10000000000014</v>
      </c>
      <c r="D206" s="1672">
        <f t="shared" si="17"/>
        <v>758.94</v>
      </c>
      <c r="E206" s="1670"/>
      <c r="F206" s="1732">
        <f t="shared" si="21"/>
        <v>340.85</v>
      </c>
      <c r="G206" s="1672">
        <f t="shared" si="15"/>
        <v>477.19</v>
      </c>
      <c r="H206" s="1670"/>
      <c r="I206" s="1670"/>
    </row>
    <row r="207" spans="1:128" ht="15.75">
      <c r="A207" s="1622"/>
      <c r="B207" s="1691">
        <f t="shared" si="22"/>
        <v>203</v>
      </c>
      <c r="C207" s="1731">
        <f t="shared" si="20"/>
        <v>544.79000000000019</v>
      </c>
      <c r="D207" s="1672">
        <f t="shared" si="17"/>
        <v>762.71</v>
      </c>
      <c r="E207" s="1670"/>
      <c r="F207" s="1732">
        <f t="shared" si="21"/>
        <v>342.54</v>
      </c>
      <c r="G207" s="1672">
        <f t="shared" si="15"/>
        <v>479.56</v>
      </c>
      <c r="H207" s="1670"/>
      <c r="I207" s="1670"/>
    </row>
    <row r="208" spans="1:128" ht="15.75">
      <c r="A208" s="1622"/>
      <c r="B208" s="1691">
        <f t="shared" si="22"/>
        <v>204</v>
      </c>
      <c r="C208" s="1731">
        <f t="shared" si="20"/>
        <v>547.48000000000025</v>
      </c>
      <c r="D208" s="1672">
        <f t="shared" si="17"/>
        <v>766.47</v>
      </c>
      <c r="E208" s="1670"/>
      <c r="F208" s="1732">
        <f t="shared" si="21"/>
        <v>344.23</v>
      </c>
      <c r="G208" s="1672">
        <f t="shared" si="15"/>
        <v>481.92</v>
      </c>
      <c r="H208" s="1670"/>
      <c r="I208" s="1670"/>
    </row>
    <row r="209" spans="1:9" ht="15.75">
      <c r="A209" s="1622"/>
      <c r="B209" s="1691">
        <f t="shared" si="22"/>
        <v>205</v>
      </c>
      <c r="C209" s="1731">
        <f t="shared" si="20"/>
        <v>550.1700000000003</v>
      </c>
      <c r="D209" s="1672">
        <f t="shared" si="17"/>
        <v>770.24</v>
      </c>
      <c r="E209" s="1670"/>
      <c r="F209" s="1732">
        <f t="shared" si="21"/>
        <v>345.92</v>
      </c>
      <c r="G209" s="1672">
        <f t="shared" si="15"/>
        <v>484.29</v>
      </c>
      <c r="H209" s="1670"/>
      <c r="I209" s="1670"/>
    </row>
    <row r="210" spans="1:9" ht="15.75">
      <c r="A210" s="1622"/>
      <c r="B210" s="1691">
        <f t="shared" si="22"/>
        <v>206</v>
      </c>
      <c r="C210" s="1731">
        <f t="shared" si="20"/>
        <v>552.86000000000035</v>
      </c>
      <c r="D210" s="1672">
        <f t="shared" si="17"/>
        <v>774</v>
      </c>
      <c r="E210" s="1670"/>
      <c r="F210" s="1732">
        <f t="shared" si="21"/>
        <v>347.61</v>
      </c>
      <c r="G210" s="1672">
        <f t="shared" si="15"/>
        <v>486.65</v>
      </c>
      <c r="H210" s="1670"/>
      <c r="I210" s="1670"/>
    </row>
    <row r="211" spans="1:9" ht="15.75">
      <c r="A211" s="1622"/>
      <c r="B211" s="1691">
        <f t="shared" si="22"/>
        <v>207</v>
      </c>
      <c r="C211" s="1731">
        <f t="shared" si="20"/>
        <v>555.55000000000041</v>
      </c>
      <c r="D211" s="1672">
        <f t="shared" si="17"/>
        <v>777.77</v>
      </c>
      <c r="E211" s="1670"/>
      <c r="F211" s="1732">
        <f t="shared" si="21"/>
        <v>349.3</v>
      </c>
      <c r="G211" s="1672">
        <f t="shared" si="15"/>
        <v>489.02</v>
      </c>
      <c r="H211" s="1670"/>
      <c r="I211" s="1670"/>
    </row>
    <row r="212" spans="1:9" ht="15.75">
      <c r="A212" s="1622"/>
      <c r="B212" s="1691">
        <f t="shared" si="22"/>
        <v>208</v>
      </c>
      <c r="C212" s="1731">
        <f t="shared" si="20"/>
        <v>558.24000000000046</v>
      </c>
      <c r="D212" s="1672">
        <f t="shared" si="17"/>
        <v>781.54</v>
      </c>
      <c r="E212" s="1670"/>
      <c r="F212" s="1732">
        <f t="shared" si="21"/>
        <v>350.99</v>
      </c>
      <c r="G212" s="1672">
        <f t="shared" si="15"/>
        <v>491.39</v>
      </c>
      <c r="H212" s="1670"/>
      <c r="I212" s="1670"/>
    </row>
    <row r="213" spans="1:9" ht="15.75">
      <c r="A213" s="1622"/>
      <c r="B213" s="1691">
        <f t="shared" si="22"/>
        <v>209</v>
      </c>
      <c r="C213" s="1731">
        <f t="shared" si="20"/>
        <v>560.93000000000052</v>
      </c>
      <c r="D213" s="1672">
        <f t="shared" si="17"/>
        <v>785.3</v>
      </c>
      <c r="E213" s="1670"/>
      <c r="F213" s="1732">
        <f t="shared" si="21"/>
        <v>352.68</v>
      </c>
      <c r="G213" s="1672">
        <f t="shared" si="15"/>
        <v>493.75</v>
      </c>
      <c r="H213" s="1670"/>
      <c r="I213" s="1670"/>
    </row>
    <row r="214" spans="1:9" ht="15.75">
      <c r="A214" s="1622"/>
      <c r="B214" s="1691">
        <f t="shared" si="22"/>
        <v>210</v>
      </c>
      <c r="C214" s="1731">
        <f t="shared" si="20"/>
        <v>563.62000000000057</v>
      </c>
      <c r="D214" s="1672">
        <f t="shared" si="17"/>
        <v>789.07</v>
      </c>
      <c r="E214" s="1670"/>
      <c r="F214" s="1732">
        <f t="shared" si="21"/>
        <v>354.37</v>
      </c>
      <c r="G214" s="1672">
        <f t="shared" si="15"/>
        <v>496.12</v>
      </c>
      <c r="H214" s="1670"/>
      <c r="I214" s="1670"/>
    </row>
    <row r="215" spans="1:9" ht="15.75">
      <c r="A215" s="1622"/>
      <c r="B215" s="1691">
        <f t="shared" si="22"/>
        <v>211</v>
      </c>
      <c r="C215" s="1731">
        <f t="shared" si="20"/>
        <v>566.31000000000063</v>
      </c>
      <c r="D215" s="1672">
        <f t="shared" si="17"/>
        <v>792.83</v>
      </c>
      <c r="E215" s="1670"/>
      <c r="F215" s="1732">
        <f t="shared" si="21"/>
        <v>356.06</v>
      </c>
      <c r="G215" s="1672">
        <f t="shared" si="15"/>
        <v>498.48</v>
      </c>
      <c r="H215" s="1670"/>
      <c r="I215" s="1670"/>
    </row>
    <row r="216" spans="1:9" ht="15.75">
      <c r="A216" s="1622"/>
      <c r="B216" s="1691">
        <f t="shared" si="22"/>
        <v>212</v>
      </c>
      <c r="C216" s="1731">
        <f t="shared" si="20"/>
        <v>569.00000000000068</v>
      </c>
      <c r="D216" s="1672">
        <f t="shared" si="17"/>
        <v>796.6</v>
      </c>
      <c r="E216" s="1670"/>
      <c r="F216" s="1732">
        <f t="shared" si="21"/>
        <v>357.75</v>
      </c>
      <c r="G216" s="1672">
        <f t="shared" si="15"/>
        <v>500.85</v>
      </c>
      <c r="H216" s="1670"/>
      <c r="I216" s="1670"/>
    </row>
    <row r="217" spans="1:9" ht="15.75">
      <c r="A217" s="1622"/>
      <c r="B217" s="1691">
        <f t="shared" si="22"/>
        <v>213</v>
      </c>
      <c r="C217" s="1731">
        <f t="shared" si="20"/>
        <v>571.69000000000074</v>
      </c>
      <c r="D217" s="1672">
        <f t="shared" si="17"/>
        <v>800.37</v>
      </c>
      <c r="E217" s="1670"/>
      <c r="F217" s="1732">
        <f t="shared" si="21"/>
        <v>359.44</v>
      </c>
      <c r="G217" s="1672">
        <f t="shared" si="15"/>
        <v>503.22</v>
      </c>
      <c r="H217" s="1670"/>
      <c r="I217" s="1670"/>
    </row>
    <row r="218" spans="1:9" ht="15.75">
      <c r="A218" s="1622"/>
      <c r="B218" s="1691">
        <f t="shared" si="22"/>
        <v>214</v>
      </c>
      <c r="C218" s="1731">
        <f t="shared" si="20"/>
        <v>574.38000000000079</v>
      </c>
      <c r="D218" s="1672">
        <f t="shared" si="17"/>
        <v>804.13</v>
      </c>
      <c r="E218" s="1670"/>
      <c r="F218" s="1732">
        <f t="shared" si="21"/>
        <v>361.13</v>
      </c>
      <c r="G218" s="1672">
        <f t="shared" si="15"/>
        <v>505.58</v>
      </c>
      <c r="H218" s="1670"/>
      <c r="I218" s="1670"/>
    </row>
    <row r="219" spans="1:9" ht="15.75">
      <c r="A219" s="1622"/>
      <c r="B219" s="1691">
        <f t="shared" si="22"/>
        <v>215</v>
      </c>
      <c r="C219" s="1731">
        <f t="shared" si="20"/>
        <v>577.07000000000085</v>
      </c>
      <c r="D219" s="1672">
        <f t="shared" si="17"/>
        <v>807.9</v>
      </c>
      <c r="E219" s="1670"/>
      <c r="F219" s="1732">
        <f t="shared" si="21"/>
        <v>362.82</v>
      </c>
      <c r="G219" s="1672">
        <f t="shared" si="15"/>
        <v>507.95</v>
      </c>
      <c r="H219" s="1670"/>
      <c r="I219" s="1670"/>
    </row>
    <row r="220" spans="1:9" ht="15.75">
      <c r="A220" s="1622"/>
      <c r="B220" s="1691">
        <f t="shared" si="22"/>
        <v>216</v>
      </c>
      <c r="C220" s="1731">
        <f t="shared" si="20"/>
        <v>579.7600000000009</v>
      </c>
      <c r="D220" s="1672">
        <f t="shared" si="17"/>
        <v>811.66</v>
      </c>
      <c r="E220" s="1670"/>
      <c r="F220" s="1732">
        <f t="shared" si="21"/>
        <v>364.51</v>
      </c>
      <c r="G220" s="1672">
        <f t="shared" si="15"/>
        <v>510.31</v>
      </c>
      <c r="H220" s="1670"/>
      <c r="I220" s="1670"/>
    </row>
    <row r="221" spans="1:9" ht="15.75">
      <c r="A221" s="1622"/>
      <c r="B221" s="1691">
        <f t="shared" si="22"/>
        <v>217</v>
      </c>
      <c r="C221" s="1731">
        <f t="shared" si="20"/>
        <v>582.45000000000095</v>
      </c>
      <c r="D221" s="1672">
        <f t="shared" si="17"/>
        <v>815.43</v>
      </c>
      <c r="E221" s="1670"/>
      <c r="F221" s="1732">
        <f t="shared" si="21"/>
        <v>366.2</v>
      </c>
      <c r="G221" s="1672">
        <f t="shared" si="15"/>
        <v>512.67999999999995</v>
      </c>
      <c r="H221" s="1670"/>
      <c r="I221" s="1670"/>
    </row>
    <row r="222" spans="1:9" ht="15.75">
      <c r="A222" s="1622"/>
      <c r="B222" s="1691">
        <f t="shared" si="22"/>
        <v>218</v>
      </c>
      <c r="C222" s="1731">
        <f t="shared" si="20"/>
        <v>585.14000000000101</v>
      </c>
      <c r="D222" s="1672">
        <f t="shared" si="17"/>
        <v>819.2</v>
      </c>
      <c r="E222" s="1670"/>
      <c r="F222" s="1732">
        <f t="shared" si="21"/>
        <v>367.89</v>
      </c>
      <c r="G222" s="1672">
        <f t="shared" si="15"/>
        <v>515.04999999999995</v>
      </c>
      <c r="H222" s="1670"/>
      <c r="I222" s="1670"/>
    </row>
    <row r="223" spans="1:9" ht="15.75">
      <c r="A223" s="1622"/>
      <c r="B223" s="1691">
        <f t="shared" si="22"/>
        <v>219</v>
      </c>
      <c r="C223" s="1731">
        <f t="shared" si="20"/>
        <v>587.83000000000106</v>
      </c>
      <c r="D223" s="1672">
        <f t="shared" si="17"/>
        <v>822.96</v>
      </c>
      <c r="E223" s="1670"/>
      <c r="F223" s="1732">
        <f t="shared" si="21"/>
        <v>369.58</v>
      </c>
      <c r="G223" s="1672">
        <f t="shared" si="15"/>
        <v>517.41</v>
      </c>
      <c r="H223" s="1670"/>
      <c r="I223" s="1670"/>
    </row>
    <row r="224" spans="1:9" ht="15.75">
      <c r="A224" s="1622"/>
      <c r="B224" s="1691">
        <f t="shared" si="22"/>
        <v>220</v>
      </c>
      <c r="C224" s="1731">
        <f t="shared" si="20"/>
        <v>590.52000000000112</v>
      </c>
      <c r="D224" s="1672">
        <f t="shared" si="17"/>
        <v>826.73</v>
      </c>
      <c r="E224" s="1670"/>
      <c r="F224" s="1732">
        <f t="shared" si="21"/>
        <v>371.27</v>
      </c>
      <c r="G224" s="1672">
        <f t="shared" si="15"/>
        <v>519.78</v>
      </c>
      <c r="H224" s="1670"/>
      <c r="I224" s="1670"/>
    </row>
    <row r="225" spans="1:9" ht="15.75">
      <c r="A225" s="1622"/>
      <c r="B225" s="1691">
        <f t="shared" si="22"/>
        <v>221</v>
      </c>
      <c r="C225" s="1731">
        <f t="shared" si="20"/>
        <v>593.21000000000117</v>
      </c>
      <c r="D225" s="1672">
        <f t="shared" si="17"/>
        <v>830.49</v>
      </c>
      <c r="E225" s="1670"/>
      <c r="F225" s="1732">
        <f t="shared" si="21"/>
        <v>372.96</v>
      </c>
      <c r="G225" s="1672">
        <f t="shared" si="15"/>
        <v>522.14</v>
      </c>
      <c r="H225" s="1670"/>
      <c r="I225" s="1670"/>
    </row>
    <row r="226" spans="1:9" ht="15.75">
      <c r="A226" s="1622"/>
      <c r="B226" s="1691">
        <f t="shared" si="22"/>
        <v>222</v>
      </c>
      <c r="C226" s="1731">
        <f t="shared" si="20"/>
        <v>595.90000000000123</v>
      </c>
      <c r="D226" s="1672">
        <f t="shared" si="17"/>
        <v>834.26</v>
      </c>
      <c r="E226" s="1670"/>
      <c r="F226" s="1732">
        <f t="shared" si="21"/>
        <v>374.65</v>
      </c>
      <c r="G226" s="1672">
        <f t="shared" si="15"/>
        <v>524.51</v>
      </c>
      <c r="H226" s="1670"/>
      <c r="I226" s="1670"/>
    </row>
    <row r="227" spans="1:9" ht="15.75">
      <c r="A227" s="1622"/>
      <c r="B227" s="1691">
        <f t="shared" si="22"/>
        <v>223</v>
      </c>
      <c r="C227" s="1731">
        <f t="shared" si="20"/>
        <v>598.59000000000128</v>
      </c>
      <c r="D227" s="1672">
        <f t="shared" si="17"/>
        <v>838.03</v>
      </c>
      <c r="E227" s="1670"/>
      <c r="F227" s="1732">
        <f t="shared" si="21"/>
        <v>376.34</v>
      </c>
      <c r="G227" s="1672">
        <f t="shared" si="15"/>
        <v>526.88</v>
      </c>
      <c r="H227" s="1670"/>
      <c r="I227" s="1670"/>
    </row>
    <row r="228" spans="1:9" ht="15.75">
      <c r="A228" s="1622"/>
      <c r="B228" s="1691">
        <f t="shared" si="22"/>
        <v>224</v>
      </c>
      <c r="C228" s="1731">
        <f t="shared" si="20"/>
        <v>601.28000000000134</v>
      </c>
      <c r="D228" s="1672">
        <f t="shared" si="17"/>
        <v>841.79</v>
      </c>
      <c r="E228" s="1670"/>
      <c r="F228" s="1732">
        <f t="shared" si="21"/>
        <v>378.03</v>
      </c>
      <c r="G228" s="1672">
        <f t="shared" si="15"/>
        <v>529.24</v>
      </c>
      <c r="H228" s="1670"/>
      <c r="I228" s="1670"/>
    </row>
    <row r="229" spans="1:9" ht="15.75">
      <c r="A229" s="1622"/>
      <c r="B229" s="1691">
        <f t="shared" si="22"/>
        <v>225</v>
      </c>
      <c r="C229" s="1731">
        <f t="shared" si="20"/>
        <v>603.97000000000139</v>
      </c>
      <c r="D229" s="1672">
        <f t="shared" si="17"/>
        <v>845.56</v>
      </c>
      <c r="E229" s="1670"/>
      <c r="F229" s="1732">
        <f t="shared" si="21"/>
        <v>379.71999999999997</v>
      </c>
      <c r="G229" s="1672">
        <f t="shared" si="15"/>
        <v>531.61</v>
      </c>
      <c r="H229" s="1670"/>
      <c r="I229" s="1670"/>
    </row>
    <row r="230" spans="1:9" ht="15.75">
      <c r="A230" s="1622"/>
      <c r="B230" s="1691">
        <f t="shared" si="22"/>
        <v>226</v>
      </c>
      <c r="C230" s="1731">
        <f t="shared" si="20"/>
        <v>606.66000000000145</v>
      </c>
      <c r="D230" s="1672">
        <f t="shared" si="17"/>
        <v>849.32</v>
      </c>
      <c r="E230" s="1670"/>
      <c r="F230" s="1732">
        <f t="shared" si="21"/>
        <v>381.40999999999997</v>
      </c>
      <c r="G230" s="1672">
        <f t="shared" si="15"/>
        <v>533.97</v>
      </c>
      <c r="H230" s="1670"/>
      <c r="I230" s="1670"/>
    </row>
    <row r="231" spans="1:9" ht="15.75">
      <c r="A231" s="1622"/>
      <c r="B231" s="1691">
        <f t="shared" si="22"/>
        <v>227</v>
      </c>
      <c r="C231" s="1731">
        <f t="shared" si="20"/>
        <v>609.3500000000015</v>
      </c>
      <c r="D231" s="1672">
        <f t="shared" si="17"/>
        <v>853.09</v>
      </c>
      <c r="E231" s="1670"/>
      <c r="F231" s="1732">
        <f t="shared" si="21"/>
        <v>383.09999999999997</v>
      </c>
      <c r="G231" s="1672">
        <f t="shared" si="15"/>
        <v>536.34</v>
      </c>
      <c r="H231" s="1670"/>
      <c r="I231" s="1670"/>
    </row>
    <row r="232" spans="1:9" ht="15.75">
      <c r="A232" s="1622"/>
      <c r="B232" s="1691">
        <f t="shared" si="22"/>
        <v>228</v>
      </c>
      <c r="C232" s="1731">
        <f t="shared" si="20"/>
        <v>612.04000000000156</v>
      </c>
      <c r="D232" s="1672">
        <f t="shared" si="17"/>
        <v>856.86</v>
      </c>
      <c r="E232" s="1670"/>
      <c r="F232" s="1732">
        <f t="shared" si="21"/>
        <v>384.78999999999996</v>
      </c>
      <c r="G232" s="1672">
        <f t="shared" si="15"/>
        <v>538.71</v>
      </c>
      <c r="H232" s="1670"/>
      <c r="I232" s="1670"/>
    </row>
    <row r="233" spans="1:9" ht="15.75">
      <c r="A233" s="1622"/>
      <c r="B233" s="1691">
        <f t="shared" si="22"/>
        <v>229</v>
      </c>
      <c r="C233" s="1731">
        <f t="shared" si="20"/>
        <v>614.73000000000161</v>
      </c>
      <c r="D233" s="1672">
        <f t="shared" si="17"/>
        <v>860.62</v>
      </c>
      <c r="E233" s="1670"/>
      <c r="F233" s="1732">
        <f t="shared" si="21"/>
        <v>386.47999999999996</v>
      </c>
      <c r="G233" s="1672">
        <f t="shared" si="15"/>
        <v>541.07000000000005</v>
      </c>
      <c r="H233" s="1670"/>
      <c r="I233" s="1670"/>
    </row>
    <row r="234" spans="1:9" ht="15.75">
      <c r="A234" s="1622"/>
      <c r="B234" s="1691">
        <f t="shared" si="22"/>
        <v>230</v>
      </c>
      <c r="C234" s="1731">
        <f t="shared" si="20"/>
        <v>617.42000000000166</v>
      </c>
      <c r="D234" s="1672">
        <f t="shared" si="17"/>
        <v>864.39</v>
      </c>
      <c r="E234" s="1670"/>
      <c r="F234" s="1732">
        <f t="shared" si="21"/>
        <v>388.16999999999996</v>
      </c>
      <c r="G234" s="1672">
        <f t="shared" si="15"/>
        <v>543.44000000000005</v>
      </c>
      <c r="H234" s="1670"/>
      <c r="I234" s="1670"/>
    </row>
    <row r="235" spans="1:9" ht="15.75">
      <c r="A235" s="1622"/>
      <c r="B235" s="1691">
        <f t="shared" si="22"/>
        <v>231</v>
      </c>
      <c r="C235" s="1731">
        <f t="shared" si="20"/>
        <v>620.11000000000172</v>
      </c>
      <c r="D235" s="1672">
        <f t="shared" si="17"/>
        <v>868.15</v>
      </c>
      <c r="E235" s="1670"/>
      <c r="F235" s="1732">
        <f t="shared" si="21"/>
        <v>389.85999999999996</v>
      </c>
      <c r="G235" s="1672">
        <f t="shared" si="15"/>
        <v>545.79999999999995</v>
      </c>
      <c r="H235" s="1670"/>
      <c r="I235" s="1670"/>
    </row>
    <row r="236" spans="1:9" ht="15.75">
      <c r="A236" s="1622"/>
      <c r="B236" s="1691">
        <f t="shared" si="22"/>
        <v>232</v>
      </c>
      <c r="C236" s="1731">
        <f t="shared" si="20"/>
        <v>622.80000000000177</v>
      </c>
      <c r="D236" s="1672">
        <f t="shared" si="17"/>
        <v>871.92</v>
      </c>
      <c r="E236" s="1670"/>
      <c r="F236" s="1732">
        <f t="shared" si="21"/>
        <v>391.54999999999995</v>
      </c>
      <c r="G236" s="1672">
        <f t="shared" si="15"/>
        <v>548.16999999999996</v>
      </c>
      <c r="H236" s="1670"/>
      <c r="I236" s="1670"/>
    </row>
    <row r="237" spans="1:9" ht="15.75">
      <c r="A237" s="1622"/>
      <c r="B237" s="1691">
        <f t="shared" si="22"/>
        <v>233</v>
      </c>
      <c r="C237" s="1731">
        <f t="shared" si="20"/>
        <v>625.49000000000183</v>
      </c>
      <c r="D237" s="1672">
        <f t="shared" si="17"/>
        <v>875.69</v>
      </c>
      <c r="E237" s="1670"/>
      <c r="F237" s="1732">
        <f t="shared" si="21"/>
        <v>393.23999999999995</v>
      </c>
      <c r="G237" s="1672">
        <f t="shared" si="15"/>
        <v>550.54</v>
      </c>
      <c r="H237" s="1670"/>
      <c r="I237" s="1670"/>
    </row>
    <row r="238" spans="1:9" ht="15.75">
      <c r="A238" s="1622"/>
      <c r="B238" s="1691">
        <f t="shared" si="22"/>
        <v>234</v>
      </c>
      <c r="C238" s="1731">
        <f t="shared" si="20"/>
        <v>628.18000000000188</v>
      </c>
      <c r="D238" s="1672">
        <f t="shared" si="17"/>
        <v>879.45</v>
      </c>
      <c r="E238" s="1670"/>
      <c r="F238" s="1732">
        <f t="shared" si="21"/>
        <v>394.92999999999995</v>
      </c>
      <c r="G238" s="1672">
        <f t="shared" si="15"/>
        <v>552.9</v>
      </c>
      <c r="H238" s="1670"/>
      <c r="I238" s="1670"/>
    </row>
    <row r="239" spans="1:9" ht="15.75">
      <c r="A239" s="1622"/>
      <c r="B239" s="1691">
        <f t="shared" si="22"/>
        <v>235</v>
      </c>
      <c r="C239" s="1731">
        <f t="shared" si="20"/>
        <v>630.87000000000194</v>
      </c>
      <c r="D239" s="1672">
        <f t="shared" si="17"/>
        <v>883.22</v>
      </c>
      <c r="E239" s="1670"/>
      <c r="F239" s="1732">
        <f t="shared" si="21"/>
        <v>396.61999999999995</v>
      </c>
      <c r="G239" s="1672">
        <f t="shared" si="15"/>
        <v>555.27</v>
      </c>
      <c r="H239" s="1670"/>
      <c r="I239" s="1670"/>
    </row>
    <row r="240" spans="1:9" ht="15.75">
      <c r="A240" s="1622"/>
      <c r="B240" s="1691">
        <f t="shared" si="22"/>
        <v>236</v>
      </c>
      <c r="C240" s="1731">
        <f t="shared" si="20"/>
        <v>633.56000000000199</v>
      </c>
      <c r="D240" s="1672">
        <f t="shared" si="17"/>
        <v>886.98</v>
      </c>
      <c r="E240" s="1670"/>
      <c r="F240" s="1732">
        <f t="shared" si="21"/>
        <v>398.30999999999995</v>
      </c>
      <c r="G240" s="1672">
        <f t="shared" si="15"/>
        <v>557.63</v>
      </c>
      <c r="H240" s="1670"/>
      <c r="I240" s="1670"/>
    </row>
    <row r="241" spans="1:9" ht="15.75">
      <c r="A241" s="1622"/>
      <c r="B241" s="1691">
        <f t="shared" si="22"/>
        <v>237</v>
      </c>
      <c r="C241" s="1731">
        <f t="shared" si="20"/>
        <v>636.25000000000205</v>
      </c>
      <c r="D241" s="1672">
        <f t="shared" si="17"/>
        <v>890.75</v>
      </c>
      <c r="E241" s="1670"/>
      <c r="F241" s="1732">
        <f t="shared" si="21"/>
        <v>399.99999999999994</v>
      </c>
      <c r="G241" s="1672">
        <f t="shared" si="15"/>
        <v>560</v>
      </c>
      <c r="H241" s="1670"/>
      <c r="I241" s="1670"/>
    </row>
    <row r="242" spans="1:9" ht="15.75">
      <c r="A242" s="1622"/>
      <c r="B242" s="1691">
        <f t="shared" si="22"/>
        <v>238</v>
      </c>
      <c r="C242" s="1731">
        <f t="shared" si="20"/>
        <v>638.9400000000021</v>
      </c>
      <c r="D242" s="1672">
        <f t="shared" si="17"/>
        <v>894.52</v>
      </c>
      <c r="E242" s="1670"/>
      <c r="F242" s="1732">
        <f t="shared" si="21"/>
        <v>401.68999999999994</v>
      </c>
      <c r="G242" s="1672">
        <f t="shared" si="15"/>
        <v>562.37</v>
      </c>
      <c r="H242" s="1670"/>
      <c r="I242" s="1670"/>
    </row>
    <row r="243" spans="1:9" ht="15.75">
      <c r="A243" s="1622"/>
      <c r="B243" s="1691">
        <f t="shared" si="22"/>
        <v>239</v>
      </c>
      <c r="C243" s="1731">
        <f t="shared" si="20"/>
        <v>641.63000000000216</v>
      </c>
      <c r="D243" s="1672">
        <f t="shared" si="17"/>
        <v>898.28</v>
      </c>
      <c r="E243" s="1670"/>
      <c r="F243" s="1732">
        <f t="shared" si="21"/>
        <v>403.37999999999994</v>
      </c>
      <c r="G243" s="1672">
        <f t="shared" si="15"/>
        <v>564.73</v>
      </c>
      <c r="H243" s="1670"/>
      <c r="I243" s="1670"/>
    </row>
    <row r="244" spans="1:9" ht="15.75">
      <c r="A244" s="1622"/>
      <c r="B244" s="1691">
        <f t="shared" si="22"/>
        <v>240</v>
      </c>
      <c r="C244" s="1731">
        <f t="shared" si="20"/>
        <v>644.32000000000221</v>
      </c>
      <c r="D244" s="1672">
        <f t="shared" si="17"/>
        <v>902.05</v>
      </c>
      <c r="E244" s="1670"/>
      <c r="F244" s="1732">
        <f t="shared" si="21"/>
        <v>405.06999999999994</v>
      </c>
      <c r="G244" s="1672">
        <f t="shared" si="15"/>
        <v>567.1</v>
      </c>
      <c r="H244" s="1670"/>
      <c r="I244" s="1670"/>
    </row>
    <row r="245" spans="1:9" ht="15.75">
      <c r="A245" s="1622"/>
      <c r="B245" s="1691">
        <f t="shared" si="22"/>
        <v>241</v>
      </c>
      <c r="C245" s="1731">
        <f t="shared" si="20"/>
        <v>647.01000000000226</v>
      </c>
      <c r="D245" s="1672">
        <f t="shared" si="17"/>
        <v>905.81</v>
      </c>
      <c r="E245" s="1670"/>
      <c r="F245" s="1732">
        <f t="shared" si="21"/>
        <v>406.75999999999993</v>
      </c>
      <c r="G245" s="1672">
        <f t="shared" si="15"/>
        <v>569.46</v>
      </c>
      <c r="H245" s="1670"/>
      <c r="I245" s="1670"/>
    </row>
    <row r="246" spans="1:9" ht="15.75">
      <c r="A246" s="1622"/>
      <c r="B246" s="1691">
        <f t="shared" si="22"/>
        <v>242</v>
      </c>
      <c r="C246" s="1731">
        <f t="shared" si="20"/>
        <v>649.70000000000232</v>
      </c>
      <c r="D246" s="1672">
        <f t="shared" si="17"/>
        <v>909.58</v>
      </c>
      <c r="E246" s="1670"/>
      <c r="F246" s="1732">
        <f t="shared" si="21"/>
        <v>408.44999999999993</v>
      </c>
      <c r="G246" s="1672">
        <f t="shared" si="15"/>
        <v>571.83000000000004</v>
      </c>
      <c r="H246" s="1670"/>
      <c r="I246" s="1670"/>
    </row>
    <row r="247" spans="1:9" ht="15.75">
      <c r="A247" s="1622"/>
      <c r="B247" s="1691">
        <f t="shared" si="22"/>
        <v>243</v>
      </c>
      <c r="C247" s="1731">
        <f t="shared" si="20"/>
        <v>652.39000000000237</v>
      </c>
      <c r="D247" s="1672">
        <f t="shared" si="17"/>
        <v>913.35</v>
      </c>
      <c r="E247" s="1670"/>
      <c r="F247" s="1732">
        <f t="shared" si="21"/>
        <v>410.13999999999993</v>
      </c>
      <c r="G247" s="1672">
        <f t="shared" si="15"/>
        <v>574.20000000000005</v>
      </c>
      <c r="H247" s="1670"/>
      <c r="I247" s="1670"/>
    </row>
    <row r="248" spans="1:9" ht="15.75">
      <c r="A248" s="1622"/>
      <c r="B248" s="1691">
        <f t="shared" si="22"/>
        <v>244</v>
      </c>
      <c r="C248" s="1731">
        <f t="shared" si="20"/>
        <v>655.08000000000243</v>
      </c>
      <c r="D248" s="1672">
        <f t="shared" si="17"/>
        <v>917.11</v>
      </c>
      <c r="E248" s="1670"/>
      <c r="F248" s="1732">
        <f t="shared" si="21"/>
        <v>411.82999999999993</v>
      </c>
      <c r="G248" s="1672">
        <f t="shared" si="15"/>
        <v>576.55999999999995</v>
      </c>
      <c r="H248" s="1670"/>
      <c r="I248" s="1670"/>
    </row>
    <row r="249" spans="1:9" ht="15.75">
      <c r="A249" s="1622"/>
      <c r="B249" s="1691">
        <f t="shared" si="22"/>
        <v>245</v>
      </c>
      <c r="C249" s="1731">
        <f t="shared" si="20"/>
        <v>657.77000000000248</v>
      </c>
      <c r="D249" s="1672">
        <f t="shared" si="17"/>
        <v>920.88</v>
      </c>
      <c r="E249" s="1670"/>
      <c r="F249" s="1732">
        <f t="shared" si="21"/>
        <v>413.51999999999992</v>
      </c>
      <c r="G249" s="1672">
        <f t="shared" si="15"/>
        <v>578.92999999999995</v>
      </c>
      <c r="H249" s="1670"/>
      <c r="I249" s="1670"/>
    </row>
    <row r="250" spans="1:9" ht="15.75">
      <c r="A250" s="1622"/>
      <c r="B250" s="1691">
        <f t="shared" si="22"/>
        <v>246</v>
      </c>
      <c r="C250" s="1731">
        <f t="shared" si="20"/>
        <v>660.46000000000254</v>
      </c>
      <c r="D250" s="1672">
        <f t="shared" si="17"/>
        <v>924.64</v>
      </c>
      <c r="E250" s="1670"/>
      <c r="F250" s="1732">
        <f t="shared" si="21"/>
        <v>415.20999999999992</v>
      </c>
      <c r="G250" s="1672">
        <f t="shared" si="15"/>
        <v>581.29</v>
      </c>
      <c r="H250" s="1670"/>
      <c r="I250" s="1670"/>
    </row>
    <row r="251" spans="1:9" ht="15.75">
      <c r="A251" s="1622"/>
      <c r="B251" s="1691">
        <f t="shared" si="22"/>
        <v>247</v>
      </c>
      <c r="C251" s="1731">
        <f t="shared" si="20"/>
        <v>663.15000000000259</v>
      </c>
      <c r="D251" s="1672">
        <f t="shared" si="17"/>
        <v>928.41</v>
      </c>
      <c r="E251" s="1670"/>
      <c r="F251" s="1732">
        <f t="shared" si="21"/>
        <v>416.89999999999992</v>
      </c>
      <c r="G251" s="1672">
        <f t="shared" si="15"/>
        <v>583.66</v>
      </c>
      <c r="H251" s="1670"/>
      <c r="I251" s="1670"/>
    </row>
    <row r="252" spans="1:9" ht="15.75">
      <c r="A252" s="1622"/>
      <c r="B252" s="1691">
        <f t="shared" si="22"/>
        <v>248</v>
      </c>
      <c r="C252" s="1731">
        <f t="shared" si="20"/>
        <v>665.84000000000265</v>
      </c>
      <c r="D252" s="1672">
        <f t="shared" si="17"/>
        <v>932.18</v>
      </c>
      <c r="E252" s="1670"/>
      <c r="F252" s="1732">
        <f t="shared" si="21"/>
        <v>418.58999999999992</v>
      </c>
      <c r="G252" s="1672">
        <f t="shared" si="15"/>
        <v>586.03</v>
      </c>
      <c r="H252" s="1670"/>
      <c r="I252" s="1670"/>
    </row>
    <row r="253" spans="1:9" ht="15.75">
      <c r="A253" s="1622"/>
      <c r="B253" s="1691">
        <f t="shared" si="22"/>
        <v>249</v>
      </c>
      <c r="C253" s="1731">
        <f t="shared" si="20"/>
        <v>668.5300000000027</v>
      </c>
      <c r="D253" s="1672">
        <f t="shared" si="17"/>
        <v>935.94</v>
      </c>
      <c r="E253" s="1670"/>
      <c r="F253" s="1732">
        <f t="shared" si="21"/>
        <v>420.27999999999992</v>
      </c>
      <c r="G253" s="1672">
        <f t="shared" si="15"/>
        <v>588.39</v>
      </c>
      <c r="H253" s="1670"/>
      <c r="I253" s="1670"/>
    </row>
    <row r="254" spans="1:9" ht="15.75">
      <c r="A254" s="1622"/>
      <c r="B254" s="1691">
        <f t="shared" si="22"/>
        <v>250</v>
      </c>
      <c r="C254" s="1731">
        <f t="shared" si="20"/>
        <v>671.22000000000276</v>
      </c>
      <c r="D254" s="1672">
        <f t="shared" si="17"/>
        <v>939.71</v>
      </c>
      <c r="E254" s="1670"/>
      <c r="F254" s="1732">
        <f t="shared" si="21"/>
        <v>421.96999999999991</v>
      </c>
      <c r="G254" s="1672">
        <f t="shared" si="15"/>
        <v>590.76</v>
      </c>
      <c r="H254" s="1670"/>
      <c r="I254" s="1670"/>
    </row>
    <row r="255" spans="1:9" ht="15.75">
      <c r="A255" s="1622"/>
      <c r="B255" s="1691">
        <f t="shared" si="22"/>
        <v>251</v>
      </c>
      <c r="C255" s="1731">
        <f t="shared" si="20"/>
        <v>673.91000000000281</v>
      </c>
      <c r="D255" s="1672">
        <f t="shared" si="17"/>
        <v>943.47</v>
      </c>
      <c r="E255" s="1670"/>
      <c r="F255" s="1732">
        <f t="shared" si="21"/>
        <v>423.65999999999991</v>
      </c>
      <c r="G255" s="1672">
        <f t="shared" si="15"/>
        <v>593.12</v>
      </c>
      <c r="H255" s="1670"/>
      <c r="I255" s="1670"/>
    </row>
    <row r="256" spans="1:9" ht="15.75">
      <c r="A256" s="1622"/>
      <c r="B256" s="1691">
        <f t="shared" si="22"/>
        <v>252</v>
      </c>
      <c r="C256" s="1731">
        <f t="shared" si="20"/>
        <v>676.60000000000286</v>
      </c>
      <c r="D256" s="1672">
        <f t="shared" si="17"/>
        <v>947.24</v>
      </c>
      <c r="E256" s="1670"/>
      <c r="F256" s="1732">
        <f t="shared" si="21"/>
        <v>425.34999999999991</v>
      </c>
      <c r="G256" s="1672">
        <f t="shared" si="15"/>
        <v>595.49</v>
      </c>
      <c r="H256" s="1670"/>
      <c r="I256" s="1670"/>
    </row>
    <row r="257" spans="1:9" ht="15.75">
      <c r="A257" s="1622"/>
      <c r="B257" s="1691">
        <f t="shared" si="22"/>
        <v>253</v>
      </c>
      <c r="C257" s="1731">
        <f t="shared" si="20"/>
        <v>679.29000000000292</v>
      </c>
      <c r="D257" s="1672">
        <f t="shared" si="17"/>
        <v>951.01</v>
      </c>
      <c r="E257" s="1670"/>
      <c r="F257" s="1732">
        <f t="shared" si="21"/>
        <v>427.03999999999991</v>
      </c>
      <c r="G257" s="1672">
        <f t="shared" si="15"/>
        <v>597.86</v>
      </c>
      <c r="H257" s="1670"/>
      <c r="I257" s="1670"/>
    </row>
    <row r="258" spans="1:9" ht="15.75">
      <c r="A258" s="1622"/>
      <c r="B258" s="1691">
        <f t="shared" si="22"/>
        <v>254</v>
      </c>
      <c r="C258" s="1731">
        <f t="shared" si="20"/>
        <v>681.98000000000297</v>
      </c>
      <c r="D258" s="1672">
        <f t="shared" si="17"/>
        <v>954.77</v>
      </c>
      <c r="E258" s="1670"/>
      <c r="F258" s="1732">
        <f t="shared" si="21"/>
        <v>428.7299999999999</v>
      </c>
      <c r="G258" s="1672">
        <f t="shared" si="15"/>
        <v>600.22</v>
      </c>
      <c r="H258" s="1670"/>
      <c r="I258" s="1670"/>
    </row>
    <row r="259" spans="1:9" ht="15.75">
      <c r="A259" s="1622"/>
      <c r="B259" s="1691">
        <f t="shared" si="22"/>
        <v>255</v>
      </c>
      <c r="C259" s="1731">
        <f t="shared" si="20"/>
        <v>684.67000000000303</v>
      </c>
      <c r="D259" s="1672">
        <f t="shared" si="17"/>
        <v>958.54</v>
      </c>
      <c r="E259" s="1670"/>
      <c r="F259" s="1732">
        <f t="shared" si="21"/>
        <v>430.4199999999999</v>
      </c>
      <c r="G259" s="1672">
        <f t="shared" si="15"/>
        <v>602.59</v>
      </c>
      <c r="H259" s="1670"/>
      <c r="I259" s="1670"/>
    </row>
    <row r="260" spans="1:9" ht="15.75">
      <c r="A260" s="1622"/>
      <c r="B260" s="1691">
        <f t="shared" si="22"/>
        <v>256</v>
      </c>
      <c r="C260" s="1731">
        <f t="shared" si="20"/>
        <v>687.36000000000308</v>
      </c>
      <c r="D260" s="1672">
        <f t="shared" si="17"/>
        <v>962.3</v>
      </c>
      <c r="E260" s="1670"/>
      <c r="F260" s="1732">
        <f t="shared" si="21"/>
        <v>432.1099999999999</v>
      </c>
      <c r="G260" s="1672">
        <f t="shared" si="15"/>
        <v>604.95000000000005</v>
      </c>
      <c r="H260" s="1670"/>
      <c r="I260" s="1670"/>
    </row>
    <row r="261" spans="1:9" ht="15.75">
      <c r="A261" s="1622"/>
      <c r="B261" s="1691">
        <f t="shared" si="22"/>
        <v>257</v>
      </c>
      <c r="C261" s="1731">
        <f t="shared" si="20"/>
        <v>690.05000000000314</v>
      </c>
      <c r="D261" s="1672">
        <f t="shared" si="17"/>
        <v>966.07</v>
      </c>
      <c r="E261" s="1670"/>
      <c r="F261" s="1732">
        <f t="shared" si="21"/>
        <v>433.7999999999999</v>
      </c>
      <c r="G261" s="1672">
        <f t="shared" ref="G261:G324" si="23">ROUND(F261*1.4,2)</f>
        <v>607.32000000000005</v>
      </c>
      <c r="H261" s="1670"/>
      <c r="I261" s="1670"/>
    </row>
    <row r="262" spans="1:9" ht="15.75">
      <c r="A262" s="1622"/>
      <c r="B262" s="1691">
        <f t="shared" si="22"/>
        <v>258</v>
      </c>
      <c r="C262" s="1731">
        <f t="shared" si="20"/>
        <v>692.74000000000319</v>
      </c>
      <c r="D262" s="1672">
        <f t="shared" ref="D262:D325" si="24">ROUND(C262*1.4,2)</f>
        <v>969.84</v>
      </c>
      <c r="E262" s="1670"/>
      <c r="F262" s="1732">
        <f t="shared" si="21"/>
        <v>435.4899999999999</v>
      </c>
      <c r="G262" s="1672">
        <f t="shared" si="23"/>
        <v>609.69000000000005</v>
      </c>
      <c r="H262" s="1670"/>
      <c r="I262" s="1670"/>
    </row>
    <row r="263" spans="1:9" ht="15.75">
      <c r="A263" s="1622"/>
      <c r="B263" s="1691">
        <f t="shared" si="22"/>
        <v>259</v>
      </c>
      <c r="C263" s="1731">
        <f t="shared" si="20"/>
        <v>695.43000000000325</v>
      </c>
      <c r="D263" s="1672">
        <f t="shared" si="24"/>
        <v>973.6</v>
      </c>
      <c r="E263" s="1670"/>
      <c r="F263" s="1732">
        <f t="shared" si="21"/>
        <v>437.17999999999989</v>
      </c>
      <c r="G263" s="1672">
        <f t="shared" si="23"/>
        <v>612.04999999999995</v>
      </c>
      <c r="H263" s="1670"/>
      <c r="I263" s="1670"/>
    </row>
    <row r="264" spans="1:9" ht="15.75">
      <c r="A264" s="1622"/>
      <c r="B264" s="1691">
        <f t="shared" si="22"/>
        <v>260</v>
      </c>
      <c r="C264" s="1731">
        <f t="shared" si="20"/>
        <v>698.1200000000033</v>
      </c>
      <c r="D264" s="1672">
        <f t="shared" si="24"/>
        <v>977.37</v>
      </c>
      <c r="E264" s="1670"/>
      <c r="F264" s="1732">
        <f t="shared" si="21"/>
        <v>438.86999999999989</v>
      </c>
      <c r="G264" s="1672">
        <f t="shared" si="23"/>
        <v>614.41999999999996</v>
      </c>
      <c r="H264" s="1670"/>
      <c r="I264" s="1670"/>
    </row>
    <row r="265" spans="1:9" ht="15.75">
      <c r="A265" s="1622"/>
      <c r="B265" s="1691">
        <f t="shared" si="22"/>
        <v>261</v>
      </c>
      <c r="C265" s="1731">
        <f t="shared" si="20"/>
        <v>700.81000000000336</v>
      </c>
      <c r="D265" s="1672">
        <f t="shared" si="24"/>
        <v>981.13</v>
      </c>
      <c r="E265" s="1670"/>
      <c r="F265" s="1732">
        <f t="shared" si="21"/>
        <v>440.55999999999989</v>
      </c>
      <c r="G265" s="1672">
        <f t="shared" si="23"/>
        <v>616.78</v>
      </c>
      <c r="H265" s="1670"/>
      <c r="I265" s="1670"/>
    </row>
    <row r="266" spans="1:9" ht="15.75">
      <c r="A266" s="1622"/>
      <c r="B266" s="1691">
        <f t="shared" si="22"/>
        <v>262</v>
      </c>
      <c r="C266" s="1731">
        <f t="shared" si="20"/>
        <v>703.50000000000341</v>
      </c>
      <c r="D266" s="1672">
        <f t="shared" si="24"/>
        <v>984.9</v>
      </c>
      <c r="E266" s="1670"/>
      <c r="F266" s="1732">
        <f t="shared" si="21"/>
        <v>442.24999999999989</v>
      </c>
      <c r="G266" s="1672">
        <f t="shared" si="23"/>
        <v>619.15</v>
      </c>
      <c r="H266" s="1670"/>
      <c r="I266" s="1670"/>
    </row>
    <row r="267" spans="1:9" ht="15.75">
      <c r="A267" s="1622"/>
      <c r="B267" s="1691">
        <f t="shared" si="22"/>
        <v>263</v>
      </c>
      <c r="C267" s="1731">
        <f t="shared" si="20"/>
        <v>706.19000000000347</v>
      </c>
      <c r="D267" s="1672">
        <f t="shared" si="24"/>
        <v>988.67</v>
      </c>
      <c r="E267" s="1670"/>
      <c r="F267" s="1732">
        <f t="shared" si="21"/>
        <v>443.93999999999988</v>
      </c>
      <c r="G267" s="1672">
        <f t="shared" si="23"/>
        <v>621.52</v>
      </c>
      <c r="H267" s="1670"/>
      <c r="I267" s="1670"/>
    </row>
    <row r="268" spans="1:9" ht="15.75">
      <c r="A268" s="1622"/>
      <c r="B268" s="1691">
        <f t="shared" si="22"/>
        <v>264</v>
      </c>
      <c r="C268" s="1731">
        <f t="shared" si="20"/>
        <v>708.88000000000352</v>
      </c>
      <c r="D268" s="1672">
        <f t="shared" si="24"/>
        <v>992.43</v>
      </c>
      <c r="E268" s="1670"/>
      <c r="F268" s="1732">
        <f t="shared" si="21"/>
        <v>445.62999999999988</v>
      </c>
      <c r="G268" s="1672">
        <f t="shared" si="23"/>
        <v>623.88</v>
      </c>
      <c r="H268" s="1670"/>
      <c r="I268" s="1670"/>
    </row>
    <row r="269" spans="1:9" ht="15.75">
      <c r="A269" s="1622"/>
      <c r="B269" s="1691">
        <f t="shared" si="22"/>
        <v>265</v>
      </c>
      <c r="C269" s="1731">
        <f t="shared" ref="C269:C332" si="25">C268+$C$1006</f>
        <v>711.57000000000357</v>
      </c>
      <c r="D269" s="1672">
        <f t="shared" si="24"/>
        <v>996.2</v>
      </c>
      <c r="E269" s="1670"/>
      <c r="F269" s="1732">
        <f t="shared" ref="F269:F332" si="26">F268+$F$1006</f>
        <v>447.31999999999988</v>
      </c>
      <c r="G269" s="1672">
        <f t="shared" si="23"/>
        <v>626.25</v>
      </c>
      <c r="H269" s="1670"/>
      <c r="I269" s="1670"/>
    </row>
    <row r="270" spans="1:9" ht="15.75">
      <c r="A270" s="1622"/>
      <c r="B270" s="1691">
        <f t="shared" ref="B270:B333" si="27">B269+1</f>
        <v>266</v>
      </c>
      <c r="C270" s="1731">
        <f t="shared" si="25"/>
        <v>714.26000000000363</v>
      </c>
      <c r="D270" s="1672">
        <f t="shared" si="24"/>
        <v>999.96</v>
      </c>
      <c r="E270" s="1670"/>
      <c r="F270" s="1732">
        <f t="shared" si="26"/>
        <v>449.00999999999988</v>
      </c>
      <c r="G270" s="1672">
        <f t="shared" si="23"/>
        <v>628.61</v>
      </c>
      <c r="H270" s="1670"/>
      <c r="I270" s="1670"/>
    </row>
    <row r="271" spans="1:9" ht="15.75">
      <c r="A271" s="1622"/>
      <c r="B271" s="1691">
        <f t="shared" si="27"/>
        <v>267</v>
      </c>
      <c r="C271" s="1731">
        <f t="shared" si="25"/>
        <v>716.95000000000368</v>
      </c>
      <c r="D271" s="1672">
        <f t="shared" si="24"/>
        <v>1003.73</v>
      </c>
      <c r="E271" s="1670"/>
      <c r="F271" s="1732">
        <f t="shared" si="26"/>
        <v>450.69999999999987</v>
      </c>
      <c r="G271" s="1672">
        <f t="shared" si="23"/>
        <v>630.98</v>
      </c>
      <c r="H271" s="1670"/>
      <c r="I271" s="1670"/>
    </row>
    <row r="272" spans="1:9" ht="15.75">
      <c r="A272" s="1622"/>
      <c r="B272" s="1691">
        <f t="shared" si="27"/>
        <v>268</v>
      </c>
      <c r="C272" s="1731">
        <f t="shared" si="25"/>
        <v>719.64000000000374</v>
      </c>
      <c r="D272" s="1672">
        <f t="shared" si="24"/>
        <v>1007.5</v>
      </c>
      <c r="E272" s="1670"/>
      <c r="F272" s="1732">
        <f t="shared" si="26"/>
        <v>452.38999999999987</v>
      </c>
      <c r="G272" s="1672">
        <f t="shared" si="23"/>
        <v>633.35</v>
      </c>
      <c r="H272" s="1670"/>
      <c r="I272" s="1670"/>
    </row>
    <row r="273" spans="1:9" ht="15.75">
      <c r="A273" s="1622"/>
      <c r="B273" s="1691">
        <f t="shared" si="27"/>
        <v>269</v>
      </c>
      <c r="C273" s="1731">
        <f t="shared" si="25"/>
        <v>722.33000000000379</v>
      </c>
      <c r="D273" s="1672">
        <f t="shared" si="24"/>
        <v>1011.26</v>
      </c>
      <c r="E273" s="1670"/>
      <c r="F273" s="1732">
        <f t="shared" si="26"/>
        <v>454.07999999999987</v>
      </c>
      <c r="G273" s="1672">
        <f t="shared" si="23"/>
        <v>635.71</v>
      </c>
      <c r="H273" s="1670"/>
      <c r="I273" s="1670"/>
    </row>
    <row r="274" spans="1:9" ht="15.75">
      <c r="A274" s="1622"/>
      <c r="B274" s="1691">
        <f t="shared" si="27"/>
        <v>270</v>
      </c>
      <c r="C274" s="1731">
        <f t="shared" si="25"/>
        <v>725.02000000000385</v>
      </c>
      <c r="D274" s="1672">
        <f t="shared" si="24"/>
        <v>1015.03</v>
      </c>
      <c r="E274" s="1670"/>
      <c r="F274" s="1732">
        <f t="shared" si="26"/>
        <v>455.76999999999987</v>
      </c>
      <c r="G274" s="1672">
        <f t="shared" si="23"/>
        <v>638.08000000000004</v>
      </c>
      <c r="H274" s="1670"/>
      <c r="I274" s="1670"/>
    </row>
    <row r="275" spans="1:9" ht="15.75">
      <c r="A275" s="1622"/>
      <c r="B275" s="1691">
        <f t="shared" si="27"/>
        <v>271</v>
      </c>
      <c r="C275" s="1731">
        <f t="shared" si="25"/>
        <v>727.7100000000039</v>
      </c>
      <c r="D275" s="1672">
        <f t="shared" si="24"/>
        <v>1018.79</v>
      </c>
      <c r="E275" s="1670"/>
      <c r="F275" s="1732">
        <f t="shared" si="26"/>
        <v>457.45999999999987</v>
      </c>
      <c r="G275" s="1672">
        <f t="shared" si="23"/>
        <v>640.44000000000005</v>
      </c>
      <c r="H275" s="1670"/>
      <c r="I275" s="1670"/>
    </row>
    <row r="276" spans="1:9" ht="15.75">
      <c r="A276" s="1622"/>
      <c r="B276" s="1691">
        <f t="shared" si="27"/>
        <v>272</v>
      </c>
      <c r="C276" s="1731">
        <f t="shared" si="25"/>
        <v>730.40000000000396</v>
      </c>
      <c r="D276" s="1672">
        <f t="shared" si="24"/>
        <v>1022.56</v>
      </c>
      <c r="E276" s="1670"/>
      <c r="F276" s="1732">
        <f t="shared" si="26"/>
        <v>459.14999999999986</v>
      </c>
      <c r="G276" s="1672">
        <f t="shared" si="23"/>
        <v>642.80999999999995</v>
      </c>
      <c r="H276" s="1670"/>
      <c r="I276" s="1670"/>
    </row>
    <row r="277" spans="1:9" ht="15.75">
      <c r="A277" s="1622"/>
      <c r="B277" s="1691">
        <f t="shared" si="27"/>
        <v>273</v>
      </c>
      <c r="C277" s="1731">
        <f t="shared" si="25"/>
        <v>733.09000000000401</v>
      </c>
      <c r="D277" s="1672">
        <f t="shared" si="24"/>
        <v>1026.33</v>
      </c>
      <c r="E277" s="1670"/>
      <c r="F277" s="1732">
        <f t="shared" si="26"/>
        <v>460.83999999999986</v>
      </c>
      <c r="G277" s="1672">
        <f t="shared" si="23"/>
        <v>645.17999999999995</v>
      </c>
      <c r="H277" s="1670"/>
      <c r="I277" s="1670"/>
    </row>
    <row r="278" spans="1:9" ht="15.75">
      <c r="A278" s="1622"/>
      <c r="B278" s="1691">
        <f t="shared" si="27"/>
        <v>274</v>
      </c>
      <c r="C278" s="1731">
        <f t="shared" si="25"/>
        <v>735.78000000000407</v>
      </c>
      <c r="D278" s="1672">
        <f t="shared" si="24"/>
        <v>1030.0899999999999</v>
      </c>
      <c r="E278" s="1670"/>
      <c r="F278" s="1732">
        <f t="shared" si="26"/>
        <v>462.52999999999986</v>
      </c>
      <c r="G278" s="1672">
        <f t="shared" si="23"/>
        <v>647.54</v>
      </c>
      <c r="H278" s="1670"/>
      <c r="I278" s="1670"/>
    </row>
    <row r="279" spans="1:9" ht="15.75">
      <c r="A279" s="1622"/>
      <c r="B279" s="1691">
        <f t="shared" si="27"/>
        <v>275</v>
      </c>
      <c r="C279" s="1731">
        <f t="shared" si="25"/>
        <v>738.47000000000412</v>
      </c>
      <c r="D279" s="1672">
        <f t="shared" si="24"/>
        <v>1033.8599999999999</v>
      </c>
      <c r="E279" s="1670"/>
      <c r="F279" s="1732">
        <f t="shared" si="26"/>
        <v>464.21999999999986</v>
      </c>
      <c r="G279" s="1672">
        <f t="shared" si="23"/>
        <v>649.91</v>
      </c>
      <c r="H279" s="1670"/>
      <c r="I279" s="1670"/>
    </row>
    <row r="280" spans="1:9" ht="15.75">
      <c r="A280" s="1622"/>
      <c r="B280" s="1691">
        <f t="shared" si="27"/>
        <v>276</v>
      </c>
      <c r="C280" s="1731">
        <f t="shared" si="25"/>
        <v>741.16000000000417</v>
      </c>
      <c r="D280" s="1672">
        <f t="shared" si="24"/>
        <v>1037.6199999999999</v>
      </c>
      <c r="E280" s="1670"/>
      <c r="F280" s="1732">
        <f t="shared" si="26"/>
        <v>465.90999999999985</v>
      </c>
      <c r="G280" s="1672">
        <f t="shared" si="23"/>
        <v>652.27</v>
      </c>
      <c r="H280" s="1670"/>
      <c r="I280" s="1670"/>
    </row>
    <row r="281" spans="1:9" ht="15.75">
      <c r="A281" s="1622"/>
      <c r="B281" s="1691">
        <f t="shared" si="27"/>
        <v>277</v>
      </c>
      <c r="C281" s="1731">
        <f t="shared" si="25"/>
        <v>743.85000000000423</v>
      </c>
      <c r="D281" s="1672">
        <f t="shared" si="24"/>
        <v>1041.3900000000001</v>
      </c>
      <c r="E281" s="1670"/>
      <c r="F281" s="1732">
        <f t="shared" si="26"/>
        <v>467.59999999999985</v>
      </c>
      <c r="G281" s="1672">
        <f t="shared" si="23"/>
        <v>654.64</v>
      </c>
      <c r="H281" s="1670"/>
      <c r="I281" s="1670"/>
    </row>
    <row r="282" spans="1:9" ht="15.75">
      <c r="A282" s="1622"/>
      <c r="B282" s="1691">
        <f t="shared" si="27"/>
        <v>278</v>
      </c>
      <c r="C282" s="1731">
        <f t="shared" si="25"/>
        <v>746.54000000000428</v>
      </c>
      <c r="D282" s="1672">
        <f t="shared" si="24"/>
        <v>1045.1600000000001</v>
      </c>
      <c r="E282" s="1670"/>
      <c r="F282" s="1732">
        <f t="shared" si="26"/>
        <v>469.28999999999985</v>
      </c>
      <c r="G282" s="1672">
        <f t="shared" si="23"/>
        <v>657.01</v>
      </c>
      <c r="H282" s="1670"/>
      <c r="I282" s="1670"/>
    </row>
    <row r="283" spans="1:9" ht="15.75">
      <c r="A283" s="1622"/>
      <c r="B283" s="1691">
        <f t="shared" si="27"/>
        <v>279</v>
      </c>
      <c r="C283" s="1731">
        <f t="shared" si="25"/>
        <v>749.23000000000434</v>
      </c>
      <c r="D283" s="1672">
        <f t="shared" si="24"/>
        <v>1048.92</v>
      </c>
      <c r="E283" s="1670"/>
      <c r="F283" s="1732">
        <f t="shared" si="26"/>
        <v>470.97999999999985</v>
      </c>
      <c r="G283" s="1672">
        <f t="shared" si="23"/>
        <v>659.37</v>
      </c>
      <c r="H283" s="1670"/>
      <c r="I283" s="1670"/>
    </row>
    <row r="284" spans="1:9" ht="15.75">
      <c r="A284" s="1622"/>
      <c r="B284" s="1691">
        <f t="shared" si="27"/>
        <v>280</v>
      </c>
      <c r="C284" s="1731">
        <f t="shared" si="25"/>
        <v>751.92000000000439</v>
      </c>
      <c r="D284" s="1672">
        <f t="shared" si="24"/>
        <v>1052.69</v>
      </c>
      <c r="E284" s="1670"/>
      <c r="F284" s="1732">
        <f t="shared" si="26"/>
        <v>472.66999999999985</v>
      </c>
      <c r="G284" s="1672">
        <f t="shared" si="23"/>
        <v>661.74</v>
      </c>
      <c r="H284" s="1670"/>
      <c r="I284" s="1670"/>
    </row>
    <row r="285" spans="1:9" ht="15.75">
      <c r="A285" s="1622"/>
      <c r="B285" s="1691">
        <f t="shared" si="27"/>
        <v>281</v>
      </c>
      <c r="C285" s="1731">
        <f t="shared" si="25"/>
        <v>754.61000000000445</v>
      </c>
      <c r="D285" s="1672">
        <f t="shared" si="24"/>
        <v>1056.45</v>
      </c>
      <c r="E285" s="1670"/>
      <c r="F285" s="1732">
        <f t="shared" si="26"/>
        <v>474.35999999999984</v>
      </c>
      <c r="G285" s="1672">
        <f t="shared" si="23"/>
        <v>664.1</v>
      </c>
      <c r="H285" s="1670"/>
      <c r="I285" s="1670"/>
    </row>
    <row r="286" spans="1:9" ht="15.75">
      <c r="A286" s="1622"/>
      <c r="B286" s="1691">
        <f t="shared" si="27"/>
        <v>282</v>
      </c>
      <c r="C286" s="1731">
        <f t="shared" si="25"/>
        <v>757.3000000000045</v>
      </c>
      <c r="D286" s="1672">
        <f t="shared" si="24"/>
        <v>1060.22</v>
      </c>
      <c r="E286" s="1670"/>
      <c r="F286" s="1732">
        <f t="shared" si="26"/>
        <v>476.04999999999984</v>
      </c>
      <c r="G286" s="1672">
        <f t="shared" si="23"/>
        <v>666.47</v>
      </c>
      <c r="H286" s="1670"/>
      <c r="I286" s="1670"/>
    </row>
    <row r="287" spans="1:9" ht="15.75">
      <c r="A287" s="1622"/>
      <c r="B287" s="1691">
        <f t="shared" si="27"/>
        <v>283</v>
      </c>
      <c r="C287" s="1731">
        <f t="shared" si="25"/>
        <v>759.99000000000456</v>
      </c>
      <c r="D287" s="1672">
        <f t="shared" si="24"/>
        <v>1063.99</v>
      </c>
      <c r="E287" s="1670"/>
      <c r="F287" s="1732">
        <f t="shared" si="26"/>
        <v>477.73999999999984</v>
      </c>
      <c r="G287" s="1672">
        <f t="shared" si="23"/>
        <v>668.84</v>
      </c>
      <c r="H287" s="1670"/>
      <c r="I287" s="1670"/>
    </row>
    <row r="288" spans="1:9" ht="15.75">
      <c r="A288" s="1622"/>
      <c r="B288" s="1691">
        <f t="shared" si="27"/>
        <v>284</v>
      </c>
      <c r="C288" s="1731">
        <f t="shared" si="25"/>
        <v>762.68000000000461</v>
      </c>
      <c r="D288" s="1672">
        <f t="shared" si="24"/>
        <v>1067.75</v>
      </c>
      <c r="E288" s="1670"/>
      <c r="F288" s="1732">
        <f t="shared" si="26"/>
        <v>479.42999999999984</v>
      </c>
      <c r="G288" s="1672">
        <f t="shared" si="23"/>
        <v>671.2</v>
      </c>
      <c r="H288" s="1670"/>
      <c r="I288" s="1670"/>
    </row>
    <row r="289" spans="1:9" ht="15.75">
      <c r="A289" s="1622"/>
      <c r="B289" s="1691">
        <f t="shared" si="27"/>
        <v>285</v>
      </c>
      <c r="C289" s="1731">
        <f t="shared" si="25"/>
        <v>765.37000000000467</v>
      </c>
      <c r="D289" s="1672">
        <f t="shared" si="24"/>
        <v>1071.52</v>
      </c>
      <c r="E289" s="1670"/>
      <c r="F289" s="1732">
        <f t="shared" si="26"/>
        <v>481.11999999999983</v>
      </c>
      <c r="G289" s="1672">
        <f t="shared" si="23"/>
        <v>673.57</v>
      </c>
      <c r="H289" s="1670"/>
      <c r="I289" s="1670"/>
    </row>
    <row r="290" spans="1:9" ht="15.75">
      <c r="A290" s="1622"/>
      <c r="B290" s="1691">
        <f t="shared" si="27"/>
        <v>286</v>
      </c>
      <c r="C290" s="1731">
        <f t="shared" si="25"/>
        <v>768.06000000000472</v>
      </c>
      <c r="D290" s="1672">
        <f t="shared" si="24"/>
        <v>1075.28</v>
      </c>
      <c r="E290" s="1670"/>
      <c r="F290" s="1732">
        <f t="shared" si="26"/>
        <v>482.80999999999983</v>
      </c>
      <c r="G290" s="1672">
        <f t="shared" si="23"/>
        <v>675.93</v>
      </c>
      <c r="H290" s="1670"/>
      <c r="I290" s="1670"/>
    </row>
    <row r="291" spans="1:9" ht="15.75">
      <c r="A291" s="1622"/>
      <c r="B291" s="1691">
        <f t="shared" si="27"/>
        <v>287</v>
      </c>
      <c r="C291" s="1731">
        <f t="shared" si="25"/>
        <v>770.75000000000477</v>
      </c>
      <c r="D291" s="1672">
        <f t="shared" si="24"/>
        <v>1079.05</v>
      </c>
      <c r="E291" s="1670"/>
      <c r="F291" s="1732">
        <f t="shared" si="26"/>
        <v>484.49999999999983</v>
      </c>
      <c r="G291" s="1672">
        <f t="shared" si="23"/>
        <v>678.3</v>
      </c>
      <c r="H291" s="1670"/>
      <c r="I291" s="1670"/>
    </row>
    <row r="292" spans="1:9" ht="15.75">
      <c r="A292" s="1622"/>
      <c r="B292" s="1691">
        <f t="shared" si="27"/>
        <v>288</v>
      </c>
      <c r="C292" s="1731">
        <f t="shared" si="25"/>
        <v>773.44000000000483</v>
      </c>
      <c r="D292" s="1672">
        <f t="shared" si="24"/>
        <v>1082.82</v>
      </c>
      <c r="E292" s="1670"/>
      <c r="F292" s="1732">
        <f t="shared" si="26"/>
        <v>486.18999999999983</v>
      </c>
      <c r="G292" s="1672">
        <f t="shared" si="23"/>
        <v>680.67</v>
      </c>
      <c r="H292" s="1670"/>
      <c r="I292" s="1670"/>
    </row>
    <row r="293" spans="1:9" ht="15.75">
      <c r="A293" s="1622"/>
      <c r="B293" s="1691">
        <f t="shared" si="27"/>
        <v>289</v>
      </c>
      <c r="C293" s="1731">
        <f t="shared" si="25"/>
        <v>776.13000000000488</v>
      </c>
      <c r="D293" s="1672">
        <f t="shared" si="24"/>
        <v>1086.58</v>
      </c>
      <c r="E293" s="1670"/>
      <c r="F293" s="1732">
        <f t="shared" si="26"/>
        <v>487.87999999999982</v>
      </c>
      <c r="G293" s="1672">
        <f t="shared" si="23"/>
        <v>683.03</v>
      </c>
      <c r="H293" s="1670"/>
      <c r="I293" s="1670"/>
    </row>
    <row r="294" spans="1:9" ht="15.75">
      <c r="A294" s="1622"/>
      <c r="B294" s="1691">
        <f t="shared" si="27"/>
        <v>290</v>
      </c>
      <c r="C294" s="1731">
        <f t="shared" si="25"/>
        <v>778.82000000000494</v>
      </c>
      <c r="D294" s="1672">
        <f t="shared" si="24"/>
        <v>1090.3499999999999</v>
      </c>
      <c r="E294" s="1670"/>
      <c r="F294" s="1732">
        <f t="shared" si="26"/>
        <v>489.56999999999982</v>
      </c>
      <c r="G294" s="1672">
        <f t="shared" si="23"/>
        <v>685.4</v>
      </c>
      <c r="H294" s="1670"/>
      <c r="I294" s="1670"/>
    </row>
    <row r="295" spans="1:9" ht="15.75">
      <c r="A295" s="1622"/>
      <c r="B295" s="1691">
        <f t="shared" si="27"/>
        <v>291</v>
      </c>
      <c r="C295" s="1731">
        <f t="shared" si="25"/>
        <v>781.51000000000499</v>
      </c>
      <c r="D295" s="1672">
        <f t="shared" si="24"/>
        <v>1094.1099999999999</v>
      </c>
      <c r="E295" s="1670"/>
      <c r="F295" s="1732">
        <f t="shared" si="26"/>
        <v>491.25999999999982</v>
      </c>
      <c r="G295" s="1672">
        <f t="shared" si="23"/>
        <v>687.76</v>
      </c>
      <c r="H295" s="1670"/>
      <c r="I295" s="1670"/>
    </row>
    <row r="296" spans="1:9" ht="15.75">
      <c r="A296" s="1622"/>
      <c r="B296" s="1691">
        <f t="shared" si="27"/>
        <v>292</v>
      </c>
      <c r="C296" s="1731">
        <f t="shared" si="25"/>
        <v>784.20000000000505</v>
      </c>
      <c r="D296" s="1672">
        <f t="shared" si="24"/>
        <v>1097.8800000000001</v>
      </c>
      <c r="E296" s="1670"/>
      <c r="F296" s="1732">
        <f t="shared" si="26"/>
        <v>492.94999999999982</v>
      </c>
      <c r="G296" s="1672">
        <f t="shared" si="23"/>
        <v>690.13</v>
      </c>
      <c r="H296" s="1670"/>
      <c r="I296" s="1670"/>
    </row>
    <row r="297" spans="1:9" ht="15.75">
      <c r="A297" s="1622"/>
      <c r="B297" s="1691">
        <f t="shared" si="27"/>
        <v>293</v>
      </c>
      <c r="C297" s="1731">
        <f t="shared" si="25"/>
        <v>786.8900000000051</v>
      </c>
      <c r="D297" s="1672">
        <f t="shared" si="24"/>
        <v>1101.6500000000001</v>
      </c>
      <c r="E297" s="1670"/>
      <c r="F297" s="1732">
        <f t="shared" si="26"/>
        <v>494.63999999999982</v>
      </c>
      <c r="G297" s="1672">
        <f t="shared" si="23"/>
        <v>692.5</v>
      </c>
      <c r="H297" s="1670"/>
      <c r="I297" s="1670"/>
    </row>
    <row r="298" spans="1:9" ht="15.75">
      <c r="A298" s="1622"/>
      <c r="B298" s="1691">
        <f t="shared" si="27"/>
        <v>294</v>
      </c>
      <c r="C298" s="1731">
        <f t="shared" si="25"/>
        <v>789.58000000000516</v>
      </c>
      <c r="D298" s="1672">
        <f t="shared" si="24"/>
        <v>1105.4100000000001</v>
      </c>
      <c r="E298" s="1670"/>
      <c r="F298" s="1732">
        <f t="shared" si="26"/>
        <v>496.32999999999981</v>
      </c>
      <c r="G298" s="1672">
        <f t="shared" si="23"/>
        <v>694.86</v>
      </c>
      <c r="H298" s="1670"/>
      <c r="I298" s="1670"/>
    </row>
    <row r="299" spans="1:9" ht="15.75">
      <c r="A299" s="1622"/>
      <c r="B299" s="1691">
        <f t="shared" si="27"/>
        <v>295</v>
      </c>
      <c r="C299" s="1731">
        <f t="shared" si="25"/>
        <v>792.27000000000521</v>
      </c>
      <c r="D299" s="1672">
        <f t="shared" si="24"/>
        <v>1109.18</v>
      </c>
      <c r="E299" s="1670"/>
      <c r="F299" s="1732">
        <f t="shared" si="26"/>
        <v>498.01999999999981</v>
      </c>
      <c r="G299" s="1672">
        <f t="shared" si="23"/>
        <v>697.23</v>
      </c>
      <c r="H299" s="1670"/>
      <c r="I299" s="1670"/>
    </row>
    <row r="300" spans="1:9" ht="15.75">
      <c r="A300" s="1622"/>
      <c r="B300" s="1691">
        <f t="shared" si="27"/>
        <v>296</v>
      </c>
      <c r="C300" s="1731">
        <f t="shared" si="25"/>
        <v>794.96000000000527</v>
      </c>
      <c r="D300" s="1672">
        <f t="shared" si="24"/>
        <v>1112.94</v>
      </c>
      <c r="E300" s="1670"/>
      <c r="F300" s="1732">
        <f t="shared" si="26"/>
        <v>499.70999999999981</v>
      </c>
      <c r="G300" s="1672">
        <f t="shared" si="23"/>
        <v>699.59</v>
      </c>
      <c r="H300" s="1670"/>
      <c r="I300" s="1670"/>
    </row>
    <row r="301" spans="1:9" ht="15.75">
      <c r="A301" s="1622"/>
      <c r="B301" s="1691">
        <f t="shared" si="27"/>
        <v>297</v>
      </c>
      <c r="C301" s="1731">
        <f t="shared" si="25"/>
        <v>797.65000000000532</v>
      </c>
      <c r="D301" s="1672">
        <f t="shared" si="24"/>
        <v>1116.71</v>
      </c>
      <c r="E301" s="1670"/>
      <c r="F301" s="1732">
        <f t="shared" si="26"/>
        <v>501.39999999999981</v>
      </c>
      <c r="G301" s="1672">
        <f t="shared" si="23"/>
        <v>701.96</v>
      </c>
      <c r="H301" s="1670"/>
      <c r="I301" s="1670"/>
    </row>
    <row r="302" spans="1:9" ht="15.75">
      <c r="A302" s="1622"/>
      <c r="B302" s="1691">
        <f t="shared" si="27"/>
        <v>298</v>
      </c>
      <c r="C302" s="1731">
        <f t="shared" si="25"/>
        <v>800.34000000000538</v>
      </c>
      <c r="D302" s="1672">
        <f t="shared" si="24"/>
        <v>1120.48</v>
      </c>
      <c r="E302" s="1670"/>
      <c r="F302" s="1732">
        <f t="shared" si="26"/>
        <v>503.0899999999998</v>
      </c>
      <c r="G302" s="1672">
        <f t="shared" si="23"/>
        <v>704.33</v>
      </c>
      <c r="H302" s="1670"/>
      <c r="I302" s="1670"/>
    </row>
    <row r="303" spans="1:9" ht="15.75">
      <c r="A303" s="1622"/>
      <c r="B303" s="1691">
        <f t="shared" si="27"/>
        <v>299</v>
      </c>
      <c r="C303" s="1731">
        <f t="shared" si="25"/>
        <v>803.03000000000543</v>
      </c>
      <c r="D303" s="1672">
        <f t="shared" si="24"/>
        <v>1124.24</v>
      </c>
      <c r="E303" s="1670"/>
      <c r="F303" s="1732">
        <f t="shared" si="26"/>
        <v>504.7799999999998</v>
      </c>
      <c r="G303" s="1672">
        <f t="shared" si="23"/>
        <v>706.69</v>
      </c>
      <c r="H303" s="1670"/>
      <c r="I303" s="1670"/>
    </row>
    <row r="304" spans="1:9" ht="15.75">
      <c r="A304" s="1622"/>
      <c r="B304" s="1691">
        <f t="shared" si="27"/>
        <v>300</v>
      </c>
      <c r="C304" s="1731">
        <f t="shared" si="25"/>
        <v>805.72000000000548</v>
      </c>
      <c r="D304" s="1672">
        <f t="shared" si="24"/>
        <v>1128.01</v>
      </c>
      <c r="E304" s="1670"/>
      <c r="F304" s="1732">
        <f t="shared" si="26"/>
        <v>506.4699999999998</v>
      </c>
      <c r="G304" s="1672">
        <f t="shared" si="23"/>
        <v>709.06</v>
      </c>
      <c r="H304" s="1670"/>
      <c r="I304" s="1670"/>
    </row>
    <row r="305" spans="1:9" ht="15.75">
      <c r="A305" s="1622"/>
      <c r="B305" s="1691">
        <f t="shared" si="27"/>
        <v>301</v>
      </c>
      <c r="C305" s="1731">
        <f t="shared" si="25"/>
        <v>808.41000000000554</v>
      </c>
      <c r="D305" s="1672">
        <f t="shared" si="24"/>
        <v>1131.77</v>
      </c>
      <c r="E305" s="1670"/>
      <c r="F305" s="1732">
        <f t="shared" si="26"/>
        <v>508.1599999999998</v>
      </c>
      <c r="G305" s="1672">
        <f t="shared" si="23"/>
        <v>711.42</v>
      </c>
      <c r="H305" s="1670"/>
      <c r="I305" s="1670"/>
    </row>
    <row r="306" spans="1:9" ht="15.75">
      <c r="A306" s="1622"/>
      <c r="B306" s="1691">
        <f t="shared" si="27"/>
        <v>302</v>
      </c>
      <c r="C306" s="1731">
        <f t="shared" si="25"/>
        <v>811.10000000000559</v>
      </c>
      <c r="D306" s="1672">
        <f t="shared" si="24"/>
        <v>1135.54</v>
      </c>
      <c r="E306" s="1670"/>
      <c r="F306" s="1732">
        <f t="shared" si="26"/>
        <v>509.8499999999998</v>
      </c>
      <c r="G306" s="1672">
        <f t="shared" si="23"/>
        <v>713.79</v>
      </c>
      <c r="H306" s="1670"/>
      <c r="I306" s="1670"/>
    </row>
    <row r="307" spans="1:9" ht="15.75">
      <c r="A307" s="1622"/>
      <c r="B307" s="1691">
        <f t="shared" si="27"/>
        <v>303</v>
      </c>
      <c r="C307" s="1731">
        <f t="shared" si="25"/>
        <v>813.79000000000565</v>
      </c>
      <c r="D307" s="1672">
        <f t="shared" si="24"/>
        <v>1139.31</v>
      </c>
      <c r="E307" s="1670"/>
      <c r="F307" s="1732">
        <f t="shared" si="26"/>
        <v>511.53999999999979</v>
      </c>
      <c r="G307" s="1672">
        <f t="shared" si="23"/>
        <v>716.16</v>
      </c>
      <c r="H307" s="1670"/>
      <c r="I307" s="1670"/>
    </row>
    <row r="308" spans="1:9" ht="15.75">
      <c r="A308" s="1622"/>
      <c r="B308" s="1691">
        <f t="shared" si="27"/>
        <v>304</v>
      </c>
      <c r="C308" s="1731">
        <f t="shared" si="25"/>
        <v>816.4800000000057</v>
      </c>
      <c r="D308" s="1672">
        <f t="shared" si="24"/>
        <v>1143.07</v>
      </c>
      <c r="E308" s="1670"/>
      <c r="F308" s="1732">
        <f t="shared" si="26"/>
        <v>513.22999999999979</v>
      </c>
      <c r="G308" s="1672">
        <f t="shared" si="23"/>
        <v>718.52</v>
      </c>
      <c r="H308" s="1670"/>
      <c r="I308" s="1670"/>
    </row>
    <row r="309" spans="1:9" ht="15.75">
      <c r="A309" s="1622"/>
      <c r="B309" s="1691">
        <f t="shared" si="27"/>
        <v>305</v>
      </c>
      <c r="C309" s="1731">
        <f t="shared" si="25"/>
        <v>819.17000000000576</v>
      </c>
      <c r="D309" s="1672">
        <f t="shared" si="24"/>
        <v>1146.8399999999999</v>
      </c>
      <c r="E309" s="1670"/>
      <c r="F309" s="1732">
        <f t="shared" si="26"/>
        <v>514.91999999999985</v>
      </c>
      <c r="G309" s="1672">
        <f t="shared" si="23"/>
        <v>720.89</v>
      </c>
      <c r="H309" s="1670"/>
      <c r="I309" s="1670"/>
    </row>
    <row r="310" spans="1:9" ht="15.75">
      <c r="A310" s="1622"/>
      <c r="B310" s="1691">
        <f t="shared" si="27"/>
        <v>306</v>
      </c>
      <c r="C310" s="1731">
        <f t="shared" si="25"/>
        <v>821.86000000000581</v>
      </c>
      <c r="D310" s="1672">
        <f t="shared" si="24"/>
        <v>1150.5999999999999</v>
      </c>
      <c r="E310" s="1670"/>
      <c r="F310" s="1732">
        <f t="shared" si="26"/>
        <v>516.6099999999999</v>
      </c>
      <c r="G310" s="1672">
        <f t="shared" si="23"/>
        <v>723.25</v>
      </c>
      <c r="H310" s="1670"/>
      <c r="I310" s="1670"/>
    </row>
    <row r="311" spans="1:9" ht="15.75">
      <c r="A311" s="1622"/>
      <c r="B311" s="1691">
        <f t="shared" si="27"/>
        <v>307</v>
      </c>
      <c r="C311" s="1731">
        <f t="shared" si="25"/>
        <v>824.55000000000587</v>
      </c>
      <c r="D311" s="1672">
        <f t="shared" si="24"/>
        <v>1154.3699999999999</v>
      </c>
      <c r="E311" s="1670"/>
      <c r="F311" s="1732">
        <f t="shared" si="26"/>
        <v>518.29999999999995</v>
      </c>
      <c r="G311" s="1672">
        <f t="shared" si="23"/>
        <v>725.62</v>
      </c>
      <c r="H311" s="1670"/>
      <c r="I311" s="1670"/>
    </row>
    <row r="312" spans="1:9" ht="15.75">
      <c r="A312" s="1622"/>
      <c r="B312" s="1691">
        <f t="shared" si="27"/>
        <v>308</v>
      </c>
      <c r="C312" s="1731">
        <f t="shared" si="25"/>
        <v>827.24000000000592</v>
      </c>
      <c r="D312" s="1672">
        <f t="shared" si="24"/>
        <v>1158.1400000000001</v>
      </c>
      <c r="E312" s="1670"/>
      <c r="F312" s="1732">
        <f t="shared" si="26"/>
        <v>519.99</v>
      </c>
      <c r="G312" s="1672">
        <f t="shared" si="23"/>
        <v>727.99</v>
      </c>
      <c r="H312" s="1670"/>
      <c r="I312" s="1670"/>
    </row>
    <row r="313" spans="1:9" ht="15.75">
      <c r="A313" s="1622"/>
      <c r="B313" s="1691">
        <f t="shared" si="27"/>
        <v>309</v>
      </c>
      <c r="C313" s="1731">
        <f t="shared" si="25"/>
        <v>829.93000000000598</v>
      </c>
      <c r="D313" s="1672">
        <f t="shared" si="24"/>
        <v>1161.9000000000001</v>
      </c>
      <c r="E313" s="1670"/>
      <c r="F313" s="1732">
        <f t="shared" si="26"/>
        <v>521.68000000000006</v>
      </c>
      <c r="G313" s="1672">
        <f t="shared" si="23"/>
        <v>730.35</v>
      </c>
      <c r="H313" s="1670"/>
      <c r="I313" s="1670"/>
    </row>
    <row r="314" spans="1:9" ht="15.75">
      <c r="A314" s="1622"/>
      <c r="B314" s="1691">
        <f t="shared" si="27"/>
        <v>310</v>
      </c>
      <c r="C314" s="1731">
        <f t="shared" si="25"/>
        <v>832.62000000000603</v>
      </c>
      <c r="D314" s="1672">
        <f t="shared" si="24"/>
        <v>1165.67</v>
      </c>
      <c r="E314" s="1670"/>
      <c r="F314" s="1732">
        <f t="shared" si="26"/>
        <v>523.37000000000012</v>
      </c>
      <c r="G314" s="1672">
        <f t="shared" si="23"/>
        <v>732.72</v>
      </c>
      <c r="H314" s="1670"/>
      <c r="I314" s="1670"/>
    </row>
    <row r="315" spans="1:9" ht="15.75">
      <c r="A315" s="1622"/>
      <c r="B315" s="1691">
        <f t="shared" si="27"/>
        <v>311</v>
      </c>
      <c r="C315" s="1731">
        <f t="shared" si="25"/>
        <v>835.31000000000608</v>
      </c>
      <c r="D315" s="1672">
        <f t="shared" si="24"/>
        <v>1169.43</v>
      </c>
      <c r="E315" s="1670"/>
      <c r="F315" s="1732">
        <f t="shared" si="26"/>
        <v>525.06000000000017</v>
      </c>
      <c r="G315" s="1672">
        <f t="shared" si="23"/>
        <v>735.08</v>
      </c>
      <c r="H315" s="1670"/>
      <c r="I315" s="1670"/>
    </row>
    <row r="316" spans="1:9" ht="15.75">
      <c r="A316" s="1622"/>
      <c r="B316" s="1691">
        <f t="shared" si="27"/>
        <v>312</v>
      </c>
      <c r="C316" s="1731">
        <f t="shared" si="25"/>
        <v>838.00000000000614</v>
      </c>
      <c r="D316" s="1672">
        <f t="shared" si="24"/>
        <v>1173.2</v>
      </c>
      <c r="E316" s="1670"/>
      <c r="F316" s="1732">
        <f t="shared" si="26"/>
        <v>526.75000000000023</v>
      </c>
      <c r="G316" s="1672">
        <f t="shared" si="23"/>
        <v>737.45</v>
      </c>
      <c r="H316" s="1670"/>
      <c r="I316" s="1670"/>
    </row>
    <row r="317" spans="1:9" ht="15.75">
      <c r="A317" s="1622"/>
      <c r="B317" s="1691">
        <f t="shared" si="27"/>
        <v>313</v>
      </c>
      <c r="C317" s="1731">
        <f t="shared" si="25"/>
        <v>840.69000000000619</v>
      </c>
      <c r="D317" s="1672">
        <f t="shared" si="24"/>
        <v>1176.97</v>
      </c>
      <c r="E317" s="1670"/>
      <c r="F317" s="1732">
        <f t="shared" si="26"/>
        <v>528.44000000000028</v>
      </c>
      <c r="G317" s="1672">
        <f t="shared" si="23"/>
        <v>739.82</v>
      </c>
      <c r="H317" s="1670"/>
      <c r="I317" s="1670"/>
    </row>
    <row r="318" spans="1:9" ht="15.75">
      <c r="A318" s="1622"/>
      <c r="B318" s="1691">
        <f t="shared" si="27"/>
        <v>314</v>
      </c>
      <c r="C318" s="1731">
        <f t="shared" si="25"/>
        <v>843.38000000000625</v>
      </c>
      <c r="D318" s="1672">
        <f t="shared" si="24"/>
        <v>1180.73</v>
      </c>
      <c r="E318" s="1670"/>
      <c r="F318" s="1732">
        <f t="shared" si="26"/>
        <v>530.13000000000034</v>
      </c>
      <c r="G318" s="1672">
        <f t="shared" si="23"/>
        <v>742.18</v>
      </c>
      <c r="H318" s="1670"/>
      <c r="I318" s="1670"/>
    </row>
    <row r="319" spans="1:9" ht="15.75">
      <c r="A319" s="1622"/>
      <c r="B319" s="1691">
        <f t="shared" si="27"/>
        <v>315</v>
      </c>
      <c r="C319" s="1731">
        <f t="shared" si="25"/>
        <v>846.0700000000063</v>
      </c>
      <c r="D319" s="1672">
        <f t="shared" si="24"/>
        <v>1184.5</v>
      </c>
      <c r="E319" s="1670"/>
      <c r="F319" s="1732">
        <f t="shared" si="26"/>
        <v>531.82000000000039</v>
      </c>
      <c r="G319" s="1672">
        <f t="shared" si="23"/>
        <v>744.55</v>
      </c>
      <c r="H319" s="1670"/>
      <c r="I319" s="1670"/>
    </row>
    <row r="320" spans="1:9" ht="15.75">
      <c r="A320" s="1622"/>
      <c r="B320" s="1691">
        <f t="shared" si="27"/>
        <v>316</v>
      </c>
      <c r="C320" s="1731">
        <f t="shared" si="25"/>
        <v>848.76000000000636</v>
      </c>
      <c r="D320" s="1672">
        <f t="shared" si="24"/>
        <v>1188.26</v>
      </c>
      <c r="E320" s="1670"/>
      <c r="F320" s="1732">
        <f t="shared" si="26"/>
        <v>533.51000000000045</v>
      </c>
      <c r="G320" s="1672">
        <f t="shared" si="23"/>
        <v>746.91</v>
      </c>
      <c r="H320" s="1670"/>
      <c r="I320" s="1670"/>
    </row>
    <row r="321" spans="1:9" ht="15.75">
      <c r="A321" s="1622"/>
      <c r="B321" s="1691">
        <f t="shared" si="27"/>
        <v>317</v>
      </c>
      <c r="C321" s="1731">
        <f t="shared" si="25"/>
        <v>851.45000000000641</v>
      </c>
      <c r="D321" s="1672">
        <f t="shared" si="24"/>
        <v>1192.03</v>
      </c>
      <c r="E321" s="1670"/>
      <c r="F321" s="1732">
        <f t="shared" si="26"/>
        <v>535.2000000000005</v>
      </c>
      <c r="G321" s="1672">
        <f t="shared" si="23"/>
        <v>749.28</v>
      </c>
      <c r="H321" s="1670"/>
      <c r="I321" s="1670"/>
    </row>
    <row r="322" spans="1:9" ht="15.75">
      <c r="A322" s="1622"/>
      <c r="B322" s="1691">
        <f t="shared" si="27"/>
        <v>318</v>
      </c>
      <c r="C322" s="1731">
        <f t="shared" si="25"/>
        <v>854.14000000000647</v>
      </c>
      <c r="D322" s="1672">
        <f t="shared" si="24"/>
        <v>1195.8</v>
      </c>
      <c r="E322" s="1670"/>
      <c r="F322" s="1732">
        <f t="shared" si="26"/>
        <v>536.89000000000055</v>
      </c>
      <c r="G322" s="1672">
        <f t="shared" si="23"/>
        <v>751.65</v>
      </c>
      <c r="H322" s="1670"/>
      <c r="I322" s="1670"/>
    </row>
    <row r="323" spans="1:9" ht="15.75">
      <c r="A323" s="1622"/>
      <c r="B323" s="1691">
        <f t="shared" si="27"/>
        <v>319</v>
      </c>
      <c r="C323" s="1731">
        <f t="shared" si="25"/>
        <v>856.83000000000652</v>
      </c>
      <c r="D323" s="1672">
        <f t="shared" si="24"/>
        <v>1199.56</v>
      </c>
      <c r="E323" s="1670"/>
      <c r="F323" s="1732">
        <f t="shared" si="26"/>
        <v>538.58000000000061</v>
      </c>
      <c r="G323" s="1672">
        <f t="shared" si="23"/>
        <v>754.01</v>
      </c>
      <c r="H323" s="1670"/>
      <c r="I323" s="1670"/>
    </row>
    <row r="324" spans="1:9" ht="15.75">
      <c r="A324" s="1622"/>
      <c r="B324" s="1691">
        <f t="shared" si="27"/>
        <v>320</v>
      </c>
      <c r="C324" s="1731">
        <f t="shared" si="25"/>
        <v>859.52000000000658</v>
      </c>
      <c r="D324" s="1672">
        <f t="shared" si="24"/>
        <v>1203.33</v>
      </c>
      <c r="E324" s="1670"/>
      <c r="F324" s="1732">
        <f t="shared" si="26"/>
        <v>540.27000000000066</v>
      </c>
      <c r="G324" s="1672">
        <f t="shared" si="23"/>
        <v>756.38</v>
      </c>
      <c r="H324" s="1670"/>
      <c r="I324" s="1670"/>
    </row>
    <row r="325" spans="1:9" ht="15.75">
      <c r="A325" s="1622"/>
      <c r="B325" s="1691">
        <f t="shared" si="27"/>
        <v>321</v>
      </c>
      <c r="C325" s="1731">
        <f t="shared" si="25"/>
        <v>862.21000000000663</v>
      </c>
      <c r="D325" s="1672">
        <f t="shared" si="24"/>
        <v>1207.0899999999999</v>
      </c>
      <c r="E325" s="1670"/>
      <c r="F325" s="1732">
        <f t="shared" si="26"/>
        <v>541.96000000000072</v>
      </c>
      <c r="G325" s="1672">
        <f t="shared" ref="G325:G388" si="28">ROUND(F325*1.4,2)</f>
        <v>758.74</v>
      </c>
      <c r="H325" s="1670"/>
      <c r="I325" s="1670"/>
    </row>
    <row r="326" spans="1:9" ht="15.75">
      <c r="A326" s="1622"/>
      <c r="B326" s="1691">
        <f t="shared" si="27"/>
        <v>322</v>
      </c>
      <c r="C326" s="1731">
        <f t="shared" si="25"/>
        <v>864.90000000000668</v>
      </c>
      <c r="D326" s="1672">
        <f t="shared" ref="D326:D389" si="29">ROUND(C326*1.4,2)</f>
        <v>1210.8599999999999</v>
      </c>
      <c r="E326" s="1670"/>
      <c r="F326" s="1732">
        <f t="shared" si="26"/>
        <v>543.65000000000077</v>
      </c>
      <c r="G326" s="1672">
        <f t="shared" si="28"/>
        <v>761.11</v>
      </c>
      <c r="H326" s="1670"/>
      <c r="I326" s="1670"/>
    </row>
    <row r="327" spans="1:9" ht="15.75">
      <c r="A327" s="1622"/>
      <c r="B327" s="1691">
        <f t="shared" si="27"/>
        <v>323</v>
      </c>
      <c r="C327" s="1731">
        <f t="shared" si="25"/>
        <v>867.59000000000674</v>
      </c>
      <c r="D327" s="1672">
        <f t="shared" si="29"/>
        <v>1214.6300000000001</v>
      </c>
      <c r="E327" s="1670"/>
      <c r="F327" s="1732">
        <f t="shared" si="26"/>
        <v>545.34000000000083</v>
      </c>
      <c r="G327" s="1672">
        <f t="shared" si="28"/>
        <v>763.48</v>
      </c>
      <c r="H327" s="1670"/>
      <c r="I327" s="1670"/>
    </row>
    <row r="328" spans="1:9" ht="15.75">
      <c r="A328" s="1622"/>
      <c r="B328" s="1691">
        <f t="shared" si="27"/>
        <v>324</v>
      </c>
      <c r="C328" s="1731">
        <f t="shared" si="25"/>
        <v>870.28000000000679</v>
      </c>
      <c r="D328" s="1672">
        <f t="shared" si="29"/>
        <v>1218.3900000000001</v>
      </c>
      <c r="E328" s="1670"/>
      <c r="F328" s="1732">
        <f t="shared" si="26"/>
        <v>547.03000000000088</v>
      </c>
      <c r="G328" s="1672">
        <f t="shared" si="28"/>
        <v>765.84</v>
      </c>
      <c r="H328" s="1670"/>
      <c r="I328" s="1670"/>
    </row>
    <row r="329" spans="1:9" ht="15.75">
      <c r="A329" s="1622"/>
      <c r="B329" s="1691">
        <f t="shared" si="27"/>
        <v>325</v>
      </c>
      <c r="C329" s="1731">
        <f t="shared" si="25"/>
        <v>872.97000000000685</v>
      </c>
      <c r="D329" s="1672">
        <f t="shared" si="29"/>
        <v>1222.1600000000001</v>
      </c>
      <c r="E329" s="1670"/>
      <c r="F329" s="1732">
        <f t="shared" si="26"/>
        <v>548.72000000000094</v>
      </c>
      <c r="G329" s="1672">
        <f t="shared" si="28"/>
        <v>768.21</v>
      </c>
      <c r="H329" s="1670"/>
      <c r="I329" s="1670"/>
    </row>
    <row r="330" spans="1:9" ht="15.75">
      <c r="A330" s="1622"/>
      <c r="B330" s="1691">
        <f t="shared" si="27"/>
        <v>326</v>
      </c>
      <c r="C330" s="1731">
        <f t="shared" si="25"/>
        <v>875.6600000000069</v>
      </c>
      <c r="D330" s="1672">
        <f t="shared" si="29"/>
        <v>1225.92</v>
      </c>
      <c r="E330" s="1670"/>
      <c r="F330" s="1732">
        <f t="shared" si="26"/>
        <v>550.41000000000099</v>
      </c>
      <c r="G330" s="1672">
        <f t="shared" si="28"/>
        <v>770.57</v>
      </c>
      <c r="H330" s="1670"/>
      <c r="I330" s="1670"/>
    </row>
    <row r="331" spans="1:9" ht="15.75">
      <c r="A331" s="1622"/>
      <c r="B331" s="1691">
        <f t="shared" si="27"/>
        <v>327</v>
      </c>
      <c r="C331" s="1731">
        <f t="shared" si="25"/>
        <v>878.35000000000696</v>
      </c>
      <c r="D331" s="1672">
        <f t="shared" si="29"/>
        <v>1229.69</v>
      </c>
      <c r="E331" s="1670"/>
      <c r="F331" s="1732">
        <f t="shared" si="26"/>
        <v>552.10000000000105</v>
      </c>
      <c r="G331" s="1672">
        <f t="shared" si="28"/>
        <v>772.94</v>
      </c>
      <c r="H331" s="1670"/>
      <c r="I331" s="1670"/>
    </row>
    <row r="332" spans="1:9" ht="15.75">
      <c r="A332" s="1622"/>
      <c r="B332" s="1691">
        <f t="shared" si="27"/>
        <v>328</v>
      </c>
      <c r="C332" s="1731">
        <f t="shared" si="25"/>
        <v>881.04000000000701</v>
      </c>
      <c r="D332" s="1672">
        <f t="shared" si="29"/>
        <v>1233.46</v>
      </c>
      <c r="E332" s="1670"/>
      <c r="F332" s="1732">
        <f t="shared" si="26"/>
        <v>553.7900000000011</v>
      </c>
      <c r="G332" s="1672">
        <f t="shared" si="28"/>
        <v>775.31</v>
      </c>
      <c r="H332" s="1670"/>
      <c r="I332" s="1670"/>
    </row>
    <row r="333" spans="1:9" ht="15.75">
      <c r="A333" s="1622"/>
      <c r="B333" s="1691">
        <f t="shared" si="27"/>
        <v>329</v>
      </c>
      <c r="C333" s="1731">
        <f t="shared" ref="C333:C396" si="30">C332+$C$1006</f>
        <v>883.73000000000707</v>
      </c>
      <c r="D333" s="1672">
        <f t="shared" si="29"/>
        <v>1237.22</v>
      </c>
      <c r="E333" s="1670"/>
      <c r="F333" s="1732">
        <f t="shared" ref="F333:F396" si="31">F332+$F$1006</f>
        <v>555.48000000000116</v>
      </c>
      <c r="G333" s="1672">
        <f t="shared" si="28"/>
        <v>777.67</v>
      </c>
      <c r="H333" s="1670"/>
      <c r="I333" s="1670"/>
    </row>
    <row r="334" spans="1:9" ht="15.75">
      <c r="A334" s="1622"/>
      <c r="B334" s="1691">
        <f t="shared" ref="B334:B397" si="32">B333+1</f>
        <v>330</v>
      </c>
      <c r="C334" s="1731">
        <f t="shared" si="30"/>
        <v>886.42000000000712</v>
      </c>
      <c r="D334" s="1672">
        <f t="shared" si="29"/>
        <v>1240.99</v>
      </c>
      <c r="E334" s="1670"/>
      <c r="F334" s="1732">
        <f t="shared" si="31"/>
        <v>557.17000000000121</v>
      </c>
      <c r="G334" s="1672">
        <f t="shared" si="28"/>
        <v>780.04</v>
      </c>
      <c r="H334" s="1670"/>
      <c r="I334" s="1670"/>
    </row>
    <row r="335" spans="1:9" ht="15.75">
      <c r="A335" s="1622"/>
      <c r="B335" s="1691">
        <f t="shared" si="32"/>
        <v>331</v>
      </c>
      <c r="C335" s="1731">
        <f t="shared" si="30"/>
        <v>889.11000000000718</v>
      </c>
      <c r="D335" s="1672">
        <f t="shared" si="29"/>
        <v>1244.75</v>
      </c>
      <c r="E335" s="1670"/>
      <c r="F335" s="1732">
        <f t="shared" si="31"/>
        <v>558.86000000000126</v>
      </c>
      <c r="G335" s="1672">
        <f t="shared" si="28"/>
        <v>782.4</v>
      </c>
      <c r="H335" s="1670"/>
      <c r="I335" s="1670"/>
    </row>
    <row r="336" spans="1:9" ht="15.75">
      <c r="A336" s="1622"/>
      <c r="B336" s="1691">
        <f t="shared" si="32"/>
        <v>332</v>
      </c>
      <c r="C336" s="1731">
        <f t="shared" si="30"/>
        <v>891.80000000000723</v>
      </c>
      <c r="D336" s="1672">
        <f t="shared" si="29"/>
        <v>1248.52</v>
      </c>
      <c r="E336" s="1670"/>
      <c r="F336" s="1732">
        <f t="shared" si="31"/>
        <v>560.55000000000132</v>
      </c>
      <c r="G336" s="1672">
        <f t="shared" si="28"/>
        <v>784.77</v>
      </c>
      <c r="H336" s="1670"/>
      <c r="I336" s="1670"/>
    </row>
    <row r="337" spans="1:9" ht="15.75">
      <c r="A337" s="1622"/>
      <c r="B337" s="1691">
        <f t="shared" si="32"/>
        <v>333</v>
      </c>
      <c r="C337" s="1731">
        <f t="shared" si="30"/>
        <v>894.49000000000729</v>
      </c>
      <c r="D337" s="1672">
        <f t="shared" si="29"/>
        <v>1252.29</v>
      </c>
      <c r="E337" s="1670"/>
      <c r="F337" s="1732">
        <f t="shared" si="31"/>
        <v>562.24000000000137</v>
      </c>
      <c r="G337" s="1672">
        <f t="shared" si="28"/>
        <v>787.14</v>
      </c>
      <c r="H337" s="1670"/>
      <c r="I337" s="1670"/>
    </row>
    <row r="338" spans="1:9" ht="15.75">
      <c r="A338" s="1622"/>
      <c r="B338" s="1691">
        <f t="shared" si="32"/>
        <v>334</v>
      </c>
      <c r="C338" s="1731">
        <f t="shared" si="30"/>
        <v>897.18000000000734</v>
      </c>
      <c r="D338" s="1672">
        <f t="shared" si="29"/>
        <v>1256.05</v>
      </c>
      <c r="E338" s="1670"/>
      <c r="F338" s="1732">
        <f t="shared" si="31"/>
        <v>563.93000000000143</v>
      </c>
      <c r="G338" s="1672">
        <f t="shared" si="28"/>
        <v>789.5</v>
      </c>
      <c r="H338" s="1670"/>
      <c r="I338" s="1670"/>
    </row>
    <row r="339" spans="1:9" ht="15.75">
      <c r="A339" s="1622"/>
      <c r="B339" s="1691">
        <f t="shared" si="32"/>
        <v>335</v>
      </c>
      <c r="C339" s="1731">
        <f t="shared" si="30"/>
        <v>899.87000000000739</v>
      </c>
      <c r="D339" s="1672">
        <f t="shared" si="29"/>
        <v>1259.82</v>
      </c>
      <c r="E339" s="1670"/>
      <c r="F339" s="1732">
        <f t="shared" si="31"/>
        <v>565.62000000000148</v>
      </c>
      <c r="G339" s="1672">
        <f t="shared" si="28"/>
        <v>791.87</v>
      </c>
      <c r="H339" s="1670"/>
      <c r="I339" s="1670"/>
    </row>
    <row r="340" spans="1:9" ht="15.75">
      <c r="A340" s="1622"/>
      <c r="B340" s="1691">
        <f t="shared" si="32"/>
        <v>336</v>
      </c>
      <c r="C340" s="1731">
        <f t="shared" si="30"/>
        <v>902.56000000000745</v>
      </c>
      <c r="D340" s="1672">
        <f t="shared" si="29"/>
        <v>1263.58</v>
      </c>
      <c r="E340" s="1670"/>
      <c r="F340" s="1732">
        <f t="shared" si="31"/>
        <v>567.31000000000154</v>
      </c>
      <c r="G340" s="1672">
        <f t="shared" si="28"/>
        <v>794.23</v>
      </c>
      <c r="H340" s="1670"/>
      <c r="I340" s="1670"/>
    </row>
    <row r="341" spans="1:9" ht="15.75">
      <c r="A341" s="1622"/>
      <c r="B341" s="1691">
        <f t="shared" si="32"/>
        <v>337</v>
      </c>
      <c r="C341" s="1731">
        <f t="shared" si="30"/>
        <v>905.2500000000075</v>
      </c>
      <c r="D341" s="1672">
        <f t="shared" si="29"/>
        <v>1267.3499999999999</v>
      </c>
      <c r="E341" s="1670"/>
      <c r="F341" s="1732">
        <f t="shared" si="31"/>
        <v>569.00000000000159</v>
      </c>
      <c r="G341" s="1672">
        <f t="shared" si="28"/>
        <v>796.6</v>
      </c>
      <c r="H341" s="1670"/>
      <c r="I341" s="1670"/>
    </row>
    <row r="342" spans="1:9" ht="15.75">
      <c r="A342" s="1622"/>
      <c r="B342" s="1691">
        <f t="shared" si="32"/>
        <v>338</v>
      </c>
      <c r="C342" s="1731">
        <f t="shared" si="30"/>
        <v>907.94000000000756</v>
      </c>
      <c r="D342" s="1672">
        <f t="shared" si="29"/>
        <v>1271.1199999999999</v>
      </c>
      <c r="E342" s="1670"/>
      <c r="F342" s="1732">
        <f t="shared" si="31"/>
        <v>570.69000000000165</v>
      </c>
      <c r="G342" s="1672">
        <f t="shared" si="28"/>
        <v>798.97</v>
      </c>
      <c r="H342" s="1670"/>
      <c r="I342" s="1670"/>
    </row>
    <row r="343" spans="1:9" ht="15.75">
      <c r="A343" s="1622"/>
      <c r="B343" s="1691">
        <f t="shared" si="32"/>
        <v>339</v>
      </c>
      <c r="C343" s="1731">
        <f t="shared" si="30"/>
        <v>910.63000000000761</v>
      </c>
      <c r="D343" s="1672">
        <f t="shared" si="29"/>
        <v>1274.8800000000001</v>
      </c>
      <c r="E343" s="1670"/>
      <c r="F343" s="1732">
        <f t="shared" si="31"/>
        <v>572.3800000000017</v>
      </c>
      <c r="G343" s="1672">
        <f t="shared" si="28"/>
        <v>801.33</v>
      </c>
      <c r="H343" s="1670"/>
      <c r="I343" s="1670"/>
    </row>
    <row r="344" spans="1:9" ht="15.75">
      <c r="A344" s="1622"/>
      <c r="B344" s="1691">
        <f t="shared" si="32"/>
        <v>340</v>
      </c>
      <c r="C344" s="1731">
        <f t="shared" si="30"/>
        <v>913.32000000000767</v>
      </c>
      <c r="D344" s="1672">
        <f t="shared" si="29"/>
        <v>1278.6500000000001</v>
      </c>
      <c r="E344" s="1670"/>
      <c r="F344" s="1732">
        <f t="shared" si="31"/>
        <v>574.07000000000176</v>
      </c>
      <c r="G344" s="1672">
        <f t="shared" si="28"/>
        <v>803.7</v>
      </c>
      <c r="H344" s="1670"/>
      <c r="I344" s="1670"/>
    </row>
    <row r="345" spans="1:9" ht="15.75">
      <c r="A345" s="1622"/>
      <c r="B345" s="1691">
        <f t="shared" si="32"/>
        <v>341</v>
      </c>
      <c r="C345" s="1731">
        <f t="shared" si="30"/>
        <v>916.01000000000772</v>
      </c>
      <c r="D345" s="1672">
        <f t="shared" si="29"/>
        <v>1282.4100000000001</v>
      </c>
      <c r="E345" s="1670"/>
      <c r="F345" s="1732">
        <f t="shared" si="31"/>
        <v>575.76000000000181</v>
      </c>
      <c r="G345" s="1672">
        <f t="shared" si="28"/>
        <v>806.06</v>
      </c>
      <c r="H345" s="1670"/>
      <c r="I345" s="1670"/>
    </row>
    <row r="346" spans="1:9" ht="15.75">
      <c r="A346" s="1622"/>
      <c r="B346" s="1691">
        <f t="shared" si="32"/>
        <v>342</v>
      </c>
      <c r="C346" s="1731">
        <f t="shared" si="30"/>
        <v>918.70000000000778</v>
      </c>
      <c r="D346" s="1672">
        <f t="shared" si="29"/>
        <v>1286.18</v>
      </c>
      <c r="E346" s="1670"/>
      <c r="F346" s="1732">
        <f t="shared" si="31"/>
        <v>577.45000000000186</v>
      </c>
      <c r="G346" s="1672">
        <f t="shared" si="28"/>
        <v>808.43</v>
      </c>
      <c r="H346" s="1670"/>
      <c r="I346" s="1670"/>
    </row>
    <row r="347" spans="1:9" ht="15.75">
      <c r="A347" s="1622"/>
      <c r="B347" s="1691">
        <f t="shared" si="32"/>
        <v>343</v>
      </c>
      <c r="C347" s="1731">
        <f t="shared" si="30"/>
        <v>921.39000000000783</v>
      </c>
      <c r="D347" s="1672">
        <f t="shared" si="29"/>
        <v>1289.95</v>
      </c>
      <c r="E347" s="1670"/>
      <c r="F347" s="1732">
        <f t="shared" si="31"/>
        <v>579.14000000000192</v>
      </c>
      <c r="G347" s="1672">
        <f t="shared" si="28"/>
        <v>810.8</v>
      </c>
      <c r="H347" s="1670"/>
      <c r="I347" s="1670"/>
    </row>
    <row r="348" spans="1:9" ht="15.75">
      <c r="A348" s="1622"/>
      <c r="B348" s="1691">
        <f t="shared" si="32"/>
        <v>344</v>
      </c>
      <c r="C348" s="1731">
        <f t="shared" si="30"/>
        <v>924.08000000000789</v>
      </c>
      <c r="D348" s="1672">
        <f t="shared" si="29"/>
        <v>1293.71</v>
      </c>
      <c r="E348" s="1670"/>
      <c r="F348" s="1732">
        <f t="shared" si="31"/>
        <v>580.83000000000197</v>
      </c>
      <c r="G348" s="1672">
        <f t="shared" si="28"/>
        <v>813.16</v>
      </c>
      <c r="H348" s="1670"/>
      <c r="I348" s="1670"/>
    </row>
    <row r="349" spans="1:9" ht="15.75">
      <c r="A349" s="1622"/>
      <c r="B349" s="1691">
        <f t="shared" si="32"/>
        <v>345</v>
      </c>
      <c r="C349" s="1731">
        <f t="shared" si="30"/>
        <v>926.77000000000794</v>
      </c>
      <c r="D349" s="1672">
        <f t="shared" si="29"/>
        <v>1297.48</v>
      </c>
      <c r="E349" s="1670"/>
      <c r="F349" s="1732">
        <f t="shared" si="31"/>
        <v>582.52000000000203</v>
      </c>
      <c r="G349" s="1672">
        <f t="shared" si="28"/>
        <v>815.53</v>
      </c>
      <c r="H349" s="1670"/>
      <c r="I349" s="1670"/>
    </row>
    <row r="350" spans="1:9" ht="15.75">
      <c r="A350" s="1622"/>
      <c r="B350" s="1691">
        <f t="shared" si="32"/>
        <v>346</v>
      </c>
      <c r="C350" s="1731">
        <f t="shared" si="30"/>
        <v>929.46000000000799</v>
      </c>
      <c r="D350" s="1672">
        <f t="shared" si="29"/>
        <v>1301.24</v>
      </c>
      <c r="E350" s="1670"/>
      <c r="F350" s="1732">
        <f t="shared" si="31"/>
        <v>584.21000000000208</v>
      </c>
      <c r="G350" s="1672">
        <f t="shared" si="28"/>
        <v>817.89</v>
      </c>
      <c r="H350" s="1670"/>
      <c r="I350" s="1670"/>
    </row>
    <row r="351" spans="1:9" ht="15.75">
      <c r="A351" s="1622"/>
      <c r="B351" s="1691">
        <f t="shared" si="32"/>
        <v>347</v>
      </c>
      <c r="C351" s="1731">
        <f t="shared" si="30"/>
        <v>932.15000000000805</v>
      </c>
      <c r="D351" s="1672">
        <f t="shared" si="29"/>
        <v>1305.01</v>
      </c>
      <c r="E351" s="1670"/>
      <c r="F351" s="1732">
        <f t="shared" si="31"/>
        <v>585.90000000000214</v>
      </c>
      <c r="G351" s="1672">
        <f t="shared" si="28"/>
        <v>820.26</v>
      </c>
      <c r="H351" s="1670"/>
      <c r="I351" s="1670"/>
    </row>
    <row r="352" spans="1:9" ht="15.75">
      <c r="A352" s="1622"/>
      <c r="B352" s="1691">
        <f t="shared" si="32"/>
        <v>348</v>
      </c>
      <c r="C352" s="1731">
        <f t="shared" si="30"/>
        <v>934.8400000000081</v>
      </c>
      <c r="D352" s="1672">
        <f t="shared" si="29"/>
        <v>1308.78</v>
      </c>
      <c r="E352" s="1670"/>
      <c r="F352" s="1732">
        <f t="shared" si="31"/>
        <v>587.59000000000219</v>
      </c>
      <c r="G352" s="1672">
        <f t="shared" si="28"/>
        <v>822.63</v>
      </c>
      <c r="H352" s="1670"/>
      <c r="I352" s="1670"/>
    </row>
    <row r="353" spans="1:9" ht="15.75">
      <c r="A353" s="1622"/>
      <c r="B353" s="1691">
        <f t="shared" si="32"/>
        <v>349</v>
      </c>
      <c r="C353" s="1731">
        <f t="shared" si="30"/>
        <v>937.53000000000816</v>
      </c>
      <c r="D353" s="1672">
        <f t="shared" si="29"/>
        <v>1312.54</v>
      </c>
      <c r="E353" s="1670"/>
      <c r="F353" s="1732">
        <f t="shared" si="31"/>
        <v>589.28000000000225</v>
      </c>
      <c r="G353" s="1672">
        <f t="shared" si="28"/>
        <v>824.99</v>
      </c>
      <c r="H353" s="1670"/>
      <c r="I353" s="1670"/>
    </row>
    <row r="354" spans="1:9" ht="15.75">
      <c r="A354" s="1622"/>
      <c r="B354" s="1691">
        <f t="shared" si="32"/>
        <v>350</v>
      </c>
      <c r="C354" s="1731">
        <f t="shared" si="30"/>
        <v>940.22000000000821</v>
      </c>
      <c r="D354" s="1672">
        <f t="shared" si="29"/>
        <v>1316.31</v>
      </c>
      <c r="E354" s="1670"/>
      <c r="F354" s="1732">
        <f t="shared" si="31"/>
        <v>590.9700000000023</v>
      </c>
      <c r="G354" s="1672">
        <f t="shared" si="28"/>
        <v>827.36</v>
      </c>
      <c r="H354" s="1670"/>
      <c r="I354" s="1670"/>
    </row>
    <row r="355" spans="1:9" ht="15.75">
      <c r="A355" s="1622"/>
      <c r="B355" s="1691">
        <f t="shared" si="32"/>
        <v>351</v>
      </c>
      <c r="C355" s="1731">
        <f t="shared" si="30"/>
        <v>942.91000000000827</v>
      </c>
      <c r="D355" s="1672">
        <f t="shared" si="29"/>
        <v>1320.07</v>
      </c>
      <c r="E355" s="1670"/>
      <c r="F355" s="1732">
        <f t="shared" si="31"/>
        <v>592.66000000000236</v>
      </c>
      <c r="G355" s="1672">
        <f t="shared" si="28"/>
        <v>829.72</v>
      </c>
      <c r="H355" s="1670"/>
      <c r="I355" s="1670"/>
    </row>
    <row r="356" spans="1:9" ht="15.75">
      <c r="A356" s="1622"/>
      <c r="B356" s="1691">
        <f t="shared" si="32"/>
        <v>352</v>
      </c>
      <c r="C356" s="1731">
        <f t="shared" si="30"/>
        <v>945.60000000000832</v>
      </c>
      <c r="D356" s="1672">
        <f t="shared" si="29"/>
        <v>1323.84</v>
      </c>
      <c r="E356" s="1670"/>
      <c r="F356" s="1732">
        <f t="shared" si="31"/>
        <v>594.35000000000241</v>
      </c>
      <c r="G356" s="1672">
        <f t="shared" si="28"/>
        <v>832.09</v>
      </c>
      <c r="H356" s="1670"/>
      <c r="I356" s="1670"/>
    </row>
    <row r="357" spans="1:9" ht="15.75">
      <c r="A357" s="1622"/>
      <c r="B357" s="1691">
        <f t="shared" si="32"/>
        <v>353</v>
      </c>
      <c r="C357" s="1731">
        <f t="shared" si="30"/>
        <v>948.29000000000838</v>
      </c>
      <c r="D357" s="1672">
        <f t="shared" si="29"/>
        <v>1327.61</v>
      </c>
      <c r="E357" s="1670"/>
      <c r="F357" s="1732">
        <f t="shared" si="31"/>
        <v>596.04000000000246</v>
      </c>
      <c r="G357" s="1672">
        <f t="shared" si="28"/>
        <v>834.46</v>
      </c>
      <c r="H357" s="1670"/>
      <c r="I357" s="1670"/>
    </row>
    <row r="358" spans="1:9" ht="15.75">
      <c r="A358" s="1622"/>
      <c r="B358" s="1691">
        <f t="shared" si="32"/>
        <v>354</v>
      </c>
      <c r="C358" s="1731">
        <f t="shared" si="30"/>
        <v>950.98000000000843</v>
      </c>
      <c r="D358" s="1672">
        <f t="shared" si="29"/>
        <v>1331.37</v>
      </c>
      <c r="E358" s="1670"/>
      <c r="F358" s="1732">
        <f t="shared" si="31"/>
        <v>597.73000000000252</v>
      </c>
      <c r="G358" s="1672">
        <f t="shared" si="28"/>
        <v>836.82</v>
      </c>
      <c r="H358" s="1670"/>
      <c r="I358" s="1670"/>
    </row>
    <row r="359" spans="1:9" ht="15.75">
      <c r="A359" s="1622"/>
      <c r="B359" s="1691">
        <f t="shared" si="32"/>
        <v>355</v>
      </c>
      <c r="C359" s="1731">
        <f t="shared" si="30"/>
        <v>953.67000000000849</v>
      </c>
      <c r="D359" s="1672">
        <f t="shared" si="29"/>
        <v>1335.14</v>
      </c>
      <c r="E359" s="1670"/>
      <c r="F359" s="1732">
        <f t="shared" si="31"/>
        <v>599.42000000000257</v>
      </c>
      <c r="G359" s="1672">
        <f t="shared" si="28"/>
        <v>839.19</v>
      </c>
      <c r="H359" s="1670"/>
      <c r="I359" s="1670"/>
    </row>
    <row r="360" spans="1:9" ht="15.75">
      <c r="A360" s="1622"/>
      <c r="B360" s="1691">
        <f t="shared" si="32"/>
        <v>356</v>
      </c>
      <c r="C360" s="1731">
        <f t="shared" si="30"/>
        <v>956.36000000000854</v>
      </c>
      <c r="D360" s="1672">
        <f t="shared" si="29"/>
        <v>1338.9</v>
      </c>
      <c r="E360" s="1670"/>
      <c r="F360" s="1732">
        <f t="shared" si="31"/>
        <v>601.11000000000263</v>
      </c>
      <c r="G360" s="1672">
        <f t="shared" si="28"/>
        <v>841.55</v>
      </c>
      <c r="H360" s="1670"/>
      <c r="I360" s="1670"/>
    </row>
    <row r="361" spans="1:9" ht="15.75">
      <c r="A361" s="1622"/>
      <c r="B361" s="1691">
        <f t="shared" si="32"/>
        <v>357</v>
      </c>
      <c r="C361" s="1731">
        <f t="shared" si="30"/>
        <v>959.05000000000859</v>
      </c>
      <c r="D361" s="1672">
        <f t="shared" si="29"/>
        <v>1342.67</v>
      </c>
      <c r="E361" s="1670"/>
      <c r="F361" s="1732">
        <f t="shared" si="31"/>
        <v>602.80000000000268</v>
      </c>
      <c r="G361" s="1672">
        <f t="shared" si="28"/>
        <v>843.92</v>
      </c>
      <c r="H361" s="1670"/>
      <c r="I361" s="1670"/>
    </row>
    <row r="362" spans="1:9" ht="15.75">
      <c r="A362" s="1622"/>
      <c r="B362" s="1691">
        <f t="shared" si="32"/>
        <v>358</v>
      </c>
      <c r="C362" s="1731">
        <f t="shared" si="30"/>
        <v>961.74000000000865</v>
      </c>
      <c r="D362" s="1672">
        <f t="shared" si="29"/>
        <v>1346.44</v>
      </c>
      <c r="E362" s="1670"/>
      <c r="F362" s="1732">
        <f t="shared" si="31"/>
        <v>604.49000000000274</v>
      </c>
      <c r="G362" s="1672">
        <f t="shared" si="28"/>
        <v>846.29</v>
      </c>
      <c r="H362" s="1670"/>
      <c r="I362" s="1670"/>
    </row>
    <row r="363" spans="1:9" ht="15.75">
      <c r="A363" s="1622"/>
      <c r="B363" s="1691">
        <f t="shared" si="32"/>
        <v>359</v>
      </c>
      <c r="C363" s="1731">
        <f t="shared" si="30"/>
        <v>964.4300000000087</v>
      </c>
      <c r="D363" s="1672">
        <f t="shared" si="29"/>
        <v>1350.2</v>
      </c>
      <c r="E363" s="1670"/>
      <c r="F363" s="1732">
        <f t="shared" si="31"/>
        <v>606.18000000000279</v>
      </c>
      <c r="G363" s="1672">
        <f t="shared" si="28"/>
        <v>848.65</v>
      </c>
      <c r="H363" s="1670"/>
      <c r="I363" s="1670"/>
    </row>
    <row r="364" spans="1:9" ht="15.75">
      <c r="A364" s="1622"/>
      <c r="B364" s="1691">
        <f t="shared" si="32"/>
        <v>360</v>
      </c>
      <c r="C364" s="1731">
        <f t="shared" si="30"/>
        <v>967.12000000000876</v>
      </c>
      <c r="D364" s="1672">
        <f t="shared" si="29"/>
        <v>1353.97</v>
      </c>
      <c r="E364" s="1670"/>
      <c r="F364" s="1732">
        <f t="shared" si="31"/>
        <v>607.87000000000285</v>
      </c>
      <c r="G364" s="1672">
        <f t="shared" si="28"/>
        <v>851.02</v>
      </c>
      <c r="H364" s="1670"/>
      <c r="I364" s="1670"/>
    </row>
    <row r="365" spans="1:9" ht="15.75">
      <c r="A365" s="1622"/>
      <c r="B365" s="1691">
        <f t="shared" si="32"/>
        <v>361</v>
      </c>
      <c r="C365" s="1731">
        <f t="shared" si="30"/>
        <v>969.81000000000881</v>
      </c>
      <c r="D365" s="1672">
        <f t="shared" si="29"/>
        <v>1357.73</v>
      </c>
      <c r="E365" s="1670"/>
      <c r="F365" s="1732">
        <f t="shared" si="31"/>
        <v>609.5600000000029</v>
      </c>
      <c r="G365" s="1672">
        <f t="shared" si="28"/>
        <v>853.38</v>
      </c>
      <c r="H365" s="1670"/>
      <c r="I365" s="1670"/>
    </row>
    <row r="366" spans="1:9" ht="15.75">
      <c r="A366" s="1622"/>
      <c r="B366" s="1691">
        <f t="shared" si="32"/>
        <v>362</v>
      </c>
      <c r="C366" s="1731">
        <f t="shared" si="30"/>
        <v>972.50000000000887</v>
      </c>
      <c r="D366" s="1672">
        <f t="shared" si="29"/>
        <v>1361.5</v>
      </c>
      <c r="E366" s="1670"/>
      <c r="F366" s="1732">
        <f t="shared" si="31"/>
        <v>611.25000000000296</v>
      </c>
      <c r="G366" s="1672">
        <f t="shared" si="28"/>
        <v>855.75</v>
      </c>
      <c r="H366" s="1670"/>
      <c r="I366" s="1670"/>
    </row>
    <row r="367" spans="1:9" ht="15.75">
      <c r="A367" s="1622"/>
      <c r="B367" s="1691">
        <f t="shared" si="32"/>
        <v>363</v>
      </c>
      <c r="C367" s="1731">
        <f t="shared" si="30"/>
        <v>975.19000000000892</v>
      </c>
      <c r="D367" s="1672">
        <f t="shared" si="29"/>
        <v>1365.27</v>
      </c>
      <c r="E367" s="1670"/>
      <c r="F367" s="1732">
        <f t="shared" si="31"/>
        <v>612.94000000000301</v>
      </c>
      <c r="G367" s="1672">
        <f t="shared" si="28"/>
        <v>858.12</v>
      </c>
      <c r="H367" s="1670"/>
      <c r="I367" s="1670"/>
    </row>
    <row r="368" spans="1:9" ht="15.75">
      <c r="A368" s="1622"/>
      <c r="B368" s="1691">
        <f t="shared" si="32"/>
        <v>364</v>
      </c>
      <c r="C368" s="1731">
        <f t="shared" si="30"/>
        <v>977.88000000000898</v>
      </c>
      <c r="D368" s="1672">
        <f t="shared" si="29"/>
        <v>1369.03</v>
      </c>
      <c r="E368" s="1670"/>
      <c r="F368" s="1732">
        <f t="shared" si="31"/>
        <v>614.63000000000306</v>
      </c>
      <c r="G368" s="1672">
        <f t="shared" si="28"/>
        <v>860.48</v>
      </c>
      <c r="H368" s="1670"/>
      <c r="I368" s="1670"/>
    </row>
    <row r="369" spans="1:9" ht="15.75">
      <c r="A369" s="1622"/>
      <c r="B369" s="1691">
        <f t="shared" si="32"/>
        <v>365</v>
      </c>
      <c r="C369" s="1731">
        <f t="shared" si="30"/>
        <v>980.57000000000903</v>
      </c>
      <c r="D369" s="1672">
        <f t="shared" si="29"/>
        <v>1372.8</v>
      </c>
      <c r="E369" s="1670"/>
      <c r="F369" s="1732">
        <f t="shared" si="31"/>
        <v>616.32000000000312</v>
      </c>
      <c r="G369" s="1672">
        <f t="shared" si="28"/>
        <v>862.85</v>
      </c>
      <c r="H369" s="1670"/>
      <c r="I369" s="1670"/>
    </row>
    <row r="370" spans="1:9" ht="15.75">
      <c r="A370" s="1622"/>
      <c r="B370" s="1691">
        <f t="shared" si="32"/>
        <v>366</v>
      </c>
      <c r="C370" s="1731">
        <f t="shared" si="30"/>
        <v>983.26000000000909</v>
      </c>
      <c r="D370" s="1672">
        <f t="shared" si="29"/>
        <v>1376.56</v>
      </c>
      <c r="E370" s="1670"/>
      <c r="F370" s="1732">
        <f t="shared" si="31"/>
        <v>618.01000000000317</v>
      </c>
      <c r="G370" s="1672">
        <f t="shared" si="28"/>
        <v>865.21</v>
      </c>
      <c r="H370" s="1670"/>
      <c r="I370" s="1670"/>
    </row>
    <row r="371" spans="1:9" ht="15.75">
      <c r="A371" s="1622"/>
      <c r="B371" s="1691">
        <f t="shared" si="32"/>
        <v>367</v>
      </c>
      <c r="C371" s="1731">
        <f t="shared" si="30"/>
        <v>985.95000000000914</v>
      </c>
      <c r="D371" s="1672">
        <f t="shared" si="29"/>
        <v>1380.33</v>
      </c>
      <c r="E371" s="1670"/>
      <c r="F371" s="1732">
        <f t="shared" si="31"/>
        <v>619.70000000000323</v>
      </c>
      <c r="G371" s="1672">
        <f t="shared" si="28"/>
        <v>867.58</v>
      </c>
      <c r="H371" s="1670"/>
      <c r="I371" s="1670"/>
    </row>
    <row r="372" spans="1:9" ht="15.75">
      <c r="A372" s="1622"/>
      <c r="B372" s="1691">
        <f t="shared" si="32"/>
        <v>368</v>
      </c>
      <c r="C372" s="1731">
        <f t="shared" si="30"/>
        <v>988.64000000000919</v>
      </c>
      <c r="D372" s="1672">
        <f t="shared" si="29"/>
        <v>1384.1</v>
      </c>
      <c r="E372" s="1670"/>
      <c r="F372" s="1732">
        <f t="shared" si="31"/>
        <v>621.39000000000328</v>
      </c>
      <c r="G372" s="1672">
        <f t="shared" si="28"/>
        <v>869.95</v>
      </c>
      <c r="H372" s="1670"/>
      <c r="I372" s="1670"/>
    </row>
    <row r="373" spans="1:9" ht="15.75">
      <c r="A373" s="1622"/>
      <c r="B373" s="1691">
        <f t="shared" si="32"/>
        <v>369</v>
      </c>
      <c r="C373" s="1731">
        <f t="shared" si="30"/>
        <v>991.33000000000925</v>
      </c>
      <c r="D373" s="1672">
        <f t="shared" si="29"/>
        <v>1387.86</v>
      </c>
      <c r="E373" s="1670"/>
      <c r="F373" s="1732">
        <f t="shared" si="31"/>
        <v>623.08000000000334</v>
      </c>
      <c r="G373" s="1672">
        <f t="shared" si="28"/>
        <v>872.31</v>
      </c>
      <c r="H373" s="1670"/>
      <c r="I373" s="1670"/>
    </row>
    <row r="374" spans="1:9" ht="15.75">
      <c r="A374" s="1622"/>
      <c r="B374" s="1691">
        <f t="shared" si="32"/>
        <v>370</v>
      </c>
      <c r="C374" s="1731">
        <f t="shared" si="30"/>
        <v>994.0200000000093</v>
      </c>
      <c r="D374" s="1672">
        <f t="shared" si="29"/>
        <v>1391.63</v>
      </c>
      <c r="E374" s="1670"/>
      <c r="F374" s="1732">
        <f t="shared" si="31"/>
        <v>624.77000000000339</v>
      </c>
      <c r="G374" s="1672">
        <f t="shared" si="28"/>
        <v>874.68</v>
      </c>
      <c r="H374" s="1670"/>
      <c r="I374" s="1670"/>
    </row>
    <row r="375" spans="1:9" ht="15.75">
      <c r="A375" s="1622"/>
      <c r="B375" s="1691">
        <f t="shared" si="32"/>
        <v>371</v>
      </c>
      <c r="C375" s="1731">
        <f t="shared" si="30"/>
        <v>996.71000000000936</v>
      </c>
      <c r="D375" s="1672">
        <f t="shared" si="29"/>
        <v>1395.39</v>
      </c>
      <c r="E375" s="1670"/>
      <c r="F375" s="1732">
        <f t="shared" si="31"/>
        <v>626.46000000000345</v>
      </c>
      <c r="G375" s="1672">
        <f t="shared" si="28"/>
        <v>877.04</v>
      </c>
      <c r="H375" s="1670"/>
      <c r="I375" s="1670"/>
    </row>
    <row r="376" spans="1:9" ht="15.75">
      <c r="A376" s="1622"/>
      <c r="B376" s="1691">
        <f t="shared" si="32"/>
        <v>372</v>
      </c>
      <c r="C376" s="1731">
        <f t="shared" si="30"/>
        <v>999.40000000000941</v>
      </c>
      <c r="D376" s="1672">
        <f t="shared" si="29"/>
        <v>1399.16</v>
      </c>
      <c r="E376" s="1670"/>
      <c r="F376" s="1732">
        <f t="shared" si="31"/>
        <v>628.1500000000035</v>
      </c>
      <c r="G376" s="1672">
        <f t="shared" si="28"/>
        <v>879.41</v>
      </c>
      <c r="H376" s="1670"/>
      <c r="I376" s="1670"/>
    </row>
    <row r="377" spans="1:9" ht="15.75">
      <c r="A377" s="1622"/>
      <c r="B377" s="1691">
        <f t="shared" si="32"/>
        <v>373</v>
      </c>
      <c r="C377" s="1731">
        <f t="shared" si="30"/>
        <v>1002.0900000000095</v>
      </c>
      <c r="D377" s="1672">
        <f t="shared" si="29"/>
        <v>1402.93</v>
      </c>
      <c r="E377" s="1670"/>
      <c r="F377" s="1732">
        <f t="shared" si="31"/>
        <v>629.84000000000356</v>
      </c>
      <c r="G377" s="1672">
        <f t="shared" si="28"/>
        <v>881.78</v>
      </c>
      <c r="H377" s="1670"/>
      <c r="I377" s="1670"/>
    </row>
    <row r="378" spans="1:9" ht="15.75">
      <c r="A378" s="1622"/>
      <c r="B378" s="1691">
        <f t="shared" si="32"/>
        <v>374</v>
      </c>
      <c r="C378" s="1731">
        <f t="shared" si="30"/>
        <v>1004.7800000000095</v>
      </c>
      <c r="D378" s="1672">
        <f t="shared" si="29"/>
        <v>1406.69</v>
      </c>
      <c r="E378" s="1670"/>
      <c r="F378" s="1732">
        <f t="shared" si="31"/>
        <v>631.53000000000361</v>
      </c>
      <c r="G378" s="1672">
        <f t="shared" si="28"/>
        <v>884.14</v>
      </c>
      <c r="H378" s="1670"/>
      <c r="I378" s="1670"/>
    </row>
    <row r="379" spans="1:9" ht="15.75">
      <c r="A379" s="1622"/>
      <c r="B379" s="1691">
        <f t="shared" si="32"/>
        <v>375</v>
      </c>
      <c r="C379" s="1731">
        <f t="shared" si="30"/>
        <v>1007.4700000000096</v>
      </c>
      <c r="D379" s="1672">
        <f t="shared" si="29"/>
        <v>1410.46</v>
      </c>
      <c r="E379" s="1670"/>
      <c r="F379" s="1732">
        <f t="shared" si="31"/>
        <v>633.22000000000367</v>
      </c>
      <c r="G379" s="1672">
        <f t="shared" si="28"/>
        <v>886.51</v>
      </c>
      <c r="H379" s="1670"/>
      <c r="I379" s="1670"/>
    </row>
    <row r="380" spans="1:9" ht="15.75">
      <c r="A380" s="1622"/>
      <c r="B380" s="1691">
        <f t="shared" si="32"/>
        <v>376</v>
      </c>
      <c r="C380" s="1731">
        <f t="shared" si="30"/>
        <v>1010.1600000000096</v>
      </c>
      <c r="D380" s="1672">
        <f t="shared" si="29"/>
        <v>1414.22</v>
      </c>
      <c r="E380" s="1670"/>
      <c r="F380" s="1732">
        <f t="shared" si="31"/>
        <v>634.91000000000372</v>
      </c>
      <c r="G380" s="1672">
        <f t="shared" si="28"/>
        <v>888.87</v>
      </c>
      <c r="H380" s="1670"/>
      <c r="I380" s="1670"/>
    </row>
    <row r="381" spans="1:9" ht="15.75">
      <c r="A381" s="1622"/>
      <c r="B381" s="1691">
        <f t="shared" si="32"/>
        <v>377</v>
      </c>
      <c r="C381" s="1731">
        <f t="shared" si="30"/>
        <v>1012.8500000000097</v>
      </c>
      <c r="D381" s="1672">
        <f t="shared" si="29"/>
        <v>1417.99</v>
      </c>
      <c r="E381" s="1670"/>
      <c r="F381" s="1732">
        <f t="shared" si="31"/>
        <v>636.60000000000377</v>
      </c>
      <c r="G381" s="1672">
        <f t="shared" si="28"/>
        <v>891.24</v>
      </c>
      <c r="H381" s="1670"/>
      <c r="I381" s="1670"/>
    </row>
    <row r="382" spans="1:9" ht="15.75">
      <c r="A382" s="1622"/>
      <c r="B382" s="1691">
        <f t="shared" si="32"/>
        <v>378</v>
      </c>
      <c r="C382" s="1731">
        <f t="shared" si="30"/>
        <v>1015.5400000000097</v>
      </c>
      <c r="D382" s="1672">
        <f t="shared" si="29"/>
        <v>1421.76</v>
      </c>
      <c r="E382" s="1670"/>
      <c r="F382" s="1732">
        <f t="shared" si="31"/>
        <v>638.29000000000383</v>
      </c>
      <c r="G382" s="1672">
        <f t="shared" si="28"/>
        <v>893.61</v>
      </c>
      <c r="H382" s="1670"/>
      <c r="I382" s="1670"/>
    </row>
    <row r="383" spans="1:9" ht="15.75">
      <c r="A383" s="1622"/>
      <c r="B383" s="1691">
        <f t="shared" si="32"/>
        <v>379</v>
      </c>
      <c r="C383" s="1731">
        <f t="shared" si="30"/>
        <v>1018.2300000000098</v>
      </c>
      <c r="D383" s="1672">
        <f t="shared" si="29"/>
        <v>1425.52</v>
      </c>
      <c r="E383" s="1670"/>
      <c r="F383" s="1732">
        <f t="shared" si="31"/>
        <v>639.98000000000388</v>
      </c>
      <c r="G383" s="1672">
        <f t="shared" si="28"/>
        <v>895.97</v>
      </c>
      <c r="H383" s="1670"/>
      <c r="I383" s="1670"/>
    </row>
    <row r="384" spans="1:9" ht="15.75">
      <c r="A384" s="1622"/>
      <c r="B384" s="1691">
        <f t="shared" si="32"/>
        <v>380</v>
      </c>
      <c r="C384" s="1731">
        <f t="shared" si="30"/>
        <v>1020.9200000000098</v>
      </c>
      <c r="D384" s="1672">
        <f t="shared" si="29"/>
        <v>1429.29</v>
      </c>
      <c r="E384" s="1670"/>
      <c r="F384" s="1732">
        <f t="shared" si="31"/>
        <v>641.67000000000394</v>
      </c>
      <c r="G384" s="1672">
        <f t="shared" si="28"/>
        <v>898.34</v>
      </c>
      <c r="H384" s="1670"/>
      <c r="I384" s="1670"/>
    </row>
    <row r="385" spans="1:9" ht="15.75">
      <c r="A385" s="1622"/>
      <c r="B385" s="1691">
        <f t="shared" si="32"/>
        <v>381</v>
      </c>
      <c r="C385" s="1731">
        <f t="shared" si="30"/>
        <v>1023.6100000000099</v>
      </c>
      <c r="D385" s="1672">
        <f t="shared" si="29"/>
        <v>1433.05</v>
      </c>
      <c r="E385" s="1670"/>
      <c r="F385" s="1732">
        <f t="shared" si="31"/>
        <v>643.36000000000399</v>
      </c>
      <c r="G385" s="1672">
        <f t="shared" si="28"/>
        <v>900.7</v>
      </c>
      <c r="H385" s="1670"/>
      <c r="I385" s="1670"/>
    </row>
    <row r="386" spans="1:9" ht="15.75">
      <c r="A386" s="1622"/>
      <c r="B386" s="1691">
        <f t="shared" si="32"/>
        <v>382</v>
      </c>
      <c r="C386" s="1731">
        <f t="shared" si="30"/>
        <v>1026.30000000001</v>
      </c>
      <c r="D386" s="1672">
        <f t="shared" si="29"/>
        <v>1436.82</v>
      </c>
      <c r="E386" s="1670"/>
      <c r="F386" s="1732">
        <f t="shared" si="31"/>
        <v>645.05000000000405</v>
      </c>
      <c r="G386" s="1672">
        <f t="shared" si="28"/>
        <v>903.07</v>
      </c>
      <c r="H386" s="1670"/>
      <c r="I386" s="1670"/>
    </row>
    <row r="387" spans="1:9" ht="15.75">
      <c r="A387" s="1622"/>
      <c r="B387" s="1691">
        <f t="shared" si="32"/>
        <v>383</v>
      </c>
      <c r="C387" s="1731">
        <f t="shared" si="30"/>
        <v>1028.99000000001</v>
      </c>
      <c r="D387" s="1672">
        <f t="shared" si="29"/>
        <v>1440.59</v>
      </c>
      <c r="E387" s="1670"/>
      <c r="F387" s="1732">
        <f t="shared" si="31"/>
        <v>646.7400000000041</v>
      </c>
      <c r="G387" s="1672">
        <f t="shared" si="28"/>
        <v>905.44</v>
      </c>
      <c r="H387" s="1670"/>
      <c r="I387" s="1670"/>
    </row>
    <row r="388" spans="1:9" ht="15.75">
      <c r="A388" s="1622"/>
      <c r="B388" s="1691">
        <f t="shared" si="32"/>
        <v>384</v>
      </c>
      <c r="C388" s="1731">
        <f t="shared" si="30"/>
        <v>1031.6800000000101</v>
      </c>
      <c r="D388" s="1672">
        <f t="shared" si="29"/>
        <v>1444.35</v>
      </c>
      <c r="E388" s="1670"/>
      <c r="F388" s="1732">
        <f t="shared" si="31"/>
        <v>648.43000000000416</v>
      </c>
      <c r="G388" s="1672">
        <f t="shared" si="28"/>
        <v>907.8</v>
      </c>
      <c r="H388" s="1670"/>
      <c r="I388" s="1670"/>
    </row>
    <row r="389" spans="1:9" ht="15.75">
      <c r="A389" s="1622"/>
      <c r="B389" s="1691">
        <f t="shared" si="32"/>
        <v>385</v>
      </c>
      <c r="C389" s="1731">
        <f t="shared" si="30"/>
        <v>1034.3700000000101</v>
      </c>
      <c r="D389" s="1672">
        <f t="shared" si="29"/>
        <v>1448.12</v>
      </c>
      <c r="E389" s="1670"/>
      <c r="F389" s="1732">
        <f t="shared" si="31"/>
        <v>650.12000000000421</v>
      </c>
      <c r="G389" s="1672">
        <f t="shared" ref="G389:G452" si="33">ROUND(F389*1.4,2)</f>
        <v>910.17</v>
      </c>
      <c r="H389" s="1670"/>
      <c r="I389" s="1670"/>
    </row>
    <row r="390" spans="1:9" ht="15.75">
      <c r="A390" s="1622"/>
      <c r="B390" s="1691">
        <f t="shared" si="32"/>
        <v>386</v>
      </c>
      <c r="C390" s="1731">
        <f t="shared" si="30"/>
        <v>1037.0600000000102</v>
      </c>
      <c r="D390" s="1672">
        <f t="shared" ref="D390:D453" si="34">ROUND(C390*1.4,2)</f>
        <v>1451.88</v>
      </c>
      <c r="E390" s="1670"/>
      <c r="F390" s="1732">
        <f t="shared" si="31"/>
        <v>651.81000000000427</v>
      </c>
      <c r="G390" s="1672">
        <f t="shared" si="33"/>
        <v>912.53</v>
      </c>
      <c r="H390" s="1670"/>
      <c r="I390" s="1670"/>
    </row>
    <row r="391" spans="1:9" ht="15.75">
      <c r="A391" s="1622"/>
      <c r="B391" s="1691">
        <f t="shared" si="32"/>
        <v>387</v>
      </c>
      <c r="C391" s="1731">
        <f t="shared" si="30"/>
        <v>1039.7500000000102</v>
      </c>
      <c r="D391" s="1672">
        <f t="shared" si="34"/>
        <v>1455.65</v>
      </c>
      <c r="E391" s="1670"/>
      <c r="F391" s="1732">
        <f t="shared" si="31"/>
        <v>653.50000000000432</v>
      </c>
      <c r="G391" s="1672">
        <f t="shared" si="33"/>
        <v>914.9</v>
      </c>
      <c r="H391" s="1670"/>
      <c r="I391" s="1670"/>
    </row>
    <row r="392" spans="1:9" ht="15.75">
      <c r="A392" s="1622"/>
      <c r="B392" s="1691">
        <f t="shared" si="32"/>
        <v>388</v>
      </c>
      <c r="C392" s="1731">
        <f t="shared" si="30"/>
        <v>1042.4400000000103</v>
      </c>
      <c r="D392" s="1672">
        <f t="shared" si="34"/>
        <v>1459.42</v>
      </c>
      <c r="E392" s="1670"/>
      <c r="F392" s="1732">
        <f t="shared" si="31"/>
        <v>655.19000000000437</v>
      </c>
      <c r="G392" s="1672">
        <f t="shared" si="33"/>
        <v>917.27</v>
      </c>
      <c r="H392" s="1670"/>
      <c r="I392" s="1670"/>
    </row>
    <row r="393" spans="1:9" ht="15.75">
      <c r="A393" s="1622"/>
      <c r="B393" s="1691">
        <f t="shared" si="32"/>
        <v>389</v>
      </c>
      <c r="C393" s="1731">
        <f t="shared" si="30"/>
        <v>1045.1300000000103</v>
      </c>
      <c r="D393" s="1672">
        <f t="shared" si="34"/>
        <v>1463.18</v>
      </c>
      <c r="E393" s="1670"/>
      <c r="F393" s="1732">
        <f t="shared" si="31"/>
        <v>656.88000000000443</v>
      </c>
      <c r="G393" s="1672">
        <f t="shared" si="33"/>
        <v>919.63</v>
      </c>
      <c r="H393" s="1670"/>
      <c r="I393" s="1670"/>
    </row>
    <row r="394" spans="1:9" ht="15.75">
      <c r="A394" s="1622"/>
      <c r="B394" s="1691">
        <f t="shared" si="32"/>
        <v>390</v>
      </c>
      <c r="C394" s="1731">
        <f t="shared" si="30"/>
        <v>1047.8200000000104</v>
      </c>
      <c r="D394" s="1672">
        <f t="shared" si="34"/>
        <v>1466.95</v>
      </c>
      <c r="E394" s="1670"/>
      <c r="F394" s="1732">
        <f t="shared" si="31"/>
        <v>658.57000000000448</v>
      </c>
      <c r="G394" s="1672">
        <f t="shared" si="33"/>
        <v>922</v>
      </c>
      <c r="H394" s="1670"/>
      <c r="I394" s="1670"/>
    </row>
    <row r="395" spans="1:9" ht="15.75">
      <c r="A395" s="1622"/>
      <c r="B395" s="1691">
        <f t="shared" si="32"/>
        <v>391</v>
      </c>
      <c r="C395" s="1731">
        <f t="shared" si="30"/>
        <v>1050.5100000000105</v>
      </c>
      <c r="D395" s="1672">
        <f t="shared" si="34"/>
        <v>1470.71</v>
      </c>
      <c r="E395" s="1670"/>
      <c r="F395" s="1732">
        <f t="shared" si="31"/>
        <v>660.26000000000454</v>
      </c>
      <c r="G395" s="1672">
        <f t="shared" si="33"/>
        <v>924.36</v>
      </c>
      <c r="H395" s="1670"/>
      <c r="I395" s="1670"/>
    </row>
    <row r="396" spans="1:9" ht="15.75">
      <c r="A396" s="1622"/>
      <c r="B396" s="1691">
        <f t="shared" si="32"/>
        <v>392</v>
      </c>
      <c r="C396" s="1731">
        <f t="shared" si="30"/>
        <v>1053.2000000000105</v>
      </c>
      <c r="D396" s="1672">
        <f t="shared" si="34"/>
        <v>1474.48</v>
      </c>
      <c r="E396" s="1670"/>
      <c r="F396" s="1732">
        <f t="shared" si="31"/>
        <v>661.95000000000459</v>
      </c>
      <c r="G396" s="1672">
        <f t="shared" si="33"/>
        <v>926.73</v>
      </c>
      <c r="H396" s="1670"/>
      <c r="I396" s="1670"/>
    </row>
    <row r="397" spans="1:9" ht="15.75">
      <c r="A397" s="1622"/>
      <c r="B397" s="1691">
        <f t="shared" si="32"/>
        <v>393</v>
      </c>
      <c r="C397" s="1731">
        <f t="shared" ref="C397:C460" si="35">C396+$C$1006</f>
        <v>1055.8900000000106</v>
      </c>
      <c r="D397" s="1672">
        <f t="shared" si="34"/>
        <v>1478.25</v>
      </c>
      <c r="E397" s="1670"/>
      <c r="F397" s="1732">
        <f t="shared" ref="F397:F460" si="36">F396+$F$1006</f>
        <v>663.64000000000465</v>
      </c>
      <c r="G397" s="1672">
        <f t="shared" si="33"/>
        <v>929.1</v>
      </c>
      <c r="H397" s="1670"/>
      <c r="I397" s="1670"/>
    </row>
    <row r="398" spans="1:9" ht="15.75">
      <c r="A398" s="1622"/>
      <c r="B398" s="1691">
        <f t="shared" ref="B398:B461" si="37">B397+1</f>
        <v>394</v>
      </c>
      <c r="C398" s="1731">
        <f t="shared" si="35"/>
        <v>1058.5800000000106</v>
      </c>
      <c r="D398" s="1672">
        <f t="shared" si="34"/>
        <v>1482.01</v>
      </c>
      <c r="E398" s="1670"/>
      <c r="F398" s="1732">
        <f t="shared" si="36"/>
        <v>665.3300000000047</v>
      </c>
      <c r="G398" s="1672">
        <f t="shared" si="33"/>
        <v>931.46</v>
      </c>
      <c r="H398" s="1670"/>
      <c r="I398" s="1670"/>
    </row>
    <row r="399" spans="1:9" ht="15.75">
      <c r="A399" s="1622"/>
      <c r="B399" s="1691">
        <f t="shared" si="37"/>
        <v>395</v>
      </c>
      <c r="C399" s="1731">
        <f t="shared" si="35"/>
        <v>1061.2700000000107</v>
      </c>
      <c r="D399" s="1672">
        <f t="shared" si="34"/>
        <v>1485.78</v>
      </c>
      <c r="E399" s="1670"/>
      <c r="F399" s="1732">
        <f t="shared" si="36"/>
        <v>667.02000000000476</v>
      </c>
      <c r="G399" s="1672">
        <f t="shared" si="33"/>
        <v>933.83</v>
      </c>
      <c r="H399" s="1670"/>
      <c r="I399" s="1670"/>
    </row>
    <row r="400" spans="1:9" ht="15.75">
      <c r="A400" s="1622"/>
      <c r="B400" s="1691">
        <f t="shared" si="37"/>
        <v>396</v>
      </c>
      <c r="C400" s="1731">
        <f t="shared" si="35"/>
        <v>1063.9600000000107</v>
      </c>
      <c r="D400" s="1672">
        <f t="shared" si="34"/>
        <v>1489.54</v>
      </c>
      <c r="E400" s="1670"/>
      <c r="F400" s="1732">
        <f t="shared" si="36"/>
        <v>668.71000000000481</v>
      </c>
      <c r="G400" s="1672">
        <f t="shared" si="33"/>
        <v>936.19</v>
      </c>
      <c r="H400" s="1670"/>
      <c r="I400" s="1670"/>
    </row>
    <row r="401" spans="1:9" ht="15.75">
      <c r="A401" s="1622"/>
      <c r="B401" s="1691">
        <f t="shared" si="37"/>
        <v>397</v>
      </c>
      <c r="C401" s="1731">
        <f t="shared" si="35"/>
        <v>1066.6500000000108</v>
      </c>
      <c r="D401" s="1672">
        <f t="shared" si="34"/>
        <v>1493.31</v>
      </c>
      <c r="E401" s="1670"/>
      <c r="F401" s="1732">
        <f t="shared" si="36"/>
        <v>670.40000000000487</v>
      </c>
      <c r="G401" s="1672">
        <f t="shared" si="33"/>
        <v>938.56</v>
      </c>
      <c r="H401" s="1670"/>
      <c r="I401" s="1670"/>
    </row>
    <row r="402" spans="1:9" ht="15.75">
      <c r="A402" s="1622"/>
      <c r="B402" s="1691">
        <f t="shared" si="37"/>
        <v>398</v>
      </c>
      <c r="C402" s="1731">
        <f t="shared" si="35"/>
        <v>1069.3400000000108</v>
      </c>
      <c r="D402" s="1672">
        <f t="shared" si="34"/>
        <v>1497.08</v>
      </c>
      <c r="E402" s="1670"/>
      <c r="F402" s="1732">
        <f t="shared" si="36"/>
        <v>672.09000000000492</v>
      </c>
      <c r="G402" s="1672">
        <f t="shared" si="33"/>
        <v>940.93</v>
      </c>
      <c r="H402" s="1670"/>
      <c r="I402" s="1670"/>
    </row>
    <row r="403" spans="1:9" ht="15.75">
      <c r="A403" s="1622"/>
      <c r="B403" s="1691">
        <f t="shared" si="37"/>
        <v>399</v>
      </c>
      <c r="C403" s="1731">
        <f t="shared" si="35"/>
        <v>1072.0300000000109</v>
      </c>
      <c r="D403" s="1672">
        <f t="shared" si="34"/>
        <v>1500.84</v>
      </c>
      <c r="E403" s="1670"/>
      <c r="F403" s="1732">
        <f t="shared" si="36"/>
        <v>673.78000000000497</v>
      </c>
      <c r="G403" s="1672">
        <f t="shared" si="33"/>
        <v>943.29</v>
      </c>
      <c r="H403" s="1670"/>
      <c r="I403" s="1670"/>
    </row>
    <row r="404" spans="1:9" ht="15.75">
      <c r="A404" s="1622"/>
      <c r="B404" s="1691">
        <f t="shared" si="37"/>
        <v>400</v>
      </c>
      <c r="C404" s="1731">
        <f t="shared" si="35"/>
        <v>1074.7200000000109</v>
      </c>
      <c r="D404" s="1672">
        <f t="shared" si="34"/>
        <v>1504.61</v>
      </c>
      <c r="E404" s="1670"/>
      <c r="F404" s="1732">
        <f t="shared" si="36"/>
        <v>675.47000000000503</v>
      </c>
      <c r="G404" s="1672">
        <f t="shared" si="33"/>
        <v>945.66</v>
      </c>
      <c r="H404" s="1670"/>
      <c r="I404" s="1670"/>
    </row>
    <row r="405" spans="1:9" ht="15.75">
      <c r="A405" s="1622"/>
      <c r="B405" s="1691">
        <f t="shared" si="37"/>
        <v>401</v>
      </c>
      <c r="C405" s="1731">
        <f t="shared" si="35"/>
        <v>1077.410000000011</v>
      </c>
      <c r="D405" s="1672">
        <f t="shared" si="34"/>
        <v>1508.37</v>
      </c>
      <c r="E405" s="1670"/>
      <c r="F405" s="1732">
        <f t="shared" si="36"/>
        <v>677.16000000000508</v>
      </c>
      <c r="G405" s="1672">
        <f t="shared" si="33"/>
        <v>948.02</v>
      </c>
      <c r="H405" s="1670"/>
      <c r="I405" s="1670"/>
    </row>
    <row r="406" spans="1:9" ht="15.75">
      <c r="A406" s="1622"/>
      <c r="B406" s="1691">
        <f t="shared" si="37"/>
        <v>402</v>
      </c>
      <c r="C406" s="1731">
        <f t="shared" si="35"/>
        <v>1080.1000000000111</v>
      </c>
      <c r="D406" s="1672">
        <f t="shared" si="34"/>
        <v>1512.14</v>
      </c>
      <c r="E406" s="1670"/>
      <c r="F406" s="1732">
        <f t="shared" si="36"/>
        <v>678.85000000000514</v>
      </c>
      <c r="G406" s="1672">
        <f t="shared" si="33"/>
        <v>950.39</v>
      </c>
      <c r="H406" s="1670"/>
      <c r="I406" s="1670"/>
    </row>
    <row r="407" spans="1:9" ht="15.75">
      <c r="A407" s="1622"/>
      <c r="B407" s="1691">
        <f t="shared" si="37"/>
        <v>403</v>
      </c>
      <c r="C407" s="1731">
        <f t="shared" si="35"/>
        <v>1082.7900000000111</v>
      </c>
      <c r="D407" s="1672">
        <f t="shared" si="34"/>
        <v>1515.91</v>
      </c>
      <c r="E407" s="1670"/>
      <c r="F407" s="1732">
        <f t="shared" si="36"/>
        <v>680.54000000000519</v>
      </c>
      <c r="G407" s="1672">
        <f t="shared" si="33"/>
        <v>952.76</v>
      </c>
      <c r="H407" s="1670"/>
      <c r="I407" s="1670"/>
    </row>
    <row r="408" spans="1:9" ht="15.75">
      <c r="A408" s="1622"/>
      <c r="B408" s="1691">
        <f t="shared" si="37"/>
        <v>404</v>
      </c>
      <c r="C408" s="1731">
        <f t="shared" si="35"/>
        <v>1085.4800000000112</v>
      </c>
      <c r="D408" s="1672">
        <f t="shared" si="34"/>
        <v>1519.67</v>
      </c>
      <c r="E408" s="1670"/>
      <c r="F408" s="1732">
        <f t="shared" si="36"/>
        <v>682.23000000000525</v>
      </c>
      <c r="G408" s="1672">
        <f t="shared" si="33"/>
        <v>955.12</v>
      </c>
      <c r="H408" s="1670"/>
      <c r="I408" s="1670"/>
    </row>
    <row r="409" spans="1:9" ht="15.75">
      <c r="A409" s="1622"/>
      <c r="B409" s="1691">
        <f t="shared" si="37"/>
        <v>405</v>
      </c>
      <c r="C409" s="1731">
        <f t="shared" si="35"/>
        <v>1088.1700000000112</v>
      </c>
      <c r="D409" s="1672">
        <f t="shared" si="34"/>
        <v>1523.44</v>
      </c>
      <c r="E409" s="1670"/>
      <c r="F409" s="1732">
        <f t="shared" si="36"/>
        <v>683.9200000000053</v>
      </c>
      <c r="G409" s="1672">
        <f t="shared" si="33"/>
        <v>957.49</v>
      </c>
      <c r="H409" s="1670"/>
      <c r="I409" s="1670"/>
    </row>
    <row r="410" spans="1:9" ht="15.75">
      <c r="A410" s="1622"/>
      <c r="B410" s="1691">
        <f t="shared" si="37"/>
        <v>406</v>
      </c>
      <c r="C410" s="1731">
        <f t="shared" si="35"/>
        <v>1090.8600000000113</v>
      </c>
      <c r="D410" s="1672">
        <f t="shared" si="34"/>
        <v>1527.2</v>
      </c>
      <c r="E410" s="1670"/>
      <c r="F410" s="1732">
        <f t="shared" si="36"/>
        <v>685.61000000000536</v>
      </c>
      <c r="G410" s="1672">
        <f t="shared" si="33"/>
        <v>959.85</v>
      </c>
      <c r="H410" s="1670"/>
      <c r="I410" s="1670"/>
    </row>
    <row r="411" spans="1:9" ht="15.75">
      <c r="A411" s="1622"/>
      <c r="B411" s="1691">
        <f t="shared" si="37"/>
        <v>407</v>
      </c>
      <c r="C411" s="1731">
        <f t="shared" si="35"/>
        <v>1093.5500000000113</v>
      </c>
      <c r="D411" s="1672">
        <f t="shared" si="34"/>
        <v>1530.97</v>
      </c>
      <c r="E411" s="1670"/>
      <c r="F411" s="1732">
        <f t="shared" si="36"/>
        <v>687.30000000000541</v>
      </c>
      <c r="G411" s="1672">
        <f t="shared" si="33"/>
        <v>962.22</v>
      </c>
      <c r="H411" s="1670"/>
      <c r="I411" s="1670"/>
    </row>
    <row r="412" spans="1:9" ht="15.75">
      <c r="A412" s="1622"/>
      <c r="B412" s="1691">
        <f t="shared" si="37"/>
        <v>408</v>
      </c>
      <c r="C412" s="1731">
        <f t="shared" si="35"/>
        <v>1096.2400000000114</v>
      </c>
      <c r="D412" s="1672">
        <f t="shared" si="34"/>
        <v>1534.74</v>
      </c>
      <c r="E412" s="1670"/>
      <c r="F412" s="1732">
        <f t="shared" si="36"/>
        <v>688.99000000000547</v>
      </c>
      <c r="G412" s="1672">
        <f t="shared" si="33"/>
        <v>964.59</v>
      </c>
      <c r="H412" s="1670"/>
      <c r="I412" s="1670"/>
    </row>
    <row r="413" spans="1:9" ht="15.75">
      <c r="A413" s="1622"/>
      <c r="B413" s="1691">
        <f t="shared" si="37"/>
        <v>409</v>
      </c>
      <c r="C413" s="1731">
        <f t="shared" si="35"/>
        <v>1098.9300000000114</v>
      </c>
      <c r="D413" s="1672">
        <f t="shared" si="34"/>
        <v>1538.5</v>
      </c>
      <c r="E413" s="1670"/>
      <c r="F413" s="1732">
        <f t="shared" si="36"/>
        <v>690.68000000000552</v>
      </c>
      <c r="G413" s="1672">
        <f t="shared" si="33"/>
        <v>966.95</v>
      </c>
      <c r="H413" s="1670"/>
      <c r="I413" s="1670"/>
    </row>
    <row r="414" spans="1:9" ht="15.75">
      <c r="A414" s="1622"/>
      <c r="B414" s="1691">
        <f t="shared" si="37"/>
        <v>410</v>
      </c>
      <c r="C414" s="1731">
        <f t="shared" si="35"/>
        <v>1101.6200000000115</v>
      </c>
      <c r="D414" s="1672">
        <f t="shared" si="34"/>
        <v>1542.27</v>
      </c>
      <c r="E414" s="1670"/>
      <c r="F414" s="1732">
        <f t="shared" si="36"/>
        <v>692.37000000000558</v>
      </c>
      <c r="G414" s="1672">
        <f t="shared" si="33"/>
        <v>969.32</v>
      </c>
      <c r="H414" s="1670"/>
      <c r="I414" s="1670"/>
    </row>
    <row r="415" spans="1:9" ht="15.75">
      <c r="A415" s="1622"/>
      <c r="B415" s="1691">
        <f t="shared" si="37"/>
        <v>411</v>
      </c>
      <c r="C415" s="1731">
        <f t="shared" si="35"/>
        <v>1104.3100000000115</v>
      </c>
      <c r="D415" s="1672">
        <f t="shared" si="34"/>
        <v>1546.03</v>
      </c>
      <c r="E415" s="1670"/>
      <c r="F415" s="1732">
        <f t="shared" si="36"/>
        <v>694.06000000000563</v>
      </c>
      <c r="G415" s="1672">
        <f t="shared" si="33"/>
        <v>971.68</v>
      </c>
      <c r="H415" s="1670"/>
      <c r="I415" s="1670"/>
    </row>
    <row r="416" spans="1:9" ht="15.75">
      <c r="A416" s="1622"/>
      <c r="B416" s="1691">
        <f t="shared" si="37"/>
        <v>412</v>
      </c>
      <c r="C416" s="1731">
        <f t="shared" si="35"/>
        <v>1107.0000000000116</v>
      </c>
      <c r="D416" s="1672">
        <f t="shared" si="34"/>
        <v>1549.8</v>
      </c>
      <c r="E416" s="1670"/>
      <c r="F416" s="1732">
        <f t="shared" si="36"/>
        <v>695.75000000000568</v>
      </c>
      <c r="G416" s="1672">
        <f t="shared" si="33"/>
        <v>974.05</v>
      </c>
      <c r="H416" s="1670"/>
      <c r="I416" s="1670"/>
    </row>
    <row r="417" spans="1:9" ht="15.75">
      <c r="A417" s="1622"/>
      <c r="B417" s="1691">
        <f t="shared" si="37"/>
        <v>413</v>
      </c>
      <c r="C417" s="1731">
        <f t="shared" si="35"/>
        <v>1109.6900000000117</v>
      </c>
      <c r="D417" s="1672">
        <f t="shared" si="34"/>
        <v>1553.57</v>
      </c>
      <c r="E417" s="1670"/>
      <c r="F417" s="1732">
        <f t="shared" si="36"/>
        <v>697.44000000000574</v>
      </c>
      <c r="G417" s="1672">
        <f t="shared" si="33"/>
        <v>976.42</v>
      </c>
      <c r="H417" s="1670"/>
      <c r="I417" s="1670"/>
    </row>
    <row r="418" spans="1:9" ht="15.75">
      <c r="A418" s="1622"/>
      <c r="B418" s="1691">
        <f t="shared" si="37"/>
        <v>414</v>
      </c>
      <c r="C418" s="1731">
        <f t="shared" si="35"/>
        <v>1112.3800000000117</v>
      </c>
      <c r="D418" s="1672">
        <f t="shared" si="34"/>
        <v>1557.33</v>
      </c>
      <c r="E418" s="1670"/>
      <c r="F418" s="1732">
        <f t="shared" si="36"/>
        <v>699.13000000000579</v>
      </c>
      <c r="G418" s="1672">
        <f t="shared" si="33"/>
        <v>978.78</v>
      </c>
      <c r="H418" s="1670"/>
      <c r="I418" s="1670"/>
    </row>
    <row r="419" spans="1:9" ht="15.75">
      <c r="A419" s="1622"/>
      <c r="B419" s="1691">
        <f t="shared" si="37"/>
        <v>415</v>
      </c>
      <c r="C419" s="1731">
        <f t="shared" si="35"/>
        <v>1115.0700000000118</v>
      </c>
      <c r="D419" s="1672">
        <f t="shared" si="34"/>
        <v>1561.1</v>
      </c>
      <c r="E419" s="1670"/>
      <c r="F419" s="1732">
        <f t="shared" si="36"/>
        <v>700.82000000000585</v>
      </c>
      <c r="G419" s="1672">
        <f t="shared" si="33"/>
        <v>981.15</v>
      </c>
      <c r="H419" s="1670"/>
      <c r="I419" s="1670"/>
    </row>
    <row r="420" spans="1:9" ht="15.75">
      <c r="A420" s="1622"/>
      <c r="B420" s="1691">
        <f t="shared" si="37"/>
        <v>416</v>
      </c>
      <c r="C420" s="1731">
        <f t="shared" si="35"/>
        <v>1117.7600000000118</v>
      </c>
      <c r="D420" s="1672">
        <f t="shared" si="34"/>
        <v>1564.86</v>
      </c>
      <c r="E420" s="1670"/>
      <c r="F420" s="1732">
        <f t="shared" si="36"/>
        <v>702.5100000000059</v>
      </c>
      <c r="G420" s="1672">
        <f t="shared" si="33"/>
        <v>983.51</v>
      </c>
      <c r="H420" s="1670"/>
      <c r="I420" s="1670"/>
    </row>
    <row r="421" spans="1:9" ht="15.75">
      <c r="A421" s="1622"/>
      <c r="B421" s="1691">
        <f t="shared" si="37"/>
        <v>417</v>
      </c>
      <c r="C421" s="1731">
        <f t="shared" si="35"/>
        <v>1120.4500000000119</v>
      </c>
      <c r="D421" s="1672">
        <f t="shared" si="34"/>
        <v>1568.63</v>
      </c>
      <c r="E421" s="1670"/>
      <c r="F421" s="1732">
        <f t="shared" si="36"/>
        <v>704.20000000000596</v>
      </c>
      <c r="G421" s="1672">
        <f t="shared" si="33"/>
        <v>985.88</v>
      </c>
      <c r="H421" s="1670"/>
      <c r="I421" s="1670"/>
    </row>
    <row r="422" spans="1:9" ht="15.75">
      <c r="A422" s="1622"/>
      <c r="B422" s="1691">
        <f t="shared" si="37"/>
        <v>418</v>
      </c>
      <c r="C422" s="1731">
        <f t="shared" si="35"/>
        <v>1123.1400000000119</v>
      </c>
      <c r="D422" s="1672">
        <f t="shared" si="34"/>
        <v>1572.4</v>
      </c>
      <c r="E422" s="1670"/>
      <c r="F422" s="1732">
        <f t="shared" si="36"/>
        <v>705.89000000000601</v>
      </c>
      <c r="G422" s="1672">
        <f t="shared" si="33"/>
        <v>988.25</v>
      </c>
      <c r="H422" s="1670"/>
      <c r="I422" s="1670"/>
    </row>
    <row r="423" spans="1:9" ht="15.75">
      <c r="A423" s="1622"/>
      <c r="B423" s="1691">
        <f t="shared" si="37"/>
        <v>419</v>
      </c>
      <c r="C423" s="1731">
        <f t="shared" si="35"/>
        <v>1125.830000000012</v>
      </c>
      <c r="D423" s="1672">
        <f t="shared" si="34"/>
        <v>1576.16</v>
      </c>
      <c r="E423" s="1670"/>
      <c r="F423" s="1732">
        <f t="shared" si="36"/>
        <v>707.58000000000607</v>
      </c>
      <c r="G423" s="1672">
        <f t="shared" si="33"/>
        <v>990.61</v>
      </c>
      <c r="H423" s="1670"/>
      <c r="I423" s="1670"/>
    </row>
    <row r="424" spans="1:9" ht="15.75">
      <c r="A424" s="1622"/>
      <c r="B424" s="1691">
        <f t="shared" si="37"/>
        <v>420</v>
      </c>
      <c r="C424" s="1731">
        <f t="shared" si="35"/>
        <v>1128.520000000012</v>
      </c>
      <c r="D424" s="1672">
        <f t="shared" si="34"/>
        <v>1579.93</v>
      </c>
      <c r="E424" s="1670"/>
      <c r="F424" s="1732">
        <f t="shared" si="36"/>
        <v>709.27000000000612</v>
      </c>
      <c r="G424" s="1672">
        <f t="shared" si="33"/>
        <v>992.98</v>
      </c>
      <c r="H424" s="1670"/>
      <c r="I424" s="1670"/>
    </row>
    <row r="425" spans="1:9" ht="15.75">
      <c r="A425" s="1622"/>
      <c r="B425" s="1691">
        <f t="shared" si="37"/>
        <v>421</v>
      </c>
      <c r="C425" s="1731">
        <f t="shared" si="35"/>
        <v>1131.2100000000121</v>
      </c>
      <c r="D425" s="1672">
        <f t="shared" si="34"/>
        <v>1583.69</v>
      </c>
      <c r="E425" s="1670"/>
      <c r="F425" s="1732">
        <f t="shared" si="36"/>
        <v>710.96000000000618</v>
      </c>
      <c r="G425" s="1672">
        <f t="shared" si="33"/>
        <v>995.34</v>
      </c>
      <c r="H425" s="1670"/>
      <c r="I425" s="1670"/>
    </row>
    <row r="426" spans="1:9" ht="15.75">
      <c r="A426" s="1622"/>
      <c r="B426" s="1691">
        <f t="shared" si="37"/>
        <v>422</v>
      </c>
      <c r="C426" s="1731">
        <f t="shared" si="35"/>
        <v>1133.9000000000121</v>
      </c>
      <c r="D426" s="1672">
        <f t="shared" si="34"/>
        <v>1587.46</v>
      </c>
      <c r="E426" s="1670"/>
      <c r="F426" s="1732">
        <f t="shared" si="36"/>
        <v>712.65000000000623</v>
      </c>
      <c r="G426" s="1672">
        <f t="shared" si="33"/>
        <v>997.71</v>
      </c>
      <c r="H426" s="1670"/>
      <c r="I426" s="1670"/>
    </row>
    <row r="427" spans="1:9" ht="15.75">
      <c r="A427" s="1622"/>
      <c r="B427" s="1691">
        <f t="shared" si="37"/>
        <v>423</v>
      </c>
      <c r="C427" s="1731">
        <f t="shared" si="35"/>
        <v>1136.5900000000122</v>
      </c>
      <c r="D427" s="1672">
        <f t="shared" si="34"/>
        <v>1591.23</v>
      </c>
      <c r="E427" s="1670"/>
      <c r="F427" s="1732">
        <f t="shared" si="36"/>
        <v>714.34000000000628</v>
      </c>
      <c r="G427" s="1672">
        <f t="shared" si="33"/>
        <v>1000.08</v>
      </c>
      <c r="H427" s="1670"/>
      <c r="I427" s="1670"/>
    </row>
    <row r="428" spans="1:9" ht="15.75">
      <c r="A428" s="1622"/>
      <c r="B428" s="1691">
        <f t="shared" si="37"/>
        <v>424</v>
      </c>
      <c r="C428" s="1731">
        <f t="shared" si="35"/>
        <v>1139.2800000000123</v>
      </c>
      <c r="D428" s="1672">
        <f t="shared" si="34"/>
        <v>1594.99</v>
      </c>
      <c r="E428" s="1670"/>
      <c r="F428" s="1732">
        <f t="shared" si="36"/>
        <v>716.03000000000634</v>
      </c>
      <c r="G428" s="1672">
        <f t="shared" si="33"/>
        <v>1002.44</v>
      </c>
      <c r="H428" s="1670"/>
      <c r="I428" s="1670"/>
    </row>
    <row r="429" spans="1:9" ht="15.75">
      <c r="A429" s="1622"/>
      <c r="B429" s="1691">
        <f t="shared" si="37"/>
        <v>425</v>
      </c>
      <c r="C429" s="1731">
        <f t="shared" si="35"/>
        <v>1141.9700000000123</v>
      </c>
      <c r="D429" s="1672">
        <f t="shared" si="34"/>
        <v>1598.76</v>
      </c>
      <c r="E429" s="1670"/>
      <c r="F429" s="1732">
        <f t="shared" si="36"/>
        <v>717.72000000000639</v>
      </c>
      <c r="G429" s="1672">
        <f t="shared" si="33"/>
        <v>1004.81</v>
      </c>
      <c r="H429" s="1670"/>
      <c r="I429" s="1670"/>
    </row>
    <row r="430" spans="1:9" ht="15.75">
      <c r="A430" s="1622"/>
      <c r="B430" s="1691">
        <f t="shared" si="37"/>
        <v>426</v>
      </c>
      <c r="C430" s="1731">
        <f t="shared" si="35"/>
        <v>1144.6600000000124</v>
      </c>
      <c r="D430" s="1672">
        <f t="shared" si="34"/>
        <v>1602.52</v>
      </c>
      <c r="E430" s="1670"/>
      <c r="F430" s="1732">
        <f t="shared" si="36"/>
        <v>719.41000000000645</v>
      </c>
      <c r="G430" s="1672">
        <f t="shared" si="33"/>
        <v>1007.17</v>
      </c>
      <c r="H430" s="1670"/>
      <c r="I430" s="1670"/>
    </row>
    <row r="431" spans="1:9" ht="15.75">
      <c r="A431" s="1622"/>
      <c r="B431" s="1691">
        <f t="shared" si="37"/>
        <v>427</v>
      </c>
      <c r="C431" s="1731">
        <f t="shared" si="35"/>
        <v>1147.3500000000124</v>
      </c>
      <c r="D431" s="1672">
        <f t="shared" si="34"/>
        <v>1606.29</v>
      </c>
      <c r="E431" s="1670"/>
      <c r="F431" s="1732">
        <f t="shared" si="36"/>
        <v>721.1000000000065</v>
      </c>
      <c r="G431" s="1672">
        <f t="shared" si="33"/>
        <v>1009.54</v>
      </c>
      <c r="H431" s="1670"/>
      <c r="I431" s="1670"/>
    </row>
    <row r="432" spans="1:9" ht="15.75">
      <c r="A432" s="1622"/>
      <c r="B432" s="1691">
        <f t="shared" si="37"/>
        <v>428</v>
      </c>
      <c r="C432" s="1731">
        <f t="shared" si="35"/>
        <v>1150.0400000000125</v>
      </c>
      <c r="D432" s="1672">
        <f t="shared" si="34"/>
        <v>1610.06</v>
      </c>
      <c r="E432" s="1670"/>
      <c r="F432" s="1732">
        <f t="shared" si="36"/>
        <v>722.79000000000656</v>
      </c>
      <c r="G432" s="1672">
        <f t="shared" si="33"/>
        <v>1011.91</v>
      </c>
      <c r="H432" s="1670"/>
      <c r="I432" s="1670"/>
    </row>
    <row r="433" spans="1:9" ht="15.75">
      <c r="A433" s="1622"/>
      <c r="B433" s="1691">
        <f t="shared" si="37"/>
        <v>429</v>
      </c>
      <c r="C433" s="1731">
        <f t="shared" si="35"/>
        <v>1152.7300000000125</v>
      </c>
      <c r="D433" s="1672">
        <f t="shared" si="34"/>
        <v>1613.82</v>
      </c>
      <c r="E433" s="1670"/>
      <c r="F433" s="1732">
        <f t="shared" si="36"/>
        <v>724.48000000000661</v>
      </c>
      <c r="G433" s="1672">
        <f t="shared" si="33"/>
        <v>1014.27</v>
      </c>
      <c r="H433" s="1670"/>
      <c r="I433" s="1670"/>
    </row>
    <row r="434" spans="1:9" ht="15.75">
      <c r="A434" s="1622"/>
      <c r="B434" s="1691">
        <f t="shared" si="37"/>
        <v>430</v>
      </c>
      <c r="C434" s="1731">
        <f t="shared" si="35"/>
        <v>1155.4200000000126</v>
      </c>
      <c r="D434" s="1672">
        <f t="shared" si="34"/>
        <v>1617.59</v>
      </c>
      <c r="E434" s="1670"/>
      <c r="F434" s="1732">
        <f t="shared" si="36"/>
        <v>726.17000000000667</v>
      </c>
      <c r="G434" s="1672">
        <f t="shared" si="33"/>
        <v>1016.64</v>
      </c>
      <c r="H434" s="1670"/>
      <c r="I434" s="1670"/>
    </row>
    <row r="435" spans="1:9" ht="15.75">
      <c r="A435" s="1622"/>
      <c r="B435" s="1691">
        <f t="shared" si="37"/>
        <v>431</v>
      </c>
      <c r="C435" s="1731">
        <f t="shared" si="35"/>
        <v>1158.1100000000126</v>
      </c>
      <c r="D435" s="1672">
        <f t="shared" si="34"/>
        <v>1621.35</v>
      </c>
      <c r="E435" s="1670"/>
      <c r="F435" s="1732">
        <f t="shared" si="36"/>
        <v>727.86000000000672</v>
      </c>
      <c r="G435" s="1672">
        <f t="shared" si="33"/>
        <v>1019</v>
      </c>
      <c r="H435" s="1670"/>
      <c r="I435" s="1670"/>
    </row>
    <row r="436" spans="1:9" ht="15.75">
      <c r="A436" s="1622"/>
      <c r="B436" s="1691">
        <f t="shared" si="37"/>
        <v>432</v>
      </c>
      <c r="C436" s="1731">
        <f t="shared" si="35"/>
        <v>1160.8000000000127</v>
      </c>
      <c r="D436" s="1672">
        <f t="shared" si="34"/>
        <v>1625.12</v>
      </c>
      <c r="E436" s="1670"/>
      <c r="F436" s="1732">
        <f t="shared" si="36"/>
        <v>729.55000000000678</v>
      </c>
      <c r="G436" s="1672">
        <f t="shared" si="33"/>
        <v>1021.37</v>
      </c>
      <c r="H436" s="1670"/>
      <c r="I436" s="1670"/>
    </row>
    <row r="437" spans="1:9" ht="15.75">
      <c r="A437" s="1622"/>
      <c r="B437" s="1691">
        <f t="shared" si="37"/>
        <v>433</v>
      </c>
      <c r="C437" s="1731">
        <f t="shared" si="35"/>
        <v>1163.4900000000127</v>
      </c>
      <c r="D437" s="1672">
        <f t="shared" si="34"/>
        <v>1628.89</v>
      </c>
      <c r="E437" s="1670"/>
      <c r="F437" s="1732">
        <f t="shared" si="36"/>
        <v>731.24000000000683</v>
      </c>
      <c r="G437" s="1672">
        <f t="shared" si="33"/>
        <v>1023.74</v>
      </c>
      <c r="H437" s="1670"/>
      <c r="I437" s="1670"/>
    </row>
    <row r="438" spans="1:9" ht="15.75">
      <c r="A438" s="1622"/>
      <c r="B438" s="1691">
        <f t="shared" si="37"/>
        <v>434</v>
      </c>
      <c r="C438" s="1731">
        <f t="shared" si="35"/>
        <v>1166.1800000000128</v>
      </c>
      <c r="D438" s="1672">
        <f t="shared" si="34"/>
        <v>1632.65</v>
      </c>
      <c r="E438" s="1670"/>
      <c r="F438" s="1732">
        <f t="shared" si="36"/>
        <v>732.93000000000688</v>
      </c>
      <c r="G438" s="1672">
        <f t="shared" si="33"/>
        <v>1026.0999999999999</v>
      </c>
      <c r="H438" s="1670"/>
      <c r="I438" s="1670"/>
    </row>
    <row r="439" spans="1:9" ht="15.75">
      <c r="A439" s="1622"/>
      <c r="B439" s="1691">
        <f t="shared" si="37"/>
        <v>435</v>
      </c>
      <c r="C439" s="1731">
        <f t="shared" si="35"/>
        <v>1168.8700000000129</v>
      </c>
      <c r="D439" s="1672">
        <f t="shared" si="34"/>
        <v>1636.42</v>
      </c>
      <c r="E439" s="1670"/>
      <c r="F439" s="1732">
        <f t="shared" si="36"/>
        <v>734.62000000000694</v>
      </c>
      <c r="G439" s="1672">
        <f t="shared" si="33"/>
        <v>1028.47</v>
      </c>
      <c r="H439" s="1670"/>
      <c r="I439" s="1670"/>
    </row>
    <row r="440" spans="1:9" ht="15.75">
      <c r="A440" s="1622"/>
      <c r="B440" s="1691">
        <f t="shared" si="37"/>
        <v>436</v>
      </c>
      <c r="C440" s="1731">
        <f t="shared" si="35"/>
        <v>1171.5600000000129</v>
      </c>
      <c r="D440" s="1672">
        <f t="shared" si="34"/>
        <v>1640.18</v>
      </c>
      <c r="E440" s="1670"/>
      <c r="F440" s="1732">
        <f t="shared" si="36"/>
        <v>736.31000000000699</v>
      </c>
      <c r="G440" s="1672">
        <f t="shared" si="33"/>
        <v>1030.83</v>
      </c>
      <c r="H440" s="1670"/>
      <c r="I440" s="1670"/>
    </row>
    <row r="441" spans="1:9" ht="15.75">
      <c r="A441" s="1622"/>
      <c r="B441" s="1691">
        <f t="shared" si="37"/>
        <v>437</v>
      </c>
      <c r="C441" s="1731">
        <f t="shared" si="35"/>
        <v>1174.250000000013</v>
      </c>
      <c r="D441" s="1672">
        <f t="shared" si="34"/>
        <v>1643.95</v>
      </c>
      <c r="E441" s="1670"/>
      <c r="F441" s="1732">
        <f t="shared" si="36"/>
        <v>738.00000000000705</v>
      </c>
      <c r="G441" s="1672">
        <f t="shared" si="33"/>
        <v>1033.2</v>
      </c>
      <c r="H441" s="1670"/>
      <c r="I441" s="1670"/>
    </row>
    <row r="442" spans="1:9" ht="15.75">
      <c r="A442" s="1622"/>
      <c r="B442" s="1691">
        <f t="shared" si="37"/>
        <v>438</v>
      </c>
      <c r="C442" s="1731">
        <f t="shared" si="35"/>
        <v>1176.940000000013</v>
      </c>
      <c r="D442" s="1672">
        <f t="shared" si="34"/>
        <v>1647.72</v>
      </c>
      <c r="E442" s="1670"/>
      <c r="F442" s="1732">
        <f t="shared" si="36"/>
        <v>739.6900000000071</v>
      </c>
      <c r="G442" s="1672">
        <f t="shared" si="33"/>
        <v>1035.57</v>
      </c>
      <c r="H442" s="1670"/>
      <c r="I442" s="1670"/>
    </row>
    <row r="443" spans="1:9" ht="15.75">
      <c r="A443" s="1622"/>
      <c r="B443" s="1691">
        <f t="shared" si="37"/>
        <v>439</v>
      </c>
      <c r="C443" s="1731">
        <f t="shared" si="35"/>
        <v>1179.6300000000131</v>
      </c>
      <c r="D443" s="1672">
        <f t="shared" si="34"/>
        <v>1651.48</v>
      </c>
      <c r="E443" s="1670"/>
      <c r="F443" s="1732">
        <f t="shared" si="36"/>
        <v>741.38000000000716</v>
      </c>
      <c r="G443" s="1672">
        <f t="shared" si="33"/>
        <v>1037.93</v>
      </c>
      <c r="H443" s="1670"/>
      <c r="I443" s="1670"/>
    </row>
    <row r="444" spans="1:9" ht="15.75">
      <c r="A444" s="1622"/>
      <c r="B444" s="1691">
        <f t="shared" si="37"/>
        <v>440</v>
      </c>
      <c r="C444" s="1731">
        <f t="shared" si="35"/>
        <v>1182.3200000000131</v>
      </c>
      <c r="D444" s="1672">
        <f t="shared" si="34"/>
        <v>1655.25</v>
      </c>
      <c r="E444" s="1670"/>
      <c r="F444" s="1732">
        <f t="shared" si="36"/>
        <v>743.07000000000721</v>
      </c>
      <c r="G444" s="1672">
        <f t="shared" si="33"/>
        <v>1040.3</v>
      </c>
      <c r="H444" s="1670"/>
      <c r="I444" s="1670"/>
    </row>
    <row r="445" spans="1:9" ht="15.75">
      <c r="A445" s="1622"/>
      <c r="B445" s="1691">
        <f t="shared" si="37"/>
        <v>441</v>
      </c>
      <c r="C445" s="1731">
        <f t="shared" si="35"/>
        <v>1185.0100000000132</v>
      </c>
      <c r="D445" s="1672">
        <f t="shared" si="34"/>
        <v>1659.01</v>
      </c>
      <c r="E445" s="1670"/>
      <c r="F445" s="1732">
        <f t="shared" si="36"/>
        <v>744.76000000000727</v>
      </c>
      <c r="G445" s="1672">
        <f t="shared" si="33"/>
        <v>1042.6600000000001</v>
      </c>
      <c r="H445" s="1670"/>
      <c r="I445" s="1670"/>
    </row>
    <row r="446" spans="1:9" ht="15.75">
      <c r="A446" s="1622"/>
      <c r="B446" s="1691">
        <f t="shared" si="37"/>
        <v>442</v>
      </c>
      <c r="C446" s="1731">
        <f t="shared" si="35"/>
        <v>1187.7000000000132</v>
      </c>
      <c r="D446" s="1672">
        <f t="shared" si="34"/>
        <v>1662.78</v>
      </c>
      <c r="E446" s="1670"/>
      <c r="F446" s="1732">
        <f t="shared" si="36"/>
        <v>746.45000000000732</v>
      </c>
      <c r="G446" s="1672">
        <f t="shared" si="33"/>
        <v>1045.03</v>
      </c>
      <c r="H446" s="1670"/>
      <c r="I446" s="1670"/>
    </row>
    <row r="447" spans="1:9" ht="15.75">
      <c r="A447" s="1622"/>
      <c r="B447" s="1691">
        <f t="shared" si="37"/>
        <v>443</v>
      </c>
      <c r="C447" s="1731">
        <f t="shared" si="35"/>
        <v>1190.3900000000133</v>
      </c>
      <c r="D447" s="1672">
        <f t="shared" si="34"/>
        <v>1666.55</v>
      </c>
      <c r="E447" s="1670"/>
      <c r="F447" s="1732">
        <f t="shared" si="36"/>
        <v>748.14000000000738</v>
      </c>
      <c r="G447" s="1672">
        <f t="shared" si="33"/>
        <v>1047.4000000000001</v>
      </c>
      <c r="H447" s="1670"/>
      <c r="I447" s="1670"/>
    </row>
    <row r="448" spans="1:9" ht="15.75">
      <c r="A448" s="1622"/>
      <c r="B448" s="1691">
        <f t="shared" si="37"/>
        <v>444</v>
      </c>
      <c r="C448" s="1731">
        <f t="shared" si="35"/>
        <v>1193.0800000000133</v>
      </c>
      <c r="D448" s="1672">
        <f t="shared" si="34"/>
        <v>1670.31</v>
      </c>
      <c r="E448" s="1670"/>
      <c r="F448" s="1732">
        <f t="shared" si="36"/>
        <v>749.83000000000743</v>
      </c>
      <c r="G448" s="1672">
        <f t="shared" si="33"/>
        <v>1049.76</v>
      </c>
      <c r="H448" s="1670"/>
      <c r="I448" s="1670"/>
    </row>
    <row r="449" spans="1:9" ht="15.75">
      <c r="A449" s="1622"/>
      <c r="B449" s="1691">
        <f t="shared" si="37"/>
        <v>445</v>
      </c>
      <c r="C449" s="1731">
        <f t="shared" si="35"/>
        <v>1195.7700000000134</v>
      </c>
      <c r="D449" s="1672">
        <f t="shared" si="34"/>
        <v>1674.08</v>
      </c>
      <c r="E449" s="1670"/>
      <c r="F449" s="1732">
        <f t="shared" si="36"/>
        <v>751.52000000000749</v>
      </c>
      <c r="G449" s="1672">
        <f t="shared" si="33"/>
        <v>1052.1300000000001</v>
      </c>
      <c r="H449" s="1670"/>
      <c r="I449" s="1670"/>
    </row>
    <row r="450" spans="1:9" ht="15.75">
      <c r="A450" s="1622"/>
      <c r="B450" s="1691">
        <f t="shared" si="37"/>
        <v>446</v>
      </c>
      <c r="C450" s="1731">
        <f t="shared" si="35"/>
        <v>1198.4600000000135</v>
      </c>
      <c r="D450" s="1672">
        <f t="shared" si="34"/>
        <v>1677.84</v>
      </c>
      <c r="E450" s="1670"/>
      <c r="F450" s="1732">
        <f t="shared" si="36"/>
        <v>753.21000000000754</v>
      </c>
      <c r="G450" s="1672">
        <f t="shared" si="33"/>
        <v>1054.49</v>
      </c>
      <c r="H450" s="1670"/>
      <c r="I450" s="1670"/>
    </row>
    <row r="451" spans="1:9" ht="15.75">
      <c r="A451" s="1622"/>
      <c r="B451" s="1691">
        <f t="shared" si="37"/>
        <v>447</v>
      </c>
      <c r="C451" s="1731">
        <f t="shared" si="35"/>
        <v>1201.1500000000135</v>
      </c>
      <c r="D451" s="1672">
        <f t="shared" si="34"/>
        <v>1681.61</v>
      </c>
      <c r="E451" s="1670"/>
      <c r="F451" s="1732">
        <f t="shared" si="36"/>
        <v>754.90000000000759</v>
      </c>
      <c r="G451" s="1672">
        <f t="shared" si="33"/>
        <v>1056.8599999999999</v>
      </c>
      <c r="H451" s="1670"/>
      <c r="I451" s="1670"/>
    </row>
    <row r="452" spans="1:9" ht="15.75">
      <c r="A452" s="1622"/>
      <c r="B452" s="1691">
        <f t="shared" si="37"/>
        <v>448</v>
      </c>
      <c r="C452" s="1731">
        <f t="shared" si="35"/>
        <v>1203.8400000000136</v>
      </c>
      <c r="D452" s="1672">
        <f t="shared" si="34"/>
        <v>1685.38</v>
      </c>
      <c r="E452" s="1670"/>
      <c r="F452" s="1732">
        <f t="shared" si="36"/>
        <v>756.59000000000765</v>
      </c>
      <c r="G452" s="1672">
        <f t="shared" si="33"/>
        <v>1059.23</v>
      </c>
      <c r="H452" s="1670"/>
      <c r="I452" s="1670"/>
    </row>
    <row r="453" spans="1:9" ht="15.75">
      <c r="A453" s="1622"/>
      <c r="B453" s="1691">
        <f t="shared" si="37"/>
        <v>449</v>
      </c>
      <c r="C453" s="1731">
        <f t="shared" si="35"/>
        <v>1206.5300000000136</v>
      </c>
      <c r="D453" s="1672">
        <f t="shared" si="34"/>
        <v>1689.14</v>
      </c>
      <c r="E453" s="1670"/>
      <c r="F453" s="1732">
        <f t="shared" si="36"/>
        <v>758.2800000000077</v>
      </c>
      <c r="G453" s="1672">
        <f t="shared" ref="G453:G516" si="38">ROUND(F453*1.4,2)</f>
        <v>1061.5899999999999</v>
      </c>
      <c r="H453" s="1670"/>
      <c r="I453" s="1670"/>
    </row>
    <row r="454" spans="1:9" ht="15.75">
      <c r="A454" s="1622"/>
      <c r="B454" s="1691">
        <f t="shared" si="37"/>
        <v>450</v>
      </c>
      <c r="C454" s="1731">
        <f t="shared" si="35"/>
        <v>1209.2200000000137</v>
      </c>
      <c r="D454" s="1672">
        <f t="shared" ref="D454:D517" si="39">ROUND(C454*1.4,2)</f>
        <v>1692.91</v>
      </c>
      <c r="E454" s="1670"/>
      <c r="F454" s="1732">
        <f t="shared" si="36"/>
        <v>759.97000000000776</v>
      </c>
      <c r="G454" s="1672">
        <f t="shared" si="38"/>
        <v>1063.96</v>
      </c>
      <c r="H454" s="1670"/>
      <c r="I454" s="1670"/>
    </row>
    <row r="455" spans="1:9" ht="15.75">
      <c r="A455" s="1622"/>
      <c r="B455" s="1691">
        <f t="shared" si="37"/>
        <v>451</v>
      </c>
      <c r="C455" s="1731">
        <f t="shared" si="35"/>
        <v>1211.9100000000137</v>
      </c>
      <c r="D455" s="1672">
        <f t="shared" si="39"/>
        <v>1696.67</v>
      </c>
      <c r="E455" s="1670"/>
      <c r="F455" s="1732">
        <f t="shared" si="36"/>
        <v>761.66000000000781</v>
      </c>
      <c r="G455" s="1672">
        <f t="shared" si="38"/>
        <v>1066.32</v>
      </c>
      <c r="H455" s="1670"/>
      <c r="I455" s="1670"/>
    </row>
    <row r="456" spans="1:9" ht="15.75">
      <c r="A456" s="1622"/>
      <c r="B456" s="1691">
        <f t="shared" si="37"/>
        <v>452</v>
      </c>
      <c r="C456" s="1731">
        <f t="shared" si="35"/>
        <v>1214.6000000000138</v>
      </c>
      <c r="D456" s="1672">
        <f t="shared" si="39"/>
        <v>1700.44</v>
      </c>
      <c r="E456" s="1670"/>
      <c r="F456" s="1732">
        <f t="shared" si="36"/>
        <v>763.35000000000787</v>
      </c>
      <c r="G456" s="1672">
        <f t="shared" si="38"/>
        <v>1068.69</v>
      </c>
      <c r="H456" s="1670"/>
      <c r="I456" s="1670"/>
    </row>
    <row r="457" spans="1:9" ht="15.75">
      <c r="A457" s="1622"/>
      <c r="B457" s="1691">
        <f t="shared" si="37"/>
        <v>453</v>
      </c>
      <c r="C457" s="1731">
        <f t="shared" si="35"/>
        <v>1217.2900000000138</v>
      </c>
      <c r="D457" s="1672">
        <f t="shared" si="39"/>
        <v>1704.21</v>
      </c>
      <c r="E457" s="1670"/>
      <c r="F457" s="1732">
        <f t="shared" si="36"/>
        <v>765.04000000000792</v>
      </c>
      <c r="G457" s="1672">
        <f t="shared" si="38"/>
        <v>1071.06</v>
      </c>
      <c r="H457" s="1670"/>
      <c r="I457" s="1670"/>
    </row>
    <row r="458" spans="1:9" ht="15.75">
      <c r="A458" s="1622"/>
      <c r="B458" s="1691">
        <f t="shared" si="37"/>
        <v>454</v>
      </c>
      <c r="C458" s="1731">
        <f t="shared" si="35"/>
        <v>1219.9800000000139</v>
      </c>
      <c r="D458" s="1672">
        <f t="shared" si="39"/>
        <v>1707.97</v>
      </c>
      <c r="E458" s="1670"/>
      <c r="F458" s="1732">
        <f t="shared" si="36"/>
        <v>766.73000000000798</v>
      </c>
      <c r="G458" s="1672">
        <f t="shared" si="38"/>
        <v>1073.42</v>
      </c>
      <c r="H458" s="1670"/>
      <c r="I458" s="1670"/>
    </row>
    <row r="459" spans="1:9" ht="15.75">
      <c r="A459" s="1622"/>
      <c r="B459" s="1691">
        <f t="shared" si="37"/>
        <v>455</v>
      </c>
      <c r="C459" s="1731">
        <f t="shared" si="35"/>
        <v>1222.6700000000139</v>
      </c>
      <c r="D459" s="1672">
        <f t="shared" si="39"/>
        <v>1711.74</v>
      </c>
      <c r="E459" s="1670"/>
      <c r="F459" s="1732">
        <f t="shared" si="36"/>
        <v>768.42000000000803</v>
      </c>
      <c r="G459" s="1672">
        <f t="shared" si="38"/>
        <v>1075.79</v>
      </c>
      <c r="H459" s="1670"/>
      <c r="I459" s="1670"/>
    </row>
    <row r="460" spans="1:9" ht="15.75">
      <c r="A460" s="1622"/>
      <c r="B460" s="1691">
        <f t="shared" si="37"/>
        <v>456</v>
      </c>
      <c r="C460" s="1731">
        <f t="shared" si="35"/>
        <v>1225.360000000014</v>
      </c>
      <c r="D460" s="1672">
        <f t="shared" si="39"/>
        <v>1715.5</v>
      </c>
      <c r="E460" s="1670"/>
      <c r="F460" s="1732">
        <f t="shared" si="36"/>
        <v>770.11000000000809</v>
      </c>
      <c r="G460" s="1672">
        <f t="shared" si="38"/>
        <v>1078.1500000000001</v>
      </c>
      <c r="H460" s="1670"/>
      <c r="I460" s="1670"/>
    </row>
    <row r="461" spans="1:9" ht="15.75">
      <c r="A461" s="1622"/>
      <c r="B461" s="1691">
        <f t="shared" si="37"/>
        <v>457</v>
      </c>
      <c r="C461" s="1731">
        <f t="shared" ref="C461:C524" si="40">C460+$C$1006</f>
        <v>1228.0500000000141</v>
      </c>
      <c r="D461" s="1672">
        <f t="shared" si="39"/>
        <v>1719.27</v>
      </c>
      <c r="E461" s="1670"/>
      <c r="F461" s="1732">
        <f t="shared" ref="F461:F524" si="41">F460+$F$1006</f>
        <v>771.80000000000814</v>
      </c>
      <c r="G461" s="1672">
        <f t="shared" si="38"/>
        <v>1080.52</v>
      </c>
      <c r="H461" s="1670"/>
      <c r="I461" s="1670"/>
    </row>
    <row r="462" spans="1:9" ht="15.75">
      <c r="A462" s="1622"/>
      <c r="B462" s="1691">
        <f t="shared" ref="B462:B525" si="42">B461+1</f>
        <v>458</v>
      </c>
      <c r="C462" s="1731">
        <f t="shared" si="40"/>
        <v>1230.7400000000141</v>
      </c>
      <c r="D462" s="1672">
        <f t="shared" si="39"/>
        <v>1723.04</v>
      </c>
      <c r="E462" s="1670"/>
      <c r="F462" s="1732">
        <f t="shared" si="41"/>
        <v>773.49000000000819</v>
      </c>
      <c r="G462" s="1672">
        <f t="shared" si="38"/>
        <v>1082.8900000000001</v>
      </c>
      <c r="H462" s="1670"/>
      <c r="I462" s="1670"/>
    </row>
    <row r="463" spans="1:9" ht="15.75">
      <c r="A463" s="1622"/>
      <c r="B463" s="1691">
        <f t="shared" si="42"/>
        <v>459</v>
      </c>
      <c r="C463" s="1731">
        <f t="shared" si="40"/>
        <v>1233.4300000000142</v>
      </c>
      <c r="D463" s="1672">
        <f t="shared" si="39"/>
        <v>1726.8</v>
      </c>
      <c r="E463" s="1670"/>
      <c r="F463" s="1732">
        <f t="shared" si="41"/>
        <v>775.18000000000825</v>
      </c>
      <c r="G463" s="1672">
        <f t="shared" si="38"/>
        <v>1085.25</v>
      </c>
      <c r="H463" s="1670"/>
      <c r="I463" s="1670"/>
    </row>
    <row r="464" spans="1:9" ht="15.75">
      <c r="A464" s="1622"/>
      <c r="B464" s="1691">
        <f t="shared" si="42"/>
        <v>460</v>
      </c>
      <c r="C464" s="1731">
        <f t="shared" si="40"/>
        <v>1236.1200000000142</v>
      </c>
      <c r="D464" s="1672">
        <f t="shared" si="39"/>
        <v>1730.57</v>
      </c>
      <c r="E464" s="1670"/>
      <c r="F464" s="1732">
        <f t="shared" si="41"/>
        <v>776.8700000000083</v>
      </c>
      <c r="G464" s="1672">
        <f t="shared" si="38"/>
        <v>1087.6199999999999</v>
      </c>
      <c r="H464" s="1670"/>
      <c r="I464" s="1670"/>
    </row>
    <row r="465" spans="1:9" ht="15.75">
      <c r="A465" s="1622"/>
      <c r="B465" s="1691">
        <f t="shared" si="42"/>
        <v>461</v>
      </c>
      <c r="C465" s="1731">
        <f t="shared" si="40"/>
        <v>1238.8100000000143</v>
      </c>
      <c r="D465" s="1672">
        <f t="shared" si="39"/>
        <v>1734.33</v>
      </c>
      <c r="E465" s="1670"/>
      <c r="F465" s="1732">
        <f t="shared" si="41"/>
        <v>778.56000000000836</v>
      </c>
      <c r="G465" s="1672">
        <f t="shared" si="38"/>
        <v>1089.98</v>
      </c>
      <c r="H465" s="1670"/>
      <c r="I465" s="1670"/>
    </row>
    <row r="466" spans="1:9" ht="15.75">
      <c r="A466" s="1622"/>
      <c r="B466" s="1691">
        <f t="shared" si="42"/>
        <v>462</v>
      </c>
      <c r="C466" s="1731">
        <f t="shared" si="40"/>
        <v>1241.5000000000143</v>
      </c>
      <c r="D466" s="1672">
        <f t="shared" si="39"/>
        <v>1738.1</v>
      </c>
      <c r="E466" s="1670"/>
      <c r="F466" s="1732">
        <f t="shared" si="41"/>
        <v>780.25000000000841</v>
      </c>
      <c r="G466" s="1672">
        <f t="shared" si="38"/>
        <v>1092.3499999999999</v>
      </c>
      <c r="H466" s="1670"/>
      <c r="I466" s="1670"/>
    </row>
    <row r="467" spans="1:9" ht="15.75">
      <c r="A467" s="1622"/>
      <c r="B467" s="1691">
        <f t="shared" si="42"/>
        <v>463</v>
      </c>
      <c r="C467" s="1731">
        <f t="shared" si="40"/>
        <v>1244.1900000000144</v>
      </c>
      <c r="D467" s="1672">
        <f t="shared" si="39"/>
        <v>1741.87</v>
      </c>
      <c r="E467" s="1670"/>
      <c r="F467" s="1732">
        <f t="shared" si="41"/>
        <v>781.94000000000847</v>
      </c>
      <c r="G467" s="1672">
        <f t="shared" si="38"/>
        <v>1094.72</v>
      </c>
      <c r="H467" s="1670"/>
      <c r="I467" s="1670"/>
    </row>
    <row r="468" spans="1:9" ht="15.75">
      <c r="A468" s="1622"/>
      <c r="B468" s="1691">
        <f t="shared" si="42"/>
        <v>464</v>
      </c>
      <c r="C468" s="1731">
        <f t="shared" si="40"/>
        <v>1246.8800000000144</v>
      </c>
      <c r="D468" s="1672">
        <f t="shared" si="39"/>
        <v>1745.63</v>
      </c>
      <c r="E468" s="1670"/>
      <c r="F468" s="1732">
        <f t="shared" si="41"/>
        <v>783.63000000000852</v>
      </c>
      <c r="G468" s="1672">
        <f t="shared" si="38"/>
        <v>1097.08</v>
      </c>
      <c r="H468" s="1670"/>
      <c r="I468" s="1670"/>
    </row>
    <row r="469" spans="1:9" ht="15.75">
      <c r="A469" s="1622"/>
      <c r="B469" s="1691">
        <f t="shared" si="42"/>
        <v>465</v>
      </c>
      <c r="C469" s="1731">
        <f t="shared" si="40"/>
        <v>1249.5700000000145</v>
      </c>
      <c r="D469" s="1672">
        <f t="shared" si="39"/>
        <v>1749.4</v>
      </c>
      <c r="E469" s="1670"/>
      <c r="F469" s="1732">
        <f t="shared" si="41"/>
        <v>785.32000000000858</v>
      </c>
      <c r="G469" s="1672">
        <f t="shared" si="38"/>
        <v>1099.45</v>
      </c>
      <c r="H469" s="1670"/>
      <c r="I469" s="1670"/>
    </row>
    <row r="470" spans="1:9" ht="15.75">
      <c r="A470" s="1622"/>
      <c r="B470" s="1691">
        <f t="shared" si="42"/>
        <v>466</v>
      </c>
      <c r="C470" s="1731">
        <f t="shared" si="40"/>
        <v>1252.2600000000145</v>
      </c>
      <c r="D470" s="1672">
        <f t="shared" si="39"/>
        <v>1753.16</v>
      </c>
      <c r="E470" s="1670"/>
      <c r="F470" s="1732">
        <f t="shared" si="41"/>
        <v>787.01000000000863</v>
      </c>
      <c r="G470" s="1672">
        <f t="shared" si="38"/>
        <v>1101.81</v>
      </c>
      <c r="H470" s="1670"/>
      <c r="I470" s="1670"/>
    </row>
    <row r="471" spans="1:9" ht="15.75">
      <c r="A471" s="1622"/>
      <c r="B471" s="1691">
        <f t="shared" si="42"/>
        <v>467</v>
      </c>
      <c r="C471" s="1731">
        <f t="shared" si="40"/>
        <v>1254.9500000000146</v>
      </c>
      <c r="D471" s="1672">
        <f t="shared" si="39"/>
        <v>1756.93</v>
      </c>
      <c r="E471" s="1670"/>
      <c r="F471" s="1732">
        <f t="shared" si="41"/>
        <v>788.70000000000869</v>
      </c>
      <c r="G471" s="1672">
        <f t="shared" si="38"/>
        <v>1104.18</v>
      </c>
      <c r="H471" s="1670"/>
      <c r="I471" s="1670"/>
    </row>
    <row r="472" spans="1:9" ht="15.75">
      <c r="A472" s="1622"/>
      <c r="B472" s="1691">
        <f t="shared" si="42"/>
        <v>468</v>
      </c>
      <c r="C472" s="1731">
        <f t="shared" si="40"/>
        <v>1257.6400000000147</v>
      </c>
      <c r="D472" s="1672">
        <f t="shared" si="39"/>
        <v>1760.7</v>
      </c>
      <c r="E472" s="1670"/>
      <c r="F472" s="1732">
        <f t="shared" si="41"/>
        <v>790.39000000000874</v>
      </c>
      <c r="G472" s="1672">
        <f t="shared" si="38"/>
        <v>1106.55</v>
      </c>
      <c r="H472" s="1670"/>
      <c r="I472" s="1670"/>
    </row>
    <row r="473" spans="1:9" ht="15.75">
      <c r="A473" s="1622"/>
      <c r="B473" s="1691">
        <f t="shared" si="42"/>
        <v>469</v>
      </c>
      <c r="C473" s="1731">
        <f t="shared" si="40"/>
        <v>1260.3300000000147</v>
      </c>
      <c r="D473" s="1672">
        <f t="shared" si="39"/>
        <v>1764.46</v>
      </c>
      <c r="E473" s="1670"/>
      <c r="F473" s="1732">
        <f t="shared" si="41"/>
        <v>792.08000000000879</v>
      </c>
      <c r="G473" s="1672">
        <f t="shared" si="38"/>
        <v>1108.9100000000001</v>
      </c>
      <c r="H473" s="1670"/>
      <c r="I473" s="1670"/>
    </row>
    <row r="474" spans="1:9" ht="15.75">
      <c r="A474" s="1622"/>
      <c r="B474" s="1691">
        <f t="shared" si="42"/>
        <v>470</v>
      </c>
      <c r="C474" s="1731">
        <f t="shared" si="40"/>
        <v>1263.0200000000148</v>
      </c>
      <c r="D474" s="1672">
        <f t="shared" si="39"/>
        <v>1768.23</v>
      </c>
      <c r="E474" s="1670"/>
      <c r="F474" s="1732">
        <f t="shared" si="41"/>
        <v>793.77000000000885</v>
      </c>
      <c r="G474" s="1672">
        <f t="shared" si="38"/>
        <v>1111.28</v>
      </c>
      <c r="H474" s="1670"/>
      <c r="I474" s="1670"/>
    </row>
    <row r="475" spans="1:9" ht="15.75">
      <c r="A475" s="1622"/>
      <c r="B475" s="1691">
        <f t="shared" si="42"/>
        <v>471</v>
      </c>
      <c r="C475" s="1731">
        <f t="shared" si="40"/>
        <v>1265.7100000000148</v>
      </c>
      <c r="D475" s="1672">
        <f t="shared" si="39"/>
        <v>1771.99</v>
      </c>
      <c r="E475" s="1670"/>
      <c r="F475" s="1732">
        <f t="shared" si="41"/>
        <v>795.4600000000089</v>
      </c>
      <c r="G475" s="1672">
        <f t="shared" si="38"/>
        <v>1113.6400000000001</v>
      </c>
      <c r="H475" s="1670"/>
      <c r="I475" s="1670"/>
    </row>
    <row r="476" spans="1:9" ht="15.75">
      <c r="A476" s="1622"/>
      <c r="B476" s="1691">
        <f t="shared" si="42"/>
        <v>472</v>
      </c>
      <c r="C476" s="1731">
        <f t="shared" si="40"/>
        <v>1268.4000000000149</v>
      </c>
      <c r="D476" s="1672">
        <f t="shared" si="39"/>
        <v>1775.76</v>
      </c>
      <c r="E476" s="1670"/>
      <c r="F476" s="1732">
        <f t="shared" si="41"/>
        <v>797.15000000000896</v>
      </c>
      <c r="G476" s="1672">
        <f t="shared" si="38"/>
        <v>1116.01</v>
      </c>
      <c r="H476" s="1670"/>
      <c r="I476" s="1670"/>
    </row>
    <row r="477" spans="1:9" ht="15.75">
      <c r="A477" s="1622"/>
      <c r="B477" s="1691">
        <f t="shared" si="42"/>
        <v>473</v>
      </c>
      <c r="C477" s="1731">
        <f t="shared" si="40"/>
        <v>1271.0900000000149</v>
      </c>
      <c r="D477" s="1672">
        <f t="shared" si="39"/>
        <v>1779.53</v>
      </c>
      <c r="E477" s="1670"/>
      <c r="F477" s="1732">
        <f t="shared" si="41"/>
        <v>798.84000000000901</v>
      </c>
      <c r="G477" s="1672">
        <f t="shared" si="38"/>
        <v>1118.3800000000001</v>
      </c>
      <c r="H477" s="1670"/>
      <c r="I477" s="1670"/>
    </row>
    <row r="478" spans="1:9" ht="15.75">
      <c r="A478" s="1622"/>
      <c r="B478" s="1691">
        <f t="shared" si="42"/>
        <v>474</v>
      </c>
      <c r="C478" s="1731">
        <f t="shared" si="40"/>
        <v>1273.780000000015</v>
      </c>
      <c r="D478" s="1672">
        <f t="shared" si="39"/>
        <v>1783.29</v>
      </c>
      <c r="E478" s="1670"/>
      <c r="F478" s="1732">
        <f t="shared" si="41"/>
        <v>800.53000000000907</v>
      </c>
      <c r="G478" s="1672">
        <f t="shared" si="38"/>
        <v>1120.74</v>
      </c>
      <c r="H478" s="1670"/>
      <c r="I478" s="1670"/>
    </row>
    <row r="479" spans="1:9" ht="15.75">
      <c r="A479" s="1622"/>
      <c r="B479" s="1691">
        <f t="shared" si="42"/>
        <v>475</v>
      </c>
      <c r="C479" s="1731">
        <f t="shared" si="40"/>
        <v>1276.470000000015</v>
      </c>
      <c r="D479" s="1672">
        <f t="shared" si="39"/>
        <v>1787.06</v>
      </c>
      <c r="E479" s="1670"/>
      <c r="F479" s="1732">
        <f t="shared" si="41"/>
        <v>802.22000000000912</v>
      </c>
      <c r="G479" s="1672">
        <f t="shared" si="38"/>
        <v>1123.1099999999999</v>
      </c>
      <c r="H479" s="1670"/>
      <c r="I479" s="1670"/>
    </row>
    <row r="480" spans="1:9" ht="15.75">
      <c r="A480" s="1622"/>
      <c r="B480" s="1691">
        <f t="shared" si="42"/>
        <v>476</v>
      </c>
      <c r="C480" s="1731">
        <f t="shared" si="40"/>
        <v>1279.1600000000151</v>
      </c>
      <c r="D480" s="1672">
        <f t="shared" si="39"/>
        <v>1790.82</v>
      </c>
      <c r="E480" s="1670"/>
      <c r="F480" s="1732">
        <f t="shared" si="41"/>
        <v>803.91000000000918</v>
      </c>
      <c r="G480" s="1672">
        <f t="shared" si="38"/>
        <v>1125.47</v>
      </c>
      <c r="H480" s="1670"/>
      <c r="I480" s="1670"/>
    </row>
    <row r="481" spans="1:9" ht="15.75">
      <c r="A481" s="1622"/>
      <c r="B481" s="1691">
        <f t="shared" si="42"/>
        <v>477</v>
      </c>
      <c r="C481" s="1731">
        <f t="shared" si="40"/>
        <v>1281.8500000000151</v>
      </c>
      <c r="D481" s="1672">
        <f t="shared" si="39"/>
        <v>1794.59</v>
      </c>
      <c r="E481" s="1670"/>
      <c r="F481" s="1732">
        <f t="shared" si="41"/>
        <v>805.60000000000923</v>
      </c>
      <c r="G481" s="1672">
        <f t="shared" si="38"/>
        <v>1127.8399999999999</v>
      </c>
      <c r="H481" s="1670"/>
      <c r="I481" s="1670"/>
    </row>
    <row r="482" spans="1:9" ht="15.75">
      <c r="A482" s="1622"/>
      <c r="B482" s="1691">
        <f t="shared" si="42"/>
        <v>478</v>
      </c>
      <c r="C482" s="1731">
        <f t="shared" si="40"/>
        <v>1284.5400000000152</v>
      </c>
      <c r="D482" s="1672">
        <f t="shared" si="39"/>
        <v>1798.36</v>
      </c>
      <c r="E482" s="1670"/>
      <c r="F482" s="1732">
        <f t="shared" si="41"/>
        <v>807.29000000000929</v>
      </c>
      <c r="G482" s="1672">
        <f t="shared" si="38"/>
        <v>1130.21</v>
      </c>
      <c r="H482" s="1670"/>
      <c r="I482" s="1670"/>
    </row>
    <row r="483" spans="1:9" ht="15.75">
      <c r="A483" s="1622"/>
      <c r="B483" s="1691">
        <f t="shared" si="42"/>
        <v>479</v>
      </c>
      <c r="C483" s="1731">
        <f t="shared" si="40"/>
        <v>1287.2300000000153</v>
      </c>
      <c r="D483" s="1672">
        <f t="shared" si="39"/>
        <v>1802.12</v>
      </c>
      <c r="E483" s="1670"/>
      <c r="F483" s="1732">
        <f t="shared" si="41"/>
        <v>808.98000000000934</v>
      </c>
      <c r="G483" s="1672">
        <f t="shared" si="38"/>
        <v>1132.57</v>
      </c>
      <c r="H483" s="1670"/>
      <c r="I483" s="1670"/>
    </row>
    <row r="484" spans="1:9" ht="15.75">
      <c r="A484" s="1622"/>
      <c r="B484" s="1691">
        <f t="shared" si="42"/>
        <v>480</v>
      </c>
      <c r="C484" s="1731">
        <f t="shared" si="40"/>
        <v>1289.9200000000153</v>
      </c>
      <c r="D484" s="1672">
        <f t="shared" si="39"/>
        <v>1805.89</v>
      </c>
      <c r="E484" s="1670"/>
      <c r="F484" s="1732">
        <f t="shared" si="41"/>
        <v>810.6700000000094</v>
      </c>
      <c r="G484" s="1672">
        <f t="shared" si="38"/>
        <v>1134.94</v>
      </c>
      <c r="H484" s="1670"/>
      <c r="I484" s="1670"/>
    </row>
    <row r="485" spans="1:9" ht="15.75">
      <c r="A485" s="1622"/>
      <c r="B485" s="1691">
        <f t="shared" si="42"/>
        <v>481</v>
      </c>
      <c r="C485" s="1731">
        <f t="shared" si="40"/>
        <v>1292.6100000000154</v>
      </c>
      <c r="D485" s="1672">
        <f t="shared" si="39"/>
        <v>1809.65</v>
      </c>
      <c r="E485" s="1670"/>
      <c r="F485" s="1732">
        <f t="shared" si="41"/>
        <v>812.36000000000945</v>
      </c>
      <c r="G485" s="1672">
        <f t="shared" si="38"/>
        <v>1137.3</v>
      </c>
      <c r="H485" s="1670"/>
      <c r="I485" s="1670"/>
    </row>
    <row r="486" spans="1:9" ht="15.75">
      <c r="A486" s="1622"/>
      <c r="B486" s="1691">
        <f t="shared" si="42"/>
        <v>482</v>
      </c>
      <c r="C486" s="1731">
        <f t="shared" si="40"/>
        <v>1295.3000000000154</v>
      </c>
      <c r="D486" s="1672">
        <f t="shared" si="39"/>
        <v>1813.42</v>
      </c>
      <c r="E486" s="1670"/>
      <c r="F486" s="1732">
        <f t="shared" si="41"/>
        <v>814.0500000000095</v>
      </c>
      <c r="G486" s="1672">
        <f t="shared" si="38"/>
        <v>1139.67</v>
      </c>
      <c r="H486" s="1670"/>
      <c r="I486" s="1670"/>
    </row>
    <row r="487" spans="1:9" ht="15.75">
      <c r="A487" s="1622"/>
      <c r="B487" s="1691">
        <f t="shared" si="42"/>
        <v>483</v>
      </c>
      <c r="C487" s="1731">
        <f t="shared" si="40"/>
        <v>1297.9900000000155</v>
      </c>
      <c r="D487" s="1672">
        <f t="shared" si="39"/>
        <v>1817.19</v>
      </c>
      <c r="E487" s="1670"/>
      <c r="F487" s="1732">
        <f t="shared" si="41"/>
        <v>815.74000000000956</v>
      </c>
      <c r="G487" s="1672">
        <f t="shared" si="38"/>
        <v>1142.04</v>
      </c>
      <c r="H487" s="1670"/>
      <c r="I487" s="1670"/>
    </row>
    <row r="488" spans="1:9" ht="15.75">
      <c r="A488" s="1622"/>
      <c r="B488" s="1691">
        <f t="shared" si="42"/>
        <v>484</v>
      </c>
      <c r="C488" s="1731">
        <f t="shared" si="40"/>
        <v>1300.6800000000155</v>
      </c>
      <c r="D488" s="1672">
        <f t="shared" si="39"/>
        <v>1820.95</v>
      </c>
      <c r="E488" s="1670"/>
      <c r="F488" s="1732">
        <f t="shared" si="41"/>
        <v>817.43000000000961</v>
      </c>
      <c r="G488" s="1672">
        <f t="shared" si="38"/>
        <v>1144.4000000000001</v>
      </c>
      <c r="H488" s="1670"/>
      <c r="I488" s="1670"/>
    </row>
    <row r="489" spans="1:9" ht="15.75">
      <c r="A489" s="1622"/>
      <c r="B489" s="1691">
        <f t="shared" si="42"/>
        <v>485</v>
      </c>
      <c r="C489" s="1731">
        <f t="shared" si="40"/>
        <v>1303.3700000000156</v>
      </c>
      <c r="D489" s="1672">
        <f t="shared" si="39"/>
        <v>1824.72</v>
      </c>
      <c r="E489" s="1670"/>
      <c r="F489" s="1732">
        <f t="shared" si="41"/>
        <v>819.12000000000967</v>
      </c>
      <c r="G489" s="1672">
        <f t="shared" si="38"/>
        <v>1146.77</v>
      </c>
      <c r="H489" s="1670"/>
      <c r="I489" s="1670"/>
    </row>
    <row r="490" spans="1:9" ht="15.75">
      <c r="A490" s="1622"/>
      <c r="B490" s="1691">
        <f t="shared" si="42"/>
        <v>486</v>
      </c>
      <c r="C490" s="1731">
        <f t="shared" si="40"/>
        <v>1306.0600000000156</v>
      </c>
      <c r="D490" s="1672">
        <f t="shared" si="39"/>
        <v>1828.48</v>
      </c>
      <c r="E490" s="1670"/>
      <c r="F490" s="1732">
        <f t="shared" si="41"/>
        <v>820.81000000000972</v>
      </c>
      <c r="G490" s="1672">
        <f t="shared" si="38"/>
        <v>1149.1300000000001</v>
      </c>
      <c r="H490" s="1670"/>
      <c r="I490" s="1670"/>
    </row>
    <row r="491" spans="1:9" ht="15.75">
      <c r="A491" s="1622"/>
      <c r="B491" s="1691">
        <f t="shared" si="42"/>
        <v>487</v>
      </c>
      <c r="C491" s="1731">
        <f t="shared" si="40"/>
        <v>1308.7500000000157</v>
      </c>
      <c r="D491" s="1672">
        <f t="shared" si="39"/>
        <v>1832.25</v>
      </c>
      <c r="E491" s="1670"/>
      <c r="F491" s="1732">
        <f t="shared" si="41"/>
        <v>822.50000000000978</v>
      </c>
      <c r="G491" s="1672">
        <f t="shared" si="38"/>
        <v>1151.5</v>
      </c>
      <c r="H491" s="1670"/>
      <c r="I491" s="1670"/>
    </row>
    <row r="492" spans="1:9" ht="15.75">
      <c r="A492" s="1622"/>
      <c r="B492" s="1691">
        <f t="shared" si="42"/>
        <v>488</v>
      </c>
      <c r="C492" s="1731">
        <f t="shared" si="40"/>
        <v>1311.4400000000157</v>
      </c>
      <c r="D492" s="1672">
        <f t="shared" si="39"/>
        <v>1836.02</v>
      </c>
      <c r="E492" s="1670"/>
      <c r="F492" s="1732">
        <f t="shared" si="41"/>
        <v>824.19000000000983</v>
      </c>
      <c r="G492" s="1672">
        <f t="shared" si="38"/>
        <v>1153.8699999999999</v>
      </c>
      <c r="H492" s="1670"/>
      <c r="I492" s="1670"/>
    </row>
    <row r="493" spans="1:9" ht="15.75">
      <c r="A493" s="1622"/>
      <c r="B493" s="1691">
        <f t="shared" si="42"/>
        <v>489</v>
      </c>
      <c r="C493" s="1731">
        <f t="shared" si="40"/>
        <v>1314.1300000000158</v>
      </c>
      <c r="D493" s="1672">
        <f t="shared" si="39"/>
        <v>1839.78</v>
      </c>
      <c r="E493" s="1670"/>
      <c r="F493" s="1732">
        <f t="shared" si="41"/>
        <v>825.88000000000989</v>
      </c>
      <c r="G493" s="1672">
        <f t="shared" si="38"/>
        <v>1156.23</v>
      </c>
      <c r="H493" s="1670"/>
      <c r="I493" s="1670"/>
    </row>
    <row r="494" spans="1:9" ht="15.75">
      <c r="A494" s="1622"/>
      <c r="B494" s="1691">
        <f t="shared" si="42"/>
        <v>490</v>
      </c>
      <c r="C494" s="1731">
        <f t="shared" si="40"/>
        <v>1316.8200000000159</v>
      </c>
      <c r="D494" s="1672">
        <f t="shared" si="39"/>
        <v>1843.55</v>
      </c>
      <c r="E494" s="1670"/>
      <c r="F494" s="1732">
        <f t="shared" si="41"/>
        <v>827.57000000000994</v>
      </c>
      <c r="G494" s="1672">
        <f t="shared" si="38"/>
        <v>1158.5999999999999</v>
      </c>
      <c r="H494" s="1670"/>
      <c r="I494" s="1670"/>
    </row>
    <row r="495" spans="1:9" ht="15.75">
      <c r="A495" s="1622"/>
      <c r="B495" s="1691">
        <f t="shared" si="42"/>
        <v>491</v>
      </c>
      <c r="C495" s="1731">
        <f t="shared" si="40"/>
        <v>1319.5100000000159</v>
      </c>
      <c r="D495" s="1672">
        <f t="shared" si="39"/>
        <v>1847.31</v>
      </c>
      <c r="E495" s="1670"/>
      <c r="F495" s="1732">
        <f t="shared" si="41"/>
        <v>829.26000000001</v>
      </c>
      <c r="G495" s="1672">
        <f t="shared" si="38"/>
        <v>1160.96</v>
      </c>
      <c r="H495" s="1670"/>
      <c r="I495" s="1670"/>
    </row>
    <row r="496" spans="1:9" ht="15.75">
      <c r="A496" s="1622"/>
      <c r="B496" s="1691">
        <f t="shared" si="42"/>
        <v>492</v>
      </c>
      <c r="C496" s="1731">
        <f t="shared" si="40"/>
        <v>1322.200000000016</v>
      </c>
      <c r="D496" s="1672">
        <f t="shared" si="39"/>
        <v>1851.08</v>
      </c>
      <c r="E496" s="1670"/>
      <c r="F496" s="1732">
        <f t="shared" si="41"/>
        <v>830.95000000001005</v>
      </c>
      <c r="G496" s="1672">
        <f t="shared" si="38"/>
        <v>1163.33</v>
      </c>
      <c r="H496" s="1670"/>
      <c r="I496" s="1670"/>
    </row>
    <row r="497" spans="1:9" ht="15.75">
      <c r="A497" s="1622"/>
      <c r="B497" s="1691">
        <f t="shared" si="42"/>
        <v>493</v>
      </c>
      <c r="C497" s="1731">
        <f t="shared" si="40"/>
        <v>1324.890000000016</v>
      </c>
      <c r="D497" s="1672">
        <f t="shared" si="39"/>
        <v>1854.85</v>
      </c>
      <c r="E497" s="1670"/>
      <c r="F497" s="1732">
        <f t="shared" si="41"/>
        <v>832.6400000000101</v>
      </c>
      <c r="G497" s="1672">
        <f t="shared" si="38"/>
        <v>1165.7</v>
      </c>
      <c r="H497" s="1670"/>
      <c r="I497" s="1670"/>
    </row>
    <row r="498" spans="1:9" ht="15.75">
      <c r="A498" s="1622"/>
      <c r="B498" s="1691">
        <f t="shared" si="42"/>
        <v>494</v>
      </c>
      <c r="C498" s="1731">
        <f t="shared" si="40"/>
        <v>1327.5800000000161</v>
      </c>
      <c r="D498" s="1672">
        <f t="shared" si="39"/>
        <v>1858.61</v>
      </c>
      <c r="E498" s="1670"/>
      <c r="F498" s="1732">
        <f t="shared" si="41"/>
        <v>834.33000000001016</v>
      </c>
      <c r="G498" s="1672">
        <f t="shared" si="38"/>
        <v>1168.06</v>
      </c>
      <c r="H498" s="1670"/>
      <c r="I498" s="1670"/>
    </row>
    <row r="499" spans="1:9" ht="15.75">
      <c r="A499" s="1622"/>
      <c r="B499" s="1691">
        <f t="shared" si="42"/>
        <v>495</v>
      </c>
      <c r="C499" s="1731">
        <f t="shared" si="40"/>
        <v>1330.2700000000161</v>
      </c>
      <c r="D499" s="1672">
        <f t="shared" si="39"/>
        <v>1862.38</v>
      </c>
      <c r="E499" s="1670"/>
      <c r="F499" s="1732">
        <f t="shared" si="41"/>
        <v>836.02000000001021</v>
      </c>
      <c r="G499" s="1672">
        <f t="shared" si="38"/>
        <v>1170.43</v>
      </c>
      <c r="H499" s="1670"/>
      <c r="I499" s="1670"/>
    </row>
    <row r="500" spans="1:9" ht="15.75">
      <c r="A500" s="1622"/>
      <c r="B500" s="1691">
        <f t="shared" si="42"/>
        <v>496</v>
      </c>
      <c r="C500" s="1731">
        <f t="shared" si="40"/>
        <v>1332.9600000000162</v>
      </c>
      <c r="D500" s="1672">
        <f t="shared" si="39"/>
        <v>1866.14</v>
      </c>
      <c r="E500" s="1670"/>
      <c r="F500" s="1732">
        <f t="shared" si="41"/>
        <v>837.71000000001027</v>
      </c>
      <c r="G500" s="1672">
        <f t="shared" si="38"/>
        <v>1172.79</v>
      </c>
      <c r="H500" s="1670"/>
      <c r="I500" s="1670"/>
    </row>
    <row r="501" spans="1:9" ht="15.75">
      <c r="A501" s="1622"/>
      <c r="B501" s="1691">
        <f t="shared" si="42"/>
        <v>497</v>
      </c>
      <c r="C501" s="1731">
        <f t="shared" si="40"/>
        <v>1335.6500000000162</v>
      </c>
      <c r="D501" s="1672">
        <f t="shared" si="39"/>
        <v>1869.91</v>
      </c>
      <c r="E501" s="1670"/>
      <c r="F501" s="1732">
        <f t="shared" si="41"/>
        <v>839.40000000001032</v>
      </c>
      <c r="G501" s="1672">
        <f t="shared" si="38"/>
        <v>1175.1600000000001</v>
      </c>
      <c r="H501" s="1670"/>
      <c r="I501" s="1670"/>
    </row>
    <row r="502" spans="1:9" ht="15.75">
      <c r="A502" s="1622"/>
      <c r="B502" s="1691">
        <f t="shared" si="42"/>
        <v>498</v>
      </c>
      <c r="C502" s="1731">
        <f t="shared" si="40"/>
        <v>1338.3400000000163</v>
      </c>
      <c r="D502" s="1672">
        <f t="shared" si="39"/>
        <v>1873.68</v>
      </c>
      <c r="E502" s="1670"/>
      <c r="F502" s="1732">
        <f t="shared" si="41"/>
        <v>841.09000000001038</v>
      </c>
      <c r="G502" s="1672">
        <f t="shared" si="38"/>
        <v>1177.53</v>
      </c>
      <c r="H502" s="1670"/>
      <c r="I502" s="1670"/>
    </row>
    <row r="503" spans="1:9" ht="15.75">
      <c r="A503" s="1622"/>
      <c r="B503" s="1691">
        <f t="shared" si="42"/>
        <v>499</v>
      </c>
      <c r="C503" s="1731">
        <f t="shared" si="40"/>
        <v>1341.0300000000163</v>
      </c>
      <c r="D503" s="1672">
        <f t="shared" si="39"/>
        <v>1877.44</v>
      </c>
      <c r="E503" s="1670"/>
      <c r="F503" s="1732">
        <f t="shared" si="41"/>
        <v>842.78000000001043</v>
      </c>
      <c r="G503" s="1672">
        <f t="shared" si="38"/>
        <v>1179.8900000000001</v>
      </c>
      <c r="H503" s="1670"/>
      <c r="I503" s="1670"/>
    </row>
    <row r="504" spans="1:9" ht="15.75">
      <c r="A504" s="1622"/>
      <c r="B504" s="1691">
        <f t="shared" si="42"/>
        <v>500</v>
      </c>
      <c r="C504" s="1731">
        <f t="shared" si="40"/>
        <v>1343.7200000000164</v>
      </c>
      <c r="D504" s="1672">
        <f t="shared" si="39"/>
        <v>1881.21</v>
      </c>
      <c r="E504" s="1670"/>
      <c r="F504" s="1732">
        <f t="shared" si="41"/>
        <v>844.47000000001049</v>
      </c>
      <c r="G504" s="1672">
        <f t="shared" si="38"/>
        <v>1182.26</v>
      </c>
      <c r="H504" s="1670"/>
      <c r="I504" s="1670"/>
    </row>
    <row r="505" spans="1:9" ht="15.75">
      <c r="A505" s="1622"/>
      <c r="B505" s="1691">
        <f t="shared" si="42"/>
        <v>501</v>
      </c>
      <c r="C505" s="1731">
        <f t="shared" si="40"/>
        <v>1346.4100000000165</v>
      </c>
      <c r="D505" s="1672">
        <f t="shared" si="39"/>
        <v>1884.97</v>
      </c>
      <c r="E505" s="1670"/>
      <c r="F505" s="1732">
        <f t="shared" si="41"/>
        <v>846.16000000001054</v>
      </c>
      <c r="G505" s="1672">
        <f t="shared" si="38"/>
        <v>1184.6199999999999</v>
      </c>
      <c r="H505" s="1670"/>
      <c r="I505" s="1670"/>
    </row>
    <row r="506" spans="1:9" ht="15.75">
      <c r="A506" s="1622"/>
      <c r="B506" s="1691">
        <f t="shared" si="42"/>
        <v>502</v>
      </c>
      <c r="C506" s="1731">
        <f t="shared" si="40"/>
        <v>1349.1000000000165</v>
      </c>
      <c r="D506" s="1672">
        <f t="shared" si="39"/>
        <v>1888.74</v>
      </c>
      <c r="E506" s="1670"/>
      <c r="F506" s="1732">
        <f t="shared" si="41"/>
        <v>847.8500000000106</v>
      </c>
      <c r="G506" s="1672">
        <f t="shared" si="38"/>
        <v>1186.99</v>
      </c>
      <c r="H506" s="1670"/>
      <c r="I506" s="1670"/>
    </row>
    <row r="507" spans="1:9" ht="15.75">
      <c r="A507" s="1622"/>
      <c r="B507" s="1691">
        <f t="shared" si="42"/>
        <v>503</v>
      </c>
      <c r="C507" s="1731">
        <f t="shared" si="40"/>
        <v>1351.7900000000166</v>
      </c>
      <c r="D507" s="1672">
        <f t="shared" si="39"/>
        <v>1892.51</v>
      </c>
      <c r="E507" s="1670"/>
      <c r="F507" s="1732">
        <f t="shared" si="41"/>
        <v>849.54000000001065</v>
      </c>
      <c r="G507" s="1672">
        <f t="shared" si="38"/>
        <v>1189.3599999999999</v>
      </c>
      <c r="H507" s="1670"/>
      <c r="I507" s="1670"/>
    </row>
    <row r="508" spans="1:9" ht="15.75">
      <c r="A508" s="1622"/>
      <c r="B508" s="1691">
        <f t="shared" si="42"/>
        <v>504</v>
      </c>
      <c r="C508" s="1731">
        <f t="shared" si="40"/>
        <v>1354.4800000000166</v>
      </c>
      <c r="D508" s="1672">
        <f t="shared" si="39"/>
        <v>1896.27</v>
      </c>
      <c r="E508" s="1670"/>
      <c r="F508" s="1732">
        <f t="shared" si="41"/>
        <v>851.2300000000107</v>
      </c>
      <c r="G508" s="1672">
        <f t="shared" si="38"/>
        <v>1191.72</v>
      </c>
      <c r="H508" s="1670"/>
      <c r="I508" s="1670"/>
    </row>
    <row r="509" spans="1:9" ht="15.75">
      <c r="A509" s="1622"/>
      <c r="B509" s="1691">
        <f t="shared" si="42"/>
        <v>505</v>
      </c>
      <c r="C509" s="1731">
        <f t="shared" si="40"/>
        <v>1357.1700000000167</v>
      </c>
      <c r="D509" s="1672">
        <f t="shared" si="39"/>
        <v>1900.04</v>
      </c>
      <c r="E509" s="1670"/>
      <c r="F509" s="1732">
        <f t="shared" si="41"/>
        <v>852.92000000001076</v>
      </c>
      <c r="G509" s="1672">
        <f t="shared" si="38"/>
        <v>1194.0899999999999</v>
      </c>
      <c r="H509" s="1670"/>
      <c r="I509" s="1670"/>
    </row>
    <row r="510" spans="1:9" ht="15.75">
      <c r="A510" s="1622"/>
      <c r="B510" s="1691">
        <f t="shared" si="42"/>
        <v>506</v>
      </c>
      <c r="C510" s="1731">
        <f t="shared" si="40"/>
        <v>1359.8600000000167</v>
      </c>
      <c r="D510" s="1672">
        <f t="shared" si="39"/>
        <v>1903.8</v>
      </c>
      <c r="E510" s="1670"/>
      <c r="F510" s="1732">
        <f t="shared" si="41"/>
        <v>854.61000000001081</v>
      </c>
      <c r="G510" s="1672">
        <f t="shared" si="38"/>
        <v>1196.45</v>
      </c>
      <c r="H510" s="1670"/>
      <c r="I510" s="1670"/>
    </row>
    <row r="511" spans="1:9" ht="15.75">
      <c r="A511" s="1622"/>
      <c r="B511" s="1691">
        <f t="shared" si="42"/>
        <v>507</v>
      </c>
      <c r="C511" s="1731">
        <f t="shared" si="40"/>
        <v>1362.5500000000168</v>
      </c>
      <c r="D511" s="1672">
        <f t="shared" si="39"/>
        <v>1907.57</v>
      </c>
      <c r="E511" s="1670"/>
      <c r="F511" s="1732">
        <f t="shared" si="41"/>
        <v>856.30000000001087</v>
      </c>
      <c r="G511" s="1672">
        <f t="shared" si="38"/>
        <v>1198.82</v>
      </c>
      <c r="H511" s="1670"/>
      <c r="I511" s="1670"/>
    </row>
    <row r="512" spans="1:9" ht="15.75">
      <c r="A512" s="1622"/>
      <c r="B512" s="1691">
        <f t="shared" si="42"/>
        <v>508</v>
      </c>
      <c r="C512" s="1731">
        <f t="shared" si="40"/>
        <v>1365.2400000000168</v>
      </c>
      <c r="D512" s="1672">
        <f t="shared" si="39"/>
        <v>1911.34</v>
      </c>
      <c r="E512" s="1670"/>
      <c r="F512" s="1732">
        <f t="shared" si="41"/>
        <v>857.99000000001092</v>
      </c>
      <c r="G512" s="1672">
        <f t="shared" si="38"/>
        <v>1201.19</v>
      </c>
      <c r="H512" s="1670"/>
      <c r="I512" s="1670"/>
    </row>
    <row r="513" spans="1:9" ht="15.75">
      <c r="A513" s="1622"/>
      <c r="B513" s="1691">
        <f t="shared" si="42"/>
        <v>509</v>
      </c>
      <c r="C513" s="1731">
        <f t="shared" si="40"/>
        <v>1367.9300000000169</v>
      </c>
      <c r="D513" s="1672">
        <f t="shared" si="39"/>
        <v>1915.1</v>
      </c>
      <c r="E513" s="1670"/>
      <c r="F513" s="1732">
        <f t="shared" si="41"/>
        <v>859.68000000001098</v>
      </c>
      <c r="G513" s="1672">
        <f t="shared" si="38"/>
        <v>1203.55</v>
      </c>
      <c r="H513" s="1670"/>
      <c r="I513" s="1670"/>
    </row>
    <row r="514" spans="1:9" ht="15.75">
      <c r="A514" s="1622"/>
      <c r="B514" s="1691">
        <f t="shared" si="42"/>
        <v>510</v>
      </c>
      <c r="C514" s="1731">
        <f t="shared" si="40"/>
        <v>1370.6200000000169</v>
      </c>
      <c r="D514" s="1672">
        <f t="shared" si="39"/>
        <v>1918.87</v>
      </c>
      <c r="E514" s="1670"/>
      <c r="F514" s="1732">
        <f t="shared" si="41"/>
        <v>861.37000000001103</v>
      </c>
      <c r="G514" s="1672">
        <f t="shared" si="38"/>
        <v>1205.92</v>
      </c>
      <c r="H514" s="1670"/>
      <c r="I514" s="1670"/>
    </row>
    <row r="515" spans="1:9" ht="15.75">
      <c r="A515" s="1622"/>
      <c r="B515" s="1691">
        <f t="shared" si="42"/>
        <v>511</v>
      </c>
      <c r="C515" s="1731">
        <f t="shared" si="40"/>
        <v>1373.310000000017</v>
      </c>
      <c r="D515" s="1672">
        <f t="shared" si="39"/>
        <v>1922.63</v>
      </c>
      <c r="E515" s="1670"/>
      <c r="F515" s="1732">
        <f t="shared" si="41"/>
        <v>863.06000000001109</v>
      </c>
      <c r="G515" s="1672">
        <f t="shared" si="38"/>
        <v>1208.28</v>
      </c>
      <c r="H515" s="1670"/>
      <c r="I515" s="1670"/>
    </row>
    <row r="516" spans="1:9" ht="15.75">
      <c r="A516" s="1622"/>
      <c r="B516" s="1691">
        <f t="shared" si="42"/>
        <v>512</v>
      </c>
      <c r="C516" s="1731">
        <f t="shared" si="40"/>
        <v>1376.0000000000171</v>
      </c>
      <c r="D516" s="1672">
        <f t="shared" si="39"/>
        <v>1926.4</v>
      </c>
      <c r="E516" s="1670"/>
      <c r="F516" s="1732">
        <f t="shared" si="41"/>
        <v>864.75000000001114</v>
      </c>
      <c r="G516" s="1672">
        <f t="shared" si="38"/>
        <v>1210.6500000000001</v>
      </c>
      <c r="H516" s="1670"/>
      <c r="I516" s="1670"/>
    </row>
    <row r="517" spans="1:9" ht="15.75">
      <c r="A517" s="1622"/>
      <c r="B517" s="1691">
        <f t="shared" si="42"/>
        <v>513</v>
      </c>
      <c r="C517" s="1731">
        <f t="shared" si="40"/>
        <v>1378.6900000000171</v>
      </c>
      <c r="D517" s="1672">
        <f t="shared" si="39"/>
        <v>1930.17</v>
      </c>
      <c r="E517" s="1670"/>
      <c r="F517" s="1732">
        <f t="shared" si="41"/>
        <v>866.4400000000112</v>
      </c>
      <c r="G517" s="1672">
        <f t="shared" ref="G517:G580" si="43">ROUND(F517*1.4,2)</f>
        <v>1213.02</v>
      </c>
      <c r="H517" s="1670"/>
      <c r="I517" s="1670"/>
    </row>
    <row r="518" spans="1:9" ht="15.75">
      <c r="A518" s="1622"/>
      <c r="B518" s="1691">
        <f t="shared" si="42"/>
        <v>514</v>
      </c>
      <c r="C518" s="1731">
        <f t="shared" si="40"/>
        <v>1381.3800000000172</v>
      </c>
      <c r="D518" s="1672">
        <f t="shared" ref="D518:D581" si="44">ROUND(C518*1.4,2)</f>
        <v>1933.93</v>
      </c>
      <c r="E518" s="1670"/>
      <c r="F518" s="1732">
        <f t="shared" si="41"/>
        <v>868.13000000001125</v>
      </c>
      <c r="G518" s="1672">
        <f t="shared" si="43"/>
        <v>1215.3800000000001</v>
      </c>
      <c r="H518" s="1670"/>
      <c r="I518" s="1670"/>
    </row>
    <row r="519" spans="1:9" ht="15.75">
      <c r="A519" s="1622"/>
      <c r="B519" s="1691">
        <f t="shared" si="42"/>
        <v>515</v>
      </c>
      <c r="C519" s="1731">
        <f t="shared" si="40"/>
        <v>1384.0700000000172</v>
      </c>
      <c r="D519" s="1672">
        <f t="shared" si="44"/>
        <v>1937.7</v>
      </c>
      <c r="E519" s="1670"/>
      <c r="F519" s="1732">
        <f t="shared" si="41"/>
        <v>869.82000000001131</v>
      </c>
      <c r="G519" s="1672">
        <f t="shared" si="43"/>
        <v>1217.75</v>
      </c>
      <c r="H519" s="1670"/>
      <c r="I519" s="1670"/>
    </row>
    <row r="520" spans="1:9" ht="15.75">
      <c r="A520" s="1622"/>
      <c r="B520" s="1691">
        <f t="shared" si="42"/>
        <v>516</v>
      </c>
      <c r="C520" s="1731">
        <f t="shared" si="40"/>
        <v>1386.7600000000173</v>
      </c>
      <c r="D520" s="1672">
        <f t="shared" si="44"/>
        <v>1941.46</v>
      </c>
      <c r="E520" s="1670"/>
      <c r="F520" s="1732">
        <f t="shared" si="41"/>
        <v>871.51000000001136</v>
      </c>
      <c r="G520" s="1672">
        <f t="shared" si="43"/>
        <v>1220.1099999999999</v>
      </c>
      <c r="H520" s="1670"/>
      <c r="I520" s="1670"/>
    </row>
    <row r="521" spans="1:9" ht="15.75">
      <c r="A521" s="1622"/>
      <c r="B521" s="1691">
        <f t="shared" si="42"/>
        <v>517</v>
      </c>
      <c r="C521" s="1731">
        <f t="shared" si="40"/>
        <v>1389.4500000000173</v>
      </c>
      <c r="D521" s="1672">
        <f t="shared" si="44"/>
        <v>1945.23</v>
      </c>
      <c r="E521" s="1670"/>
      <c r="F521" s="1732">
        <f t="shared" si="41"/>
        <v>873.20000000001141</v>
      </c>
      <c r="G521" s="1672">
        <f t="shared" si="43"/>
        <v>1222.48</v>
      </c>
      <c r="H521" s="1670"/>
      <c r="I521" s="1670"/>
    </row>
    <row r="522" spans="1:9" ht="15.75">
      <c r="A522" s="1622"/>
      <c r="B522" s="1691">
        <f t="shared" si="42"/>
        <v>518</v>
      </c>
      <c r="C522" s="1731">
        <f t="shared" si="40"/>
        <v>1392.1400000000174</v>
      </c>
      <c r="D522" s="1672">
        <f t="shared" si="44"/>
        <v>1949</v>
      </c>
      <c r="E522" s="1670"/>
      <c r="F522" s="1732">
        <f t="shared" si="41"/>
        <v>874.89000000001147</v>
      </c>
      <c r="G522" s="1672">
        <f t="shared" si="43"/>
        <v>1224.8499999999999</v>
      </c>
      <c r="H522" s="1670"/>
      <c r="I522" s="1670"/>
    </row>
    <row r="523" spans="1:9" ht="15.75">
      <c r="A523" s="1622"/>
      <c r="B523" s="1691">
        <f t="shared" si="42"/>
        <v>519</v>
      </c>
      <c r="C523" s="1731">
        <f t="shared" si="40"/>
        <v>1394.8300000000174</v>
      </c>
      <c r="D523" s="1672">
        <f t="shared" si="44"/>
        <v>1952.76</v>
      </c>
      <c r="E523" s="1670"/>
      <c r="F523" s="1732">
        <f t="shared" si="41"/>
        <v>876.58000000001152</v>
      </c>
      <c r="G523" s="1672">
        <f t="shared" si="43"/>
        <v>1227.21</v>
      </c>
      <c r="H523" s="1670"/>
      <c r="I523" s="1670"/>
    </row>
    <row r="524" spans="1:9" ht="15.75">
      <c r="A524" s="1622"/>
      <c r="B524" s="1691">
        <f t="shared" si="42"/>
        <v>520</v>
      </c>
      <c r="C524" s="1731">
        <f t="shared" si="40"/>
        <v>1397.5200000000175</v>
      </c>
      <c r="D524" s="1672">
        <f t="shared" si="44"/>
        <v>1956.53</v>
      </c>
      <c r="E524" s="1670"/>
      <c r="F524" s="1732">
        <f t="shared" si="41"/>
        <v>878.27000000001158</v>
      </c>
      <c r="G524" s="1672">
        <f t="shared" si="43"/>
        <v>1229.58</v>
      </c>
      <c r="H524" s="1670"/>
      <c r="I524" s="1670"/>
    </row>
    <row r="525" spans="1:9" ht="15.75">
      <c r="A525" s="1622"/>
      <c r="B525" s="1691">
        <f t="shared" si="42"/>
        <v>521</v>
      </c>
      <c r="C525" s="1731">
        <f t="shared" ref="C525:C588" si="45">C524+$C$1006</f>
        <v>1400.2100000000175</v>
      </c>
      <c r="D525" s="1672">
        <f t="shared" si="44"/>
        <v>1960.29</v>
      </c>
      <c r="E525" s="1670"/>
      <c r="F525" s="1732">
        <f t="shared" ref="F525:F588" si="46">F524+$F$1006</f>
        <v>879.96000000001163</v>
      </c>
      <c r="G525" s="1672">
        <f t="shared" si="43"/>
        <v>1231.94</v>
      </c>
      <c r="H525" s="1670"/>
      <c r="I525" s="1670"/>
    </row>
    <row r="526" spans="1:9" ht="15.75">
      <c r="A526" s="1622"/>
      <c r="B526" s="1691">
        <f t="shared" ref="B526:B589" si="47">B525+1</f>
        <v>522</v>
      </c>
      <c r="C526" s="1731">
        <f t="shared" si="45"/>
        <v>1402.9000000000176</v>
      </c>
      <c r="D526" s="1672">
        <f t="shared" si="44"/>
        <v>1964.06</v>
      </c>
      <c r="E526" s="1670"/>
      <c r="F526" s="1732">
        <f t="shared" si="46"/>
        <v>881.65000000001169</v>
      </c>
      <c r="G526" s="1672">
        <f t="shared" si="43"/>
        <v>1234.31</v>
      </c>
      <c r="H526" s="1670"/>
      <c r="I526" s="1670"/>
    </row>
    <row r="527" spans="1:9" ht="15.75">
      <c r="A527" s="1622"/>
      <c r="B527" s="1691">
        <f t="shared" si="47"/>
        <v>523</v>
      </c>
      <c r="C527" s="1731">
        <f t="shared" si="45"/>
        <v>1405.5900000000177</v>
      </c>
      <c r="D527" s="1672">
        <f t="shared" si="44"/>
        <v>1967.83</v>
      </c>
      <c r="E527" s="1670"/>
      <c r="F527" s="1732">
        <f t="shared" si="46"/>
        <v>883.34000000001174</v>
      </c>
      <c r="G527" s="1672">
        <f t="shared" si="43"/>
        <v>1236.68</v>
      </c>
      <c r="H527" s="1670"/>
      <c r="I527" s="1670"/>
    </row>
    <row r="528" spans="1:9" ht="15.75">
      <c r="A528" s="1622"/>
      <c r="B528" s="1691">
        <f t="shared" si="47"/>
        <v>524</v>
      </c>
      <c r="C528" s="1731">
        <f t="shared" si="45"/>
        <v>1408.2800000000177</v>
      </c>
      <c r="D528" s="1672">
        <f t="shared" si="44"/>
        <v>1971.59</v>
      </c>
      <c r="E528" s="1670"/>
      <c r="F528" s="1732">
        <f t="shared" si="46"/>
        <v>885.0300000000118</v>
      </c>
      <c r="G528" s="1672">
        <f t="shared" si="43"/>
        <v>1239.04</v>
      </c>
      <c r="H528" s="1670"/>
      <c r="I528" s="1670"/>
    </row>
    <row r="529" spans="1:9" ht="15.75">
      <c r="A529" s="1622"/>
      <c r="B529" s="1691">
        <f t="shared" si="47"/>
        <v>525</v>
      </c>
      <c r="C529" s="1731">
        <f t="shared" si="45"/>
        <v>1410.9700000000178</v>
      </c>
      <c r="D529" s="1672">
        <f t="shared" si="44"/>
        <v>1975.36</v>
      </c>
      <c r="E529" s="1670"/>
      <c r="F529" s="1732">
        <f t="shared" si="46"/>
        <v>886.72000000001185</v>
      </c>
      <c r="G529" s="1672">
        <f t="shared" si="43"/>
        <v>1241.4100000000001</v>
      </c>
      <c r="H529" s="1670"/>
      <c r="I529" s="1670"/>
    </row>
    <row r="530" spans="1:9" ht="15.75">
      <c r="A530" s="1622"/>
      <c r="B530" s="1691">
        <f t="shared" si="47"/>
        <v>526</v>
      </c>
      <c r="C530" s="1731">
        <f t="shared" si="45"/>
        <v>1413.6600000000178</v>
      </c>
      <c r="D530" s="1672">
        <f t="shared" si="44"/>
        <v>1979.12</v>
      </c>
      <c r="E530" s="1670"/>
      <c r="F530" s="1732">
        <f t="shared" si="46"/>
        <v>888.41000000001191</v>
      </c>
      <c r="G530" s="1672">
        <f t="shared" si="43"/>
        <v>1243.77</v>
      </c>
      <c r="H530" s="1670"/>
      <c r="I530" s="1670"/>
    </row>
    <row r="531" spans="1:9" ht="15.75">
      <c r="A531" s="1622"/>
      <c r="B531" s="1691">
        <f t="shared" si="47"/>
        <v>527</v>
      </c>
      <c r="C531" s="1731">
        <f t="shared" si="45"/>
        <v>1416.3500000000179</v>
      </c>
      <c r="D531" s="1672">
        <f t="shared" si="44"/>
        <v>1982.89</v>
      </c>
      <c r="E531" s="1670"/>
      <c r="F531" s="1732">
        <f t="shared" si="46"/>
        <v>890.10000000001196</v>
      </c>
      <c r="G531" s="1672">
        <f t="shared" si="43"/>
        <v>1246.1400000000001</v>
      </c>
      <c r="H531" s="1670"/>
      <c r="I531" s="1670"/>
    </row>
    <row r="532" spans="1:9" ht="15.75">
      <c r="A532" s="1622"/>
      <c r="B532" s="1691">
        <f t="shared" si="47"/>
        <v>528</v>
      </c>
      <c r="C532" s="1731">
        <f t="shared" si="45"/>
        <v>1419.0400000000179</v>
      </c>
      <c r="D532" s="1672">
        <f t="shared" si="44"/>
        <v>1986.66</v>
      </c>
      <c r="E532" s="1670"/>
      <c r="F532" s="1732">
        <f t="shared" si="46"/>
        <v>891.79000000001201</v>
      </c>
      <c r="G532" s="1672">
        <f t="shared" si="43"/>
        <v>1248.51</v>
      </c>
      <c r="H532" s="1670"/>
      <c r="I532" s="1670"/>
    </row>
    <row r="533" spans="1:9" ht="15.75">
      <c r="A533" s="1622"/>
      <c r="B533" s="1691">
        <f t="shared" si="47"/>
        <v>529</v>
      </c>
      <c r="C533" s="1731">
        <f t="shared" si="45"/>
        <v>1421.730000000018</v>
      </c>
      <c r="D533" s="1672">
        <f t="shared" si="44"/>
        <v>1990.42</v>
      </c>
      <c r="E533" s="1670"/>
      <c r="F533" s="1732">
        <f t="shared" si="46"/>
        <v>893.48000000001207</v>
      </c>
      <c r="G533" s="1672">
        <f t="shared" si="43"/>
        <v>1250.8699999999999</v>
      </c>
      <c r="H533" s="1670"/>
      <c r="I533" s="1670"/>
    </row>
    <row r="534" spans="1:9" ht="15.75">
      <c r="A534" s="1622"/>
      <c r="B534" s="1691">
        <f t="shared" si="47"/>
        <v>530</v>
      </c>
      <c r="C534" s="1731">
        <f t="shared" si="45"/>
        <v>1424.420000000018</v>
      </c>
      <c r="D534" s="1672">
        <f t="shared" si="44"/>
        <v>1994.19</v>
      </c>
      <c r="E534" s="1670"/>
      <c r="F534" s="1732">
        <f t="shared" si="46"/>
        <v>895.17000000001212</v>
      </c>
      <c r="G534" s="1672">
        <f t="shared" si="43"/>
        <v>1253.24</v>
      </c>
      <c r="H534" s="1670"/>
      <c r="I534" s="1670"/>
    </row>
    <row r="535" spans="1:9" ht="15.75">
      <c r="A535" s="1622"/>
      <c r="B535" s="1691">
        <f t="shared" si="47"/>
        <v>531</v>
      </c>
      <c r="C535" s="1731">
        <f t="shared" si="45"/>
        <v>1427.1100000000181</v>
      </c>
      <c r="D535" s="1672">
        <f t="shared" si="44"/>
        <v>1997.95</v>
      </c>
      <c r="E535" s="1670"/>
      <c r="F535" s="1732">
        <f t="shared" si="46"/>
        <v>896.86000000001218</v>
      </c>
      <c r="G535" s="1672">
        <f t="shared" si="43"/>
        <v>1255.5999999999999</v>
      </c>
      <c r="H535" s="1670"/>
      <c r="I535" s="1670"/>
    </row>
    <row r="536" spans="1:9" ht="15.75">
      <c r="A536" s="1622"/>
      <c r="B536" s="1691">
        <f t="shared" si="47"/>
        <v>532</v>
      </c>
      <c r="C536" s="1731">
        <f t="shared" si="45"/>
        <v>1429.8000000000181</v>
      </c>
      <c r="D536" s="1672">
        <f t="shared" si="44"/>
        <v>2001.72</v>
      </c>
      <c r="E536" s="1670"/>
      <c r="F536" s="1732">
        <f t="shared" si="46"/>
        <v>898.55000000001223</v>
      </c>
      <c r="G536" s="1672">
        <f t="shared" si="43"/>
        <v>1257.97</v>
      </c>
      <c r="H536" s="1670"/>
      <c r="I536" s="1670"/>
    </row>
    <row r="537" spans="1:9" ht="15.75">
      <c r="A537" s="1622"/>
      <c r="B537" s="1691">
        <f t="shared" si="47"/>
        <v>533</v>
      </c>
      <c r="C537" s="1731">
        <f t="shared" si="45"/>
        <v>1432.4900000000182</v>
      </c>
      <c r="D537" s="1672">
        <f t="shared" si="44"/>
        <v>2005.49</v>
      </c>
      <c r="E537" s="1670"/>
      <c r="F537" s="1732">
        <f t="shared" si="46"/>
        <v>900.24000000001229</v>
      </c>
      <c r="G537" s="1672">
        <f t="shared" si="43"/>
        <v>1260.3399999999999</v>
      </c>
      <c r="H537" s="1670"/>
      <c r="I537" s="1670"/>
    </row>
    <row r="538" spans="1:9" ht="15.75">
      <c r="A538" s="1622"/>
      <c r="B538" s="1691">
        <f t="shared" si="47"/>
        <v>534</v>
      </c>
      <c r="C538" s="1731">
        <f t="shared" si="45"/>
        <v>1435.1800000000183</v>
      </c>
      <c r="D538" s="1672">
        <f t="shared" si="44"/>
        <v>2009.25</v>
      </c>
      <c r="E538" s="1670"/>
      <c r="F538" s="1732">
        <f t="shared" si="46"/>
        <v>901.93000000001234</v>
      </c>
      <c r="G538" s="1672">
        <f t="shared" si="43"/>
        <v>1262.7</v>
      </c>
      <c r="H538" s="1670"/>
      <c r="I538" s="1670"/>
    </row>
    <row r="539" spans="1:9" ht="15.75">
      <c r="A539" s="1622"/>
      <c r="B539" s="1691">
        <f t="shared" si="47"/>
        <v>535</v>
      </c>
      <c r="C539" s="1731">
        <f t="shared" si="45"/>
        <v>1437.8700000000183</v>
      </c>
      <c r="D539" s="1672">
        <f t="shared" si="44"/>
        <v>2013.02</v>
      </c>
      <c r="E539" s="1670"/>
      <c r="F539" s="1732">
        <f t="shared" si="46"/>
        <v>903.6200000000124</v>
      </c>
      <c r="G539" s="1672">
        <f t="shared" si="43"/>
        <v>1265.07</v>
      </c>
      <c r="H539" s="1670"/>
      <c r="I539" s="1670"/>
    </row>
    <row r="540" spans="1:9" ht="15.75">
      <c r="A540" s="1622"/>
      <c r="B540" s="1691">
        <f t="shared" si="47"/>
        <v>536</v>
      </c>
      <c r="C540" s="1731">
        <f t="shared" si="45"/>
        <v>1440.5600000000184</v>
      </c>
      <c r="D540" s="1672">
        <f t="shared" si="44"/>
        <v>2016.78</v>
      </c>
      <c r="E540" s="1670"/>
      <c r="F540" s="1732">
        <f t="shared" si="46"/>
        <v>905.31000000001245</v>
      </c>
      <c r="G540" s="1672">
        <f t="shared" si="43"/>
        <v>1267.43</v>
      </c>
      <c r="H540" s="1670"/>
      <c r="I540" s="1670"/>
    </row>
    <row r="541" spans="1:9" ht="15.75">
      <c r="A541" s="1622"/>
      <c r="B541" s="1691">
        <f t="shared" si="47"/>
        <v>537</v>
      </c>
      <c r="C541" s="1731">
        <f t="shared" si="45"/>
        <v>1443.2500000000184</v>
      </c>
      <c r="D541" s="1672">
        <f t="shared" si="44"/>
        <v>2020.55</v>
      </c>
      <c r="E541" s="1670"/>
      <c r="F541" s="1732">
        <f t="shared" si="46"/>
        <v>907.00000000001251</v>
      </c>
      <c r="G541" s="1672">
        <f t="shared" si="43"/>
        <v>1269.8</v>
      </c>
      <c r="H541" s="1670"/>
      <c r="I541" s="1670"/>
    </row>
    <row r="542" spans="1:9" ht="15.75">
      <c r="A542" s="1622"/>
      <c r="B542" s="1691">
        <f t="shared" si="47"/>
        <v>538</v>
      </c>
      <c r="C542" s="1731">
        <f t="shared" si="45"/>
        <v>1445.9400000000185</v>
      </c>
      <c r="D542" s="1672">
        <f t="shared" si="44"/>
        <v>2024.32</v>
      </c>
      <c r="E542" s="1670"/>
      <c r="F542" s="1732">
        <f t="shared" si="46"/>
        <v>908.69000000001256</v>
      </c>
      <c r="G542" s="1672">
        <f t="shared" si="43"/>
        <v>1272.17</v>
      </c>
      <c r="H542" s="1670"/>
      <c r="I542" s="1670"/>
    </row>
    <row r="543" spans="1:9" ht="15.75">
      <c r="A543" s="1622"/>
      <c r="B543" s="1691">
        <f t="shared" si="47"/>
        <v>539</v>
      </c>
      <c r="C543" s="1731">
        <f t="shared" si="45"/>
        <v>1448.6300000000185</v>
      </c>
      <c r="D543" s="1672">
        <f t="shared" si="44"/>
        <v>2028.08</v>
      </c>
      <c r="E543" s="1670"/>
      <c r="F543" s="1732">
        <f t="shared" si="46"/>
        <v>910.38000000001261</v>
      </c>
      <c r="G543" s="1672">
        <f t="shared" si="43"/>
        <v>1274.53</v>
      </c>
      <c r="H543" s="1670"/>
      <c r="I543" s="1670"/>
    </row>
    <row r="544" spans="1:9" ht="15.75">
      <c r="A544" s="1622"/>
      <c r="B544" s="1691">
        <f t="shared" si="47"/>
        <v>540</v>
      </c>
      <c r="C544" s="1731">
        <f t="shared" si="45"/>
        <v>1451.3200000000186</v>
      </c>
      <c r="D544" s="1672">
        <f t="shared" si="44"/>
        <v>2031.85</v>
      </c>
      <c r="E544" s="1670"/>
      <c r="F544" s="1732">
        <f t="shared" si="46"/>
        <v>912.07000000001267</v>
      </c>
      <c r="G544" s="1672">
        <f t="shared" si="43"/>
        <v>1276.9000000000001</v>
      </c>
      <c r="H544" s="1670"/>
      <c r="I544" s="1670"/>
    </row>
    <row r="545" spans="1:9" ht="15.75">
      <c r="A545" s="1622"/>
      <c r="B545" s="1691">
        <f t="shared" si="47"/>
        <v>541</v>
      </c>
      <c r="C545" s="1731">
        <f t="shared" si="45"/>
        <v>1454.0100000000186</v>
      </c>
      <c r="D545" s="1672">
        <f t="shared" si="44"/>
        <v>2035.61</v>
      </c>
      <c r="E545" s="1670"/>
      <c r="F545" s="1732">
        <f t="shared" si="46"/>
        <v>913.76000000001272</v>
      </c>
      <c r="G545" s="1672">
        <f t="shared" si="43"/>
        <v>1279.26</v>
      </c>
      <c r="H545" s="1670"/>
      <c r="I545" s="1670"/>
    </row>
    <row r="546" spans="1:9" ht="15.75">
      <c r="A546" s="1622"/>
      <c r="B546" s="1691">
        <f t="shared" si="47"/>
        <v>542</v>
      </c>
      <c r="C546" s="1731">
        <f t="shared" si="45"/>
        <v>1456.7000000000187</v>
      </c>
      <c r="D546" s="1672">
        <f t="shared" si="44"/>
        <v>2039.38</v>
      </c>
      <c r="E546" s="1670"/>
      <c r="F546" s="1732">
        <f t="shared" si="46"/>
        <v>915.45000000001278</v>
      </c>
      <c r="G546" s="1672">
        <f t="shared" si="43"/>
        <v>1281.6300000000001</v>
      </c>
      <c r="H546" s="1670"/>
      <c r="I546" s="1670"/>
    </row>
    <row r="547" spans="1:9" ht="15.75">
      <c r="A547" s="1622"/>
      <c r="B547" s="1691">
        <f t="shared" si="47"/>
        <v>543</v>
      </c>
      <c r="C547" s="1731">
        <f t="shared" si="45"/>
        <v>1459.3900000000187</v>
      </c>
      <c r="D547" s="1672">
        <f t="shared" si="44"/>
        <v>2043.15</v>
      </c>
      <c r="E547" s="1670"/>
      <c r="F547" s="1732">
        <f t="shared" si="46"/>
        <v>917.14000000001283</v>
      </c>
      <c r="G547" s="1672">
        <f t="shared" si="43"/>
        <v>1284</v>
      </c>
      <c r="H547" s="1670"/>
      <c r="I547" s="1670"/>
    </row>
    <row r="548" spans="1:9" ht="15.75">
      <c r="A548" s="1622"/>
      <c r="B548" s="1691">
        <f t="shared" si="47"/>
        <v>544</v>
      </c>
      <c r="C548" s="1731">
        <f t="shared" si="45"/>
        <v>1462.0800000000188</v>
      </c>
      <c r="D548" s="1672">
        <f t="shared" si="44"/>
        <v>2046.91</v>
      </c>
      <c r="E548" s="1670"/>
      <c r="F548" s="1732">
        <f t="shared" si="46"/>
        <v>918.83000000001289</v>
      </c>
      <c r="G548" s="1672">
        <f t="shared" si="43"/>
        <v>1286.3599999999999</v>
      </c>
      <c r="H548" s="1670"/>
      <c r="I548" s="1670"/>
    </row>
    <row r="549" spans="1:9" ht="15.75">
      <c r="A549" s="1622"/>
      <c r="B549" s="1691">
        <f t="shared" si="47"/>
        <v>545</v>
      </c>
      <c r="C549" s="1731">
        <f t="shared" si="45"/>
        <v>1464.7700000000189</v>
      </c>
      <c r="D549" s="1672">
        <f t="shared" si="44"/>
        <v>2050.6799999999998</v>
      </c>
      <c r="E549" s="1670"/>
      <c r="F549" s="1732">
        <f t="shared" si="46"/>
        <v>920.52000000001294</v>
      </c>
      <c r="G549" s="1672">
        <f t="shared" si="43"/>
        <v>1288.73</v>
      </c>
      <c r="H549" s="1670"/>
      <c r="I549" s="1670"/>
    </row>
    <row r="550" spans="1:9" ht="15.75">
      <c r="A550" s="1622"/>
      <c r="B550" s="1691">
        <f t="shared" si="47"/>
        <v>546</v>
      </c>
      <c r="C550" s="1731">
        <f t="shared" si="45"/>
        <v>1467.4600000000189</v>
      </c>
      <c r="D550" s="1672">
        <f t="shared" si="44"/>
        <v>2054.44</v>
      </c>
      <c r="E550" s="1670"/>
      <c r="F550" s="1732">
        <f t="shared" si="46"/>
        <v>922.210000000013</v>
      </c>
      <c r="G550" s="1672">
        <f t="shared" si="43"/>
        <v>1291.0899999999999</v>
      </c>
      <c r="H550" s="1670"/>
      <c r="I550" s="1670"/>
    </row>
    <row r="551" spans="1:9" ht="15.75">
      <c r="A551" s="1622"/>
      <c r="B551" s="1691">
        <f t="shared" si="47"/>
        <v>547</v>
      </c>
      <c r="C551" s="1731">
        <f t="shared" si="45"/>
        <v>1470.150000000019</v>
      </c>
      <c r="D551" s="1672">
        <f t="shared" si="44"/>
        <v>2058.21</v>
      </c>
      <c r="E551" s="1670"/>
      <c r="F551" s="1732">
        <f t="shared" si="46"/>
        <v>923.90000000001305</v>
      </c>
      <c r="G551" s="1672">
        <f t="shared" si="43"/>
        <v>1293.46</v>
      </c>
      <c r="H551" s="1670"/>
      <c r="I551" s="1670"/>
    </row>
    <row r="552" spans="1:9" ht="15.75">
      <c r="A552" s="1622"/>
      <c r="B552" s="1691">
        <f t="shared" si="47"/>
        <v>548</v>
      </c>
      <c r="C552" s="1731">
        <f t="shared" si="45"/>
        <v>1472.840000000019</v>
      </c>
      <c r="D552" s="1672">
        <f t="shared" si="44"/>
        <v>2061.98</v>
      </c>
      <c r="E552" s="1670"/>
      <c r="F552" s="1732">
        <f t="shared" si="46"/>
        <v>925.59000000001311</v>
      </c>
      <c r="G552" s="1672">
        <f t="shared" si="43"/>
        <v>1295.83</v>
      </c>
      <c r="H552" s="1670"/>
      <c r="I552" s="1670"/>
    </row>
    <row r="553" spans="1:9" ht="15.75">
      <c r="A553" s="1622"/>
      <c r="B553" s="1691">
        <f t="shared" si="47"/>
        <v>549</v>
      </c>
      <c r="C553" s="1731">
        <f t="shared" si="45"/>
        <v>1475.5300000000191</v>
      </c>
      <c r="D553" s="1672">
        <f t="shared" si="44"/>
        <v>2065.7399999999998</v>
      </c>
      <c r="E553" s="1670"/>
      <c r="F553" s="1732">
        <f t="shared" si="46"/>
        <v>927.28000000001316</v>
      </c>
      <c r="G553" s="1672">
        <f t="shared" si="43"/>
        <v>1298.19</v>
      </c>
      <c r="H553" s="1670"/>
      <c r="I553" s="1670"/>
    </row>
    <row r="554" spans="1:9" ht="15.75">
      <c r="A554" s="1622"/>
      <c r="B554" s="1691">
        <f t="shared" si="47"/>
        <v>550</v>
      </c>
      <c r="C554" s="1731">
        <f t="shared" si="45"/>
        <v>1478.2200000000191</v>
      </c>
      <c r="D554" s="1672">
        <f t="shared" si="44"/>
        <v>2069.5100000000002</v>
      </c>
      <c r="E554" s="1670"/>
      <c r="F554" s="1732">
        <f t="shared" si="46"/>
        <v>928.97000000001321</v>
      </c>
      <c r="G554" s="1672">
        <f t="shared" si="43"/>
        <v>1300.56</v>
      </c>
      <c r="H554" s="1670"/>
      <c r="I554" s="1670"/>
    </row>
    <row r="555" spans="1:9" ht="15.75">
      <c r="A555" s="1622"/>
      <c r="B555" s="1691">
        <f t="shared" si="47"/>
        <v>551</v>
      </c>
      <c r="C555" s="1731">
        <f t="shared" si="45"/>
        <v>1480.9100000000192</v>
      </c>
      <c r="D555" s="1672">
        <f t="shared" si="44"/>
        <v>2073.27</v>
      </c>
      <c r="E555" s="1670"/>
      <c r="F555" s="1732">
        <f t="shared" si="46"/>
        <v>930.66000000001327</v>
      </c>
      <c r="G555" s="1672">
        <f t="shared" si="43"/>
        <v>1302.92</v>
      </c>
      <c r="H555" s="1670"/>
      <c r="I555" s="1670"/>
    </row>
    <row r="556" spans="1:9" ht="15.75">
      <c r="A556" s="1622"/>
      <c r="B556" s="1691">
        <f t="shared" si="47"/>
        <v>552</v>
      </c>
      <c r="C556" s="1731">
        <f t="shared" si="45"/>
        <v>1483.6000000000192</v>
      </c>
      <c r="D556" s="1672">
        <f t="shared" si="44"/>
        <v>2077.04</v>
      </c>
      <c r="E556" s="1670"/>
      <c r="F556" s="1732">
        <f t="shared" si="46"/>
        <v>932.35000000001332</v>
      </c>
      <c r="G556" s="1672">
        <f t="shared" si="43"/>
        <v>1305.29</v>
      </c>
      <c r="H556" s="1670"/>
      <c r="I556" s="1670"/>
    </row>
    <row r="557" spans="1:9" ht="15.75">
      <c r="A557" s="1622"/>
      <c r="B557" s="1691">
        <f t="shared" si="47"/>
        <v>553</v>
      </c>
      <c r="C557" s="1731">
        <f t="shared" si="45"/>
        <v>1486.2900000000193</v>
      </c>
      <c r="D557" s="1672">
        <f t="shared" si="44"/>
        <v>2080.81</v>
      </c>
      <c r="E557" s="1670"/>
      <c r="F557" s="1732">
        <f t="shared" si="46"/>
        <v>934.04000000001338</v>
      </c>
      <c r="G557" s="1672">
        <f t="shared" si="43"/>
        <v>1307.6600000000001</v>
      </c>
      <c r="H557" s="1670"/>
      <c r="I557" s="1670"/>
    </row>
    <row r="558" spans="1:9" ht="15.75">
      <c r="A558" s="1622"/>
      <c r="B558" s="1691">
        <f t="shared" si="47"/>
        <v>554</v>
      </c>
      <c r="C558" s="1731">
        <f t="shared" si="45"/>
        <v>1488.9800000000193</v>
      </c>
      <c r="D558" s="1672">
        <f t="shared" si="44"/>
        <v>2084.5700000000002</v>
      </c>
      <c r="E558" s="1670"/>
      <c r="F558" s="1732">
        <f t="shared" si="46"/>
        <v>935.73000000001343</v>
      </c>
      <c r="G558" s="1672">
        <f t="shared" si="43"/>
        <v>1310.02</v>
      </c>
      <c r="H558" s="1670"/>
      <c r="I558" s="1670"/>
    </row>
    <row r="559" spans="1:9" ht="15.75">
      <c r="A559" s="1622"/>
      <c r="B559" s="1691">
        <f t="shared" si="47"/>
        <v>555</v>
      </c>
      <c r="C559" s="1731">
        <f t="shared" si="45"/>
        <v>1491.6700000000194</v>
      </c>
      <c r="D559" s="1672">
        <f t="shared" si="44"/>
        <v>2088.34</v>
      </c>
      <c r="E559" s="1670"/>
      <c r="F559" s="1732">
        <f t="shared" si="46"/>
        <v>937.42000000001349</v>
      </c>
      <c r="G559" s="1672">
        <f t="shared" si="43"/>
        <v>1312.39</v>
      </c>
      <c r="H559" s="1670"/>
      <c r="I559" s="1670"/>
    </row>
    <row r="560" spans="1:9" ht="15.75">
      <c r="A560" s="1622"/>
      <c r="B560" s="1691">
        <f t="shared" si="47"/>
        <v>556</v>
      </c>
      <c r="C560" s="1731">
        <f t="shared" si="45"/>
        <v>1494.3600000000195</v>
      </c>
      <c r="D560" s="1672">
        <f t="shared" si="44"/>
        <v>2092.1</v>
      </c>
      <c r="E560" s="1670"/>
      <c r="F560" s="1732">
        <f t="shared" si="46"/>
        <v>939.11000000001354</v>
      </c>
      <c r="G560" s="1672">
        <f t="shared" si="43"/>
        <v>1314.75</v>
      </c>
      <c r="H560" s="1670"/>
      <c r="I560" s="1670"/>
    </row>
    <row r="561" spans="1:9" ht="15.75">
      <c r="A561" s="1622"/>
      <c r="B561" s="1691">
        <f t="shared" si="47"/>
        <v>557</v>
      </c>
      <c r="C561" s="1731">
        <f t="shared" si="45"/>
        <v>1497.0500000000195</v>
      </c>
      <c r="D561" s="1672">
        <f t="shared" si="44"/>
        <v>2095.87</v>
      </c>
      <c r="E561" s="1670"/>
      <c r="F561" s="1732">
        <f t="shared" si="46"/>
        <v>940.8000000000136</v>
      </c>
      <c r="G561" s="1672">
        <f t="shared" si="43"/>
        <v>1317.12</v>
      </c>
      <c r="H561" s="1670"/>
      <c r="I561" s="1670"/>
    </row>
    <row r="562" spans="1:9" ht="15.75">
      <c r="A562" s="1622"/>
      <c r="B562" s="1691">
        <f t="shared" si="47"/>
        <v>558</v>
      </c>
      <c r="C562" s="1731">
        <f t="shared" si="45"/>
        <v>1499.7400000000196</v>
      </c>
      <c r="D562" s="1672">
        <f t="shared" si="44"/>
        <v>2099.64</v>
      </c>
      <c r="E562" s="1670"/>
      <c r="F562" s="1732">
        <f t="shared" si="46"/>
        <v>942.49000000001365</v>
      </c>
      <c r="G562" s="1672">
        <f t="shared" si="43"/>
        <v>1319.49</v>
      </c>
      <c r="H562" s="1670"/>
      <c r="I562" s="1670"/>
    </row>
    <row r="563" spans="1:9" ht="15.75">
      <c r="A563" s="1622"/>
      <c r="B563" s="1691">
        <f t="shared" si="47"/>
        <v>559</v>
      </c>
      <c r="C563" s="1731">
        <f t="shared" si="45"/>
        <v>1502.4300000000196</v>
      </c>
      <c r="D563" s="1672">
        <f t="shared" si="44"/>
        <v>2103.4</v>
      </c>
      <c r="E563" s="1670"/>
      <c r="F563" s="1732">
        <f t="shared" si="46"/>
        <v>944.18000000001371</v>
      </c>
      <c r="G563" s="1672">
        <f t="shared" si="43"/>
        <v>1321.85</v>
      </c>
      <c r="H563" s="1670"/>
      <c r="I563" s="1670"/>
    </row>
    <row r="564" spans="1:9" ht="15.75">
      <c r="A564" s="1622"/>
      <c r="B564" s="1691">
        <f t="shared" si="47"/>
        <v>560</v>
      </c>
      <c r="C564" s="1731">
        <f t="shared" si="45"/>
        <v>1505.1200000000197</v>
      </c>
      <c r="D564" s="1672">
        <f t="shared" si="44"/>
        <v>2107.17</v>
      </c>
      <c r="E564" s="1670"/>
      <c r="F564" s="1732">
        <f t="shared" si="46"/>
        <v>945.87000000001376</v>
      </c>
      <c r="G564" s="1672">
        <f t="shared" si="43"/>
        <v>1324.22</v>
      </c>
      <c r="H564" s="1670"/>
      <c r="I564" s="1670"/>
    </row>
    <row r="565" spans="1:9" ht="15.75">
      <c r="A565" s="1622"/>
      <c r="B565" s="1691">
        <f t="shared" si="47"/>
        <v>561</v>
      </c>
      <c r="C565" s="1731">
        <f t="shared" si="45"/>
        <v>1507.8100000000197</v>
      </c>
      <c r="D565" s="1672">
        <f t="shared" si="44"/>
        <v>2110.9299999999998</v>
      </c>
      <c r="E565" s="1670"/>
      <c r="F565" s="1732">
        <f t="shared" si="46"/>
        <v>947.56000000001382</v>
      </c>
      <c r="G565" s="1672">
        <f t="shared" si="43"/>
        <v>1326.58</v>
      </c>
      <c r="H565" s="1670"/>
      <c r="I565" s="1670"/>
    </row>
    <row r="566" spans="1:9" ht="15.75">
      <c r="A566" s="1622"/>
      <c r="B566" s="1691">
        <f t="shared" si="47"/>
        <v>562</v>
      </c>
      <c r="C566" s="1731">
        <f t="shared" si="45"/>
        <v>1510.5000000000198</v>
      </c>
      <c r="D566" s="1672">
        <f t="shared" si="44"/>
        <v>2114.6999999999998</v>
      </c>
      <c r="E566" s="1670"/>
      <c r="F566" s="1732">
        <f t="shared" si="46"/>
        <v>949.25000000001387</v>
      </c>
      <c r="G566" s="1672">
        <f t="shared" si="43"/>
        <v>1328.95</v>
      </c>
      <c r="H566" s="1670"/>
      <c r="I566" s="1670"/>
    </row>
    <row r="567" spans="1:9" ht="15.75">
      <c r="A567" s="1622"/>
      <c r="B567" s="1691">
        <f t="shared" si="47"/>
        <v>563</v>
      </c>
      <c r="C567" s="1731">
        <f t="shared" si="45"/>
        <v>1513.1900000000198</v>
      </c>
      <c r="D567" s="1672">
        <f t="shared" si="44"/>
        <v>2118.4699999999998</v>
      </c>
      <c r="E567" s="1670"/>
      <c r="F567" s="1732">
        <f t="shared" si="46"/>
        <v>950.94000000001392</v>
      </c>
      <c r="G567" s="1672">
        <f t="shared" si="43"/>
        <v>1331.32</v>
      </c>
      <c r="H567" s="1670"/>
      <c r="I567" s="1670"/>
    </row>
    <row r="568" spans="1:9" ht="15.75">
      <c r="A568" s="1622"/>
      <c r="B568" s="1691">
        <f t="shared" si="47"/>
        <v>564</v>
      </c>
      <c r="C568" s="1731">
        <f t="shared" si="45"/>
        <v>1515.8800000000199</v>
      </c>
      <c r="D568" s="1672">
        <f t="shared" si="44"/>
        <v>2122.23</v>
      </c>
      <c r="E568" s="1670"/>
      <c r="F568" s="1732">
        <f t="shared" si="46"/>
        <v>952.63000000001398</v>
      </c>
      <c r="G568" s="1672">
        <f t="shared" si="43"/>
        <v>1333.68</v>
      </c>
      <c r="H568" s="1670"/>
      <c r="I568" s="1670"/>
    </row>
    <row r="569" spans="1:9" ht="15.75">
      <c r="A569" s="1622"/>
      <c r="B569" s="1691">
        <f t="shared" si="47"/>
        <v>565</v>
      </c>
      <c r="C569" s="1731">
        <f t="shared" si="45"/>
        <v>1518.5700000000199</v>
      </c>
      <c r="D569" s="1672">
        <f t="shared" si="44"/>
        <v>2126</v>
      </c>
      <c r="E569" s="1670"/>
      <c r="F569" s="1732">
        <f t="shared" si="46"/>
        <v>954.32000000001403</v>
      </c>
      <c r="G569" s="1672">
        <f t="shared" si="43"/>
        <v>1336.05</v>
      </c>
      <c r="H569" s="1670"/>
      <c r="I569" s="1670"/>
    </row>
    <row r="570" spans="1:9" ht="15.75">
      <c r="A570" s="1622"/>
      <c r="B570" s="1691">
        <f t="shared" si="47"/>
        <v>566</v>
      </c>
      <c r="C570" s="1731">
        <f t="shared" si="45"/>
        <v>1521.26000000002</v>
      </c>
      <c r="D570" s="1672">
        <f t="shared" si="44"/>
        <v>2129.7600000000002</v>
      </c>
      <c r="E570" s="1670"/>
      <c r="F570" s="1732">
        <f t="shared" si="46"/>
        <v>956.01000000001409</v>
      </c>
      <c r="G570" s="1672">
        <f t="shared" si="43"/>
        <v>1338.41</v>
      </c>
      <c r="H570" s="1670"/>
      <c r="I570" s="1670"/>
    </row>
    <row r="571" spans="1:9" ht="15.75">
      <c r="A571" s="1622"/>
      <c r="B571" s="1691">
        <f t="shared" si="47"/>
        <v>567</v>
      </c>
      <c r="C571" s="1731">
        <f t="shared" si="45"/>
        <v>1523.9500000000201</v>
      </c>
      <c r="D571" s="1672">
        <f t="shared" si="44"/>
        <v>2133.5300000000002</v>
      </c>
      <c r="E571" s="1670"/>
      <c r="F571" s="1732">
        <f t="shared" si="46"/>
        <v>957.70000000001414</v>
      </c>
      <c r="G571" s="1672">
        <f t="shared" si="43"/>
        <v>1340.78</v>
      </c>
      <c r="H571" s="1670"/>
      <c r="I571" s="1670"/>
    </row>
    <row r="572" spans="1:9" ht="15.75">
      <c r="A572" s="1622"/>
      <c r="B572" s="1691">
        <f t="shared" si="47"/>
        <v>568</v>
      </c>
      <c r="C572" s="1731">
        <f t="shared" si="45"/>
        <v>1526.6400000000201</v>
      </c>
      <c r="D572" s="1672">
        <f t="shared" si="44"/>
        <v>2137.3000000000002</v>
      </c>
      <c r="E572" s="1670"/>
      <c r="F572" s="1732">
        <f t="shared" si="46"/>
        <v>959.3900000000142</v>
      </c>
      <c r="G572" s="1672">
        <f t="shared" si="43"/>
        <v>1343.15</v>
      </c>
      <c r="H572" s="1670"/>
      <c r="I572" s="1670"/>
    </row>
    <row r="573" spans="1:9" ht="15.75">
      <c r="A573" s="1622"/>
      <c r="B573" s="1691">
        <f t="shared" si="47"/>
        <v>569</v>
      </c>
      <c r="C573" s="1731">
        <f t="shared" si="45"/>
        <v>1529.3300000000202</v>
      </c>
      <c r="D573" s="1672">
        <f t="shared" si="44"/>
        <v>2141.06</v>
      </c>
      <c r="E573" s="1670"/>
      <c r="F573" s="1732">
        <f t="shared" si="46"/>
        <v>961.08000000001425</v>
      </c>
      <c r="G573" s="1672">
        <f t="shared" si="43"/>
        <v>1345.51</v>
      </c>
      <c r="H573" s="1670"/>
      <c r="I573" s="1670"/>
    </row>
    <row r="574" spans="1:9" ht="15.75">
      <c r="A574" s="1622"/>
      <c r="B574" s="1691">
        <f t="shared" si="47"/>
        <v>570</v>
      </c>
      <c r="C574" s="1731">
        <f t="shared" si="45"/>
        <v>1532.0200000000202</v>
      </c>
      <c r="D574" s="1672">
        <f t="shared" si="44"/>
        <v>2144.83</v>
      </c>
      <c r="E574" s="1670"/>
      <c r="F574" s="1732">
        <f t="shared" si="46"/>
        <v>962.77000000001431</v>
      </c>
      <c r="G574" s="1672">
        <f t="shared" si="43"/>
        <v>1347.88</v>
      </c>
      <c r="H574" s="1670"/>
      <c r="I574" s="1670"/>
    </row>
    <row r="575" spans="1:9" ht="15.75">
      <c r="A575" s="1622"/>
      <c r="B575" s="1691">
        <f t="shared" si="47"/>
        <v>571</v>
      </c>
      <c r="C575" s="1731">
        <f t="shared" si="45"/>
        <v>1534.7100000000203</v>
      </c>
      <c r="D575" s="1672">
        <f t="shared" si="44"/>
        <v>2148.59</v>
      </c>
      <c r="E575" s="1670"/>
      <c r="F575" s="1732">
        <f t="shared" si="46"/>
        <v>964.46000000001436</v>
      </c>
      <c r="G575" s="1672">
        <f t="shared" si="43"/>
        <v>1350.24</v>
      </c>
      <c r="H575" s="1670"/>
      <c r="I575" s="1670"/>
    </row>
    <row r="576" spans="1:9" ht="15.75">
      <c r="A576" s="1622"/>
      <c r="B576" s="1691">
        <f t="shared" si="47"/>
        <v>572</v>
      </c>
      <c r="C576" s="1731">
        <f t="shared" si="45"/>
        <v>1537.4000000000203</v>
      </c>
      <c r="D576" s="1672">
        <f t="shared" si="44"/>
        <v>2152.36</v>
      </c>
      <c r="E576" s="1670"/>
      <c r="F576" s="1732">
        <f t="shared" si="46"/>
        <v>966.15000000001442</v>
      </c>
      <c r="G576" s="1672">
        <f t="shared" si="43"/>
        <v>1352.61</v>
      </c>
      <c r="H576" s="1670"/>
      <c r="I576" s="1670"/>
    </row>
    <row r="577" spans="1:9" ht="15.75">
      <c r="A577" s="1622"/>
      <c r="B577" s="1691">
        <f t="shared" si="47"/>
        <v>573</v>
      </c>
      <c r="C577" s="1731">
        <f t="shared" si="45"/>
        <v>1540.0900000000204</v>
      </c>
      <c r="D577" s="1672">
        <f t="shared" si="44"/>
        <v>2156.13</v>
      </c>
      <c r="E577" s="1670"/>
      <c r="F577" s="1732">
        <f t="shared" si="46"/>
        <v>967.84000000001447</v>
      </c>
      <c r="G577" s="1672">
        <f t="shared" si="43"/>
        <v>1354.98</v>
      </c>
      <c r="H577" s="1670"/>
      <c r="I577" s="1670"/>
    </row>
    <row r="578" spans="1:9" ht="15.75">
      <c r="A578" s="1622"/>
      <c r="B578" s="1691">
        <f t="shared" si="47"/>
        <v>574</v>
      </c>
      <c r="C578" s="1731">
        <f t="shared" si="45"/>
        <v>1542.7800000000204</v>
      </c>
      <c r="D578" s="1672">
        <f t="shared" si="44"/>
        <v>2159.89</v>
      </c>
      <c r="E578" s="1670"/>
      <c r="F578" s="1732">
        <f t="shared" si="46"/>
        <v>969.53000000001452</v>
      </c>
      <c r="G578" s="1672">
        <f t="shared" si="43"/>
        <v>1357.34</v>
      </c>
      <c r="H578" s="1670"/>
      <c r="I578" s="1670"/>
    </row>
    <row r="579" spans="1:9" ht="15.75">
      <c r="A579" s="1622"/>
      <c r="B579" s="1691">
        <f t="shared" si="47"/>
        <v>575</v>
      </c>
      <c r="C579" s="1731">
        <f t="shared" si="45"/>
        <v>1545.4700000000205</v>
      </c>
      <c r="D579" s="1672">
        <f t="shared" si="44"/>
        <v>2163.66</v>
      </c>
      <c r="E579" s="1670"/>
      <c r="F579" s="1732">
        <f t="shared" si="46"/>
        <v>971.22000000001458</v>
      </c>
      <c r="G579" s="1672">
        <f t="shared" si="43"/>
        <v>1359.71</v>
      </c>
      <c r="H579" s="1670"/>
      <c r="I579" s="1670"/>
    </row>
    <row r="580" spans="1:9" ht="15.75">
      <c r="A580" s="1622"/>
      <c r="B580" s="1691">
        <f t="shared" si="47"/>
        <v>576</v>
      </c>
      <c r="C580" s="1731">
        <f t="shared" si="45"/>
        <v>1548.1600000000205</v>
      </c>
      <c r="D580" s="1672">
        <f t="shared" si="44"/>
        <v>2167.42</v>
      </c>
      <c r="E580" s="1670"/>
      <c r="F580" s="1732">
        <f t="shared" si="46"/>
        <v>972.91000000001463</v>
      </c>
      <c r="G580" s="1672">
        <f t="shared" si="43"/>
        <v>1362.07</v>
      </c>
      <c r="H580" s="1670"/>
      <c r="I580" s="1670"/>
    </row>
    <row r="581" spans="1:9" ht="15.75">
      <c r="A581" s="1622"/>
      <c r="B581" s="1691">
        <f t="shared" si="47"/>
        <v>577</v>
      </c>
      <c r="C581" s="1731">
        <f t="shared" si="45"/>
        <v>1550.8500000000206</v>
      </c>
      <c r="D581" s="1672">
        <f t="shared" si="44"/>
        <v>2171.19</v>
      </c>
      <c r="E581" s="1670"/>
      <c r="F581" s="1732">
        <f t="shared" si="46"/>
        <v>974.60000000001469</v>
      </c>
      <c r="G581" s="1672">
        <f t="shared" ref="G581:G644" si="48">ROUND(F581*1.4,2)</f>
        <v>1364.44</v>
      </c>
      <c r="H581" s="1670"/>
      <c r="I581" s="1670"/>
    </row>
    <row r="582" spans="1:9" ht="15.75">
      <c r="A582" s="1622"/>
      <c r="B582" s="1691">
        <f t="shared" si="47"/>
        <v>578</v>
      </c>
      <c r="C582" s="1731">
        <f t="shared" si="45"/>
        <v>1553.5400000000207</v>
      </c>
      <c r="D582" s="1672">
        <f t="shared" ref="D582:D645" si="49">ROUND(C582*1.4,2)</f>
        <v>2174.96</v>
      </c>
      <c r="E582" s="1670"/>
      <c r="F582" s="1732">
        <f t="shared" si="46"/>
        <v>976.29000000001474</v>
      </c>
      <c r="G582" s="1672">
        <f t="shared" si="48"/>
        <v>1366.81</v>
      </c>
      <c r="H582" s="1670"/>
      <c r="I582" s="1670"/>
    </row>
    <row r="583" spans="1:9" ht="15.75">
      <c r="A583" s="1622"/>
      <c r="B583" s="1691">
        <f t="shared" si="47"/>
        <v>579</v>
      </c>
      <c r="C583" s="1731">
        <f t="shared" si="45"/>
        <v>1556.2300000000207</v>
      </c>
      <c r="D583" s="1672">
        <f t="shared" si="49"/>
        <v>2178.7199999999998</v>
      </c>
      <c r="E583" s="1670"/>
      <c r="F583" s="1732">
        <f t="shared" si="46"/>
        <v>977.9800000000148</v>
      </c>
      <c r="G583" s="1672">
        <f t="shared" si="48"/>
        <v>1369.17</v>
      </c>
      <c r="H583" s="1670"/>
      <c r="I583" s="1670"/>
    </row>
    <row r="584" spans="1:9" ht="15.75">
      <c r="A584" s="1622"/>
      <c r="B584" s="1691">
        <f t="shared" si="47"/>
        <v>580</v>
      </c>
      <c r="C584" s="1731">
        <f t="shared" si="45"/>
        <v>1558.9200000000208</v>
      </c>
      <c r="D584" s="1672">
        <f t="shared" si="49"/>
        <v>2182.4899999999998</v>
      </c>
      <c r="E584" s="1670"/>
      <c r="F584" s="1732">
        <f t="shared" si="46"/>
        <v>979.67000000001485</v>
      </c>
      <c r="G584" s="1672">
        <f t="shared" si="48"/>
        <v>1371.54</v>
      </c>
      <c r="H584" s="1670"/>
      <c r="I584" s="1670"/>
    </row>
    <row r="585" spans="1:9" ht="15.75">
      <c r="A585" s="1622"/>
      <c r="B585" s="1691">
        <f t="shared" si="47"/>
        <v>581</v>
      </c>
      <c r="C585" s="1731">
        <f t="shared" si="45"/>
        <v>1561.6100000000208</v>
      </c>
      <c r="D585" s="1672">
        <f t="shared" si="49"/>
        <v>2186.25</v>
      </c>
      <c r="E585" s="1670"/>
      <c r="F585" s="1732">
        <f t="shared" si="46"/>
        <v>981.36000000001491</v>
      </c>
      <c r="G585" s="1672">
        <f t="shared" si="48"/>
        <v>1373.9</v>
      </c>
      <c r="H585" s="1670"/>
      <c r="I585" s="1670"/>
    </row>
    <row r="586" spans="1:9" ht="15.75">
      <c r="A586" s="1622"/>
      <c r="B586" s="1691">
        <f t="shared" si="47"/>
        <v>582</v>
      </c>
      <c r="C586" s="1731">
        <f t="shared" si="45"/>
        <v>1564.3000000000209</v>
      </c>
      <c r="D586" s="1672">
        <f t="shared" si="49"/>
        <v>2190.02</v>
      </c>
      <c r="E586" s="1670"/>
      <c r="F586" s="1732">
        <f t="shared" si="46"/>
        <v>983.05000000001496</v>
      </c>
      <c r="G586" s="1672">
        <f t="shared" si="48"/>
        <v>1376.27</v>
      </c>
      <c r="H586" s="1670"/>
      <c r="I586" s="1670"/>
    </row>
    <row r="587" spans="1:9" ht="15.75">
      <c r="A587" s="1622"/>
      <c r="B587" s="1691">
        <f t="shared" si="47"/>
        <v>583</v>
      </c>
      <c r="C587" s="1731">
        <f t="shared" si="45"/>
        <v>1566.9900000000209</v>
      </c>
      <c r="D587" s="1672">
        <f t="shared" si="49"/>
        <v>2193.79</v>
      </c>
      <c r="E587" s="1670"/>
      <c r="F587" s="1732">
        <f t="shared" si="46"/>
        <v>984.74000000001502</v>
      </c>
      <c r="G587" s="1672">
        <f t="shared" si="48"/>
        <v>1378.64</v>
      </c>
      <c r="H587" s="1670"/>
      <c r="I587" s="1670"/>
    </row>
    <row r="588" spans="1:9" ht="15.75">
      <c r="A588" s="1622"/>
      <c r="B588" s="1691">
        <f t="shared" si="47"/>
        <v>584</v>
      </c>
      <c r="C588" s="1731">
        <f t="shared" si="45"/>
        <v>1569.680000000021</v>
      </c>
      <c r="D588" s="1672">
        <f t="shared" si="49"/>
        <v>2197.5500000000002</v>
      </c>
      <c r="E588" s="1670"/>
      <c r="F588" s="1732">
        <f t="shared" si="46"/>
        <v>986.43000000001507</v>
      </c>
      <c r="G588" s="1672">
        <f t="shared" si="48"/>
        <v>1381</v>
      </c>
      <c r="H588" s="1670"/>
      <c r="I588" s="1670"/>
    </row>
    <row r="589" spans="1:9" ht="15.75">
      <c r="A589" s="1622"/>
      <c r="B589" s="1691">
        <f t="shared" si="47"/>
        <v>585</v>
      </c>
      <c r="C589" s="1731">
        <f t="shared" ref="C589:C652" si="50">C588+$C$1006</f>
        <v>1572.370000000021</v>
      </c>
      <c r="D589" s="1672">
        <f t="shared" si="49"/>
        <v>2201.3200000000002</v>
      </c>
      <c r="E589" s="1670"/>
      <c r="F589" s="1732">
        <f t="shared" ref="F589:F652" si="51">F588+$F$1006</f>
        <v>988.12000000001512</v>
      </c>
      <c r="G589" s="1672">
        <f t="shared" si="48"/>
        <v>1383.37</v>
      </c>
      <c r="H589" s="1670"/>
      <c r="I589" s="1670"/>
    </row>
    <row r="590" spans="1:9" ht="15.75">
      <c r="A590" s="1622"/>
      <c r="B590" s="1691">
        <f t="shared" ref="B590:B653" si="52">B589+1</f>
        <v>586</v>
      </c>
      <c r="C590" s="1731">
        <f t="shared" si="50"/>
        <v>1575.0600000000211</v>
      </c>
      <c r="D590" s="1672">
        <f t="shared" si="49"/>
        <v>2205.08</v>
      </c>
      <c r="E590" s="1670"/>
      <c r="F590" s="1732">
        <f t="shared" si="51"/>
        <v>989.81000000001518</v>
      </c>
      <c r="G590" s="1672">
        <f t="shared" si="48"/>
        <v>1385.73</v>
      </c>
      <c r="H590" s="1670"/>
      <c r="I590" s="1670"/>
    </row>
    <row r="591" spans="1:9" ht="15.75">
      <c r="A591" s="1622"/>
      <c r="B591" s="1691">
        <f t="shared" si="52"/>
        <v>587</v>
      </c>
      <c r="C591" s="1731">
        <f t="shared" si="50"/>
        <v>1577.7500000000211</v>
      </c>
      <c r="D591" s="1672">
        <f t="shared" si="49"/>
        <v>2208.85</v>
      </c>
      <c r="E591" s="1670"/>
      <c r="F591" s="1732">
        <f t="shared" si="51"/>
        <v>991.50000000001523</v>
      </c>
      <c r="G591" s="1672">
        <f t="shared" si="48"/>
        <v>1388.1</v>
      </c>
      <c r="H591" s="1670"/>
      <c r="I591" s="1670"/>
    </row>
    <row r="592" spans="1:9" ht="15.75">
      <c r="A592" s="1622"/>
      <c r="B592" s="1691">
        <f t="shared" si="52"/>
        <v>588</v>
      </c>
      <c r="C592" s="1731">
        <f t="shared" si="50"/>
        <v>1580.4400000000212</v>
      </c>
      <c r="D592" s="1672">
        <f t="shared" si="49"/>
        <v>2212.62</v>
      </c>
      <c r="E592" s="1670"/>
      <c r="F592" s="1732">
        <f t="shared" si="51"/>
        <v>993.19000000001529</v>
      </c>
      <c r="G592" s="1672">
        <f t="shared" si="48"/>
        <v>1390.47</v>
      </c>
      <c r="H592" s="1670"/>
      <c r="I592" s="1670"/>
    </row>
    <row r="593" spans="1:9" ht="15.75">
      <c r="A593" s="1622"/>
      <c r="B593" s="1691">
        <f t="shared" si="52"/>
        <v>589</v>
      </c>
      <c r="C593" s="1731">
        <f t="shared" si="50"/>
        <v>1583.1300000000213</v>
      </c>
      <c r="D593" s="1672">
        <f t="shared" si="49"/>
        <v>2216.38</v>
      </c>
      <c r="E593" s="1670"/>
      <c r="F593" s="1732">
        <f t="shared" si="51"/>
        <v>994.88000000001534</v>
      </c>
      <c r="G593" s="1672">
        <f t="shared" si="48"/>
        <v>1392.83</v>
      </c>
      <c r="H593" s="1670"/>
      <c r="I593" s="1670"/>
    </row>
    <row r="594" spans="1:9" ht="15.75">
      <c r="A594" s="1622"/>
      <c r="B594" s="1691">
        <f t="shared" si="52"/>
        <v>590</v>
      </c>
      <c r="C594" s="1731">
        <f t="shared" si="50"/>
        <v>1585.8200000000213</v>
      </c>
      <c r="D594" s="1672">
        <f t="shared" si="49"/>
        <v>2220.15</v>
      </c>
      <c r="E594" s="1670"/>
      <c r="F594" s="1732">
        <f t="shared" si="51"/>
        <v>996.5700000000154</v>
      </c>
      <c r="G594" s="1672">
        <f t="shared" si="48"/>
        <v>1395.2</v>
      </c>
      <c r="H594" s="1670"/>
      <c r="I594" s="1670"/>
    </row>
    <row r="595" spans="1:9" ht="15.75">
      <c r="A595" s="1622"/>
      <c r="B595" s="1691">
        <f t="shared" si="52"/>
        <v>591</v>
      </c>
      <c r="C595" s="1731">
        <f t="shared" si="50"/>
        <v>1588.5100000000214</v>
      </c>
      <c r="D595" s="1672">
        <f t="shared" si="49"/>
        <v>2223.91</v>
      </c>
      <c r="E595" s="1670"/>
      <c r="F595" s="1732">
        <f t="shared" si="51"/>
        <v>998.26000000001545</v>
      </c>
      <c r="G595" s="1672">
        <f t="shared" si="48"/>
        <v>1397.56</v>
      </c>
      <c r="H595" s="1670"/>
      <c r="I595" s="1670"/>
    </row>
    <row r="596" spans="1:9" ht="15.75">
      <c r="A596" s="1622"/>
      <c r="B596" s="1691">
        <f t="shared" si="52"/>
        <v>592</v>
      </c>
      <c r="C596" s="1731">
        <f t="shared" si="50"/>
        <v>1591.2000000000214</v>
      </c>
      <c r="D596" s="1672">
        <f t="shared" si="49"/>
        <v>2227.6799999999998</v>
      </c>
      <c r="E596" s="1670"/>
      <c r="F596" s="1732">
        <f t="shared" si="51"/>
        <v>999.95000000001551</v>
      </c>
      <c r="G596" s="1672">
        <f t="shared" si="48"/>
        <v>1399.93</v>
      </c>
      <c r="H596" s="1670"/>
      <c r="I596" s="1670"/>
    </row>
    <row r="597" spans="1:9" ht="15.75">
      <c r="A597" s="1622"/>
      <c r="B597" s="1691">
        <f t="shared" si="52"/>
        <v>593</v>
      </c>
      <c r="C597" s="1731">
        <f t="shared" si="50"/>
        <v>1593.8900000000215</v>
      </c>
      <c r="D597" s="1672">
        <f t="shared" si="49"/>
        <v>2231.4499999999998</v>
      </c>
      <c r="E597" s="1670"/>
      <c r="F597" s="1732">
        <f t="shared" si="51"/>
        <v>1001.6400000000156</v>
      </c>
      <c r="G597" s="1672">
        <f t="shared" si="48"/>
        <v>1402.3</v>
      </c>
      <c r="H597" s="1670"/>
      <c r="I597" s="1670"/>
    </row>
    <row r="598" spans="1:9" ht="15.75">
      <c r="A598" s="1622"/>
      <c r="B598" s="1691">
        <f t="shared" si="52"/>
        <v>594</v>
      </c>
      <c r="C598" s="1731">
        <f t="shared" si="50"/>
        <v>1596.5800000000215</v>
      </c>
      <c r="D598" s="1672">
        <f t="shared" si="49"/>
        <v>2235.21</v>
      </c>
      <c r="E598" s="1670"/>
      <c r="F598" s="1732">
        <f t="shared" si="51"/>
        <v>1003.3300000000156</v>
      </c>
      <c r="G598" s="1672">
        <f t="shared" si="48"/>
        <v>1404.66</v>
      </c>
      <c r="H598" s="1670"/>
      <c r="I598" s="1670"/>
    </row>
    <row r="599" spans="1:9" ht="15.75">
      <c r="A599" s="1622"/>
      <c r="B599" s="1691">
        <f t="shared" si="52"/>
        <v>595</v>
      </c>
      <c r="C599" s="1731">
        <f t="shared" si="50"/>
        <v>1599.2700000000216</v>
      </c>
      <c r="D599" s="1672">
        <f t="shared" si="49"/>
        <v>2238.98</v>
      </c>
      <c r="E599" s="1670"/>
      <c r="F599" s="1732">
        <f t="shared" si="51"/>
        <v>1005.0200000000157</v>
      </c>
      <c r="G599" s="1672">
        <f t="shared" si="48"/>
        <v>1407.03</v>
      </c>
      <c r="H599" s="1670"/>
      <c r="I599" s="1670"/>
    </row>
    <row r="600" spans="1:9" ht="15.75">
      <c r="A600" s="1622"/>
      <c r="B600" s="1691">
        <f t="shared" si="52"/>
        <v>596</v>
      </c>
      <c r="C600" s="1731">
        <f t="shared" si="50"/>
        <v>1601.9600000000216</v>
      </c>
      <c r="D600" s="1672">
        <f t="shared" si="49"/>
        <v>2242.7399999999998</v>
      </c>
      <c r="E600" s="1670"/>
      <c r="F600" s="1732">
        <f t="shared" si="51"/>
        <v>1006.7100000000157</v>
      </c>
      <c r="G600" s="1672">
        <f t="shared" si="48"/>
        <v>1409.39</v>
      </c>
      <c r="H600" s="1670"/>
      <c r="I600" s="1670"/>
    </row>
    <row r="601" spans="1:9" ht="15.75">
      <c r="A601" s="1622"/>
      <c r="B601" s="1691">
        <f t="shared" si="52"/>
        <v>597</v>
      </c>
      <c r="C601" s="1731">
        <f t="shared" si="50"/>
        <v>1604.6500000000217</v>
      </c>
      <c r="D601" s="1672">
        <f t="shared" si="49"/>
        <v>2246.5100000000002</v>
      </c>
      <c r="E601" s="1670"/>
      <c r="F601" s="1732">
        <f t="shared" si="51"/>
        <v>1008.4000000000158</v>
      </c>
      <c r="G601" s="1672">
        <f t="shared" si="48"/>
        <v>1411.76</v>
      </c>
      <c r="H601" s="1670"/>
      <c r="I601" s="1670"/>
    </row>
    <row r="602" spans="1:9" ht="15.75">
      <c r="A602" s="1622"/>
      <c r="B602" s="1691">
        <f t="shared" si="52"/>
        <v>598</v>
      </c>
      <c r="C602" s="1731">
        <f t="shared" si="50"/>
        <v>1607.3400000000217</v>
      </c>
      <c r="D602" s="1672">
        <f t="shared" si="49"/>
        <v>2250.2800000000002</v>
      </c>
      <c r="E602" s="1670"/>
      <c r="F602" s="1732">
        <f t="shared" si="51"/>
        <v>1010.0900000000158</v>
      </c>
      <c r="G602" s="1672">
        <f t="shared" si="48"/>
        <v>1414.13</v>
      </c>
      <c r="H602" s="1670"/>
      <c r="I602" s="1670"/>
    </row>
    <row r="603" spans="1:9" ht="15.75">
      <c r="A603" s="1622"/>
      <c r="B603" s="1691">
        <f t="shared" si="52"/>
        <v>599</v>
      </c>
      <c r="C603" s="1731">
        <f t="shared" si="50"/>
        <v>1610.0300000000218</v>
      </c>
      <c r="D603" s="1672">
        <f t="shared" si="49"/>
        <v>2254.04</v>
      </c>
      <c r="E603" s="1670"/>
      <c r="F603" s="1732">
        <f t="shared" si="51"/>
        <v>1011.7800000000159</v>
      </c>
      <c r="G603" s="1672">
        <f t="shared" si="48"/>
        <v>1416.49</v>
      </c>
      <c r="H603" s="1670"/>
      <c r="I603" s="1670"/>
    </row>
    <row r="604" spans="1:9" ht="15.75">
      <c r="A604" s="1622"/>
      <c r="B604" s="1691">
        <f t="shared" si="52"/>
        <v>600</v>
      </c>
      <c r="C604" s="1731">
        <f t="shared" si="50"/>
        <v>1612.7200000000219</v>
      </c>
      <c r="D604" s="1672">
        <f t="shared" si="49"/>
        <v>2257.81</v>
      </c>
      <c r="E604" s="1670"/>
      <c r="F604" s="1732">
        <f t="shared" si="51"/>
        <v>1013.4700000000159</v>
      </c>
      <c r="G604" s="1672">
        <f t="shared" si="48"/>
        <v>1418.86</v>
      </c>
      <c r="H604" s="1670"/>
      <c r="I604" s="1670"/>
    </row>
    <row r="605" spans="1:9" ht="15.75">
      <c r="A605" s="1622"/>
      <c r="B605" s="1691">
        <f t="shared" si="52"/>
        <v>601</v>
      </c>
      <c r="C605" s="1731">
        <f t="shared" si="50"/>
        <v>1615.4100000000219</v>
      </c>
      <c r="D605" s="1672">
        <f t="shared" si="49"/>
        <v>2261.5700000000002</v>
      </c>
      <c r="E605" s="1670"/>
      <c r="F605" s="1732">
        <f t="shared" si="51"/>
        <v>1015.160000000016</v>
      </c>
      <c r="G605" s="1672">
        <f t="shared" si="48"/>
        <v>1421.22</v>
      </c>
      <c r="H605" s="1670"/>
      <c r="I605" s="1670"/>
    </row>
    <row r="606" spans="1:9" ht="15.75">
      <c r="A606" s="1622"/>
      <c r="B606" s="1691">
        <f t="shared" si="52"/>
        <v>602</v>
      </c>
      <c r="C606" s="1731">
        <f t="shared" si="50"/>
        <v>1618.100000000022</v>
      </c>
      <c r="D606" s="1672">
        <f t="shared" si="49"/>
        <v>2265.34</v>
      </c>
      <c r="E606" s="1670"/>
      <c r="F606" s="1732">
        <f t="shared" si="51"/>
        <v>1016.8500000000161</v>
      </c>
      <c r="G606" s="1672">
        <f t="shared" si="48"/>
        <v>1423.59</v>
      </c>
      <c r="H606" s="1670"/>
      <c r="I606" s="1670"/>
    </row>
    <row r="607" spans="1:9" ht="15.75">
      <c r="A607" s="1622"/>
      <c r="B607" s="1691">
        <f t="shared" si="52"/>
        <v>603</v>
      </c>
      <c r="C607" s="1731">
        <f t="shared" si="50"/>
        <v>1620.790000000022</v>
      </c>
      <c r="D607" s="1672">
        <f t="shared" si="49"/>
        <v>2269.11</v>
      </c>
      <c r="E607" s="1670"/>
      <c r="F607" s="1732">
        <f t="shared" si="51"/>
        <v>1018.5400000000161</v>
      </c>
      <c r="G607" s="1672">
        <f t="shared" si="48"/>
        <v>1425.96</v>
      </c>
      <c r="H607" s="1670"/>
      <c r="I607" s="1670"/>
    </row>
    <row r="608" spans="1:9" ht="15.75">
      <c r="A608" s="1622"/>
      <c r="B608" s="1691">
        <f t="shared" si="52"/>
        <v>604</v>
      </c>
      <c r="C608" s="1731">
        <f t="shared" si="50"/>
        <v>1623.4800000000221</v>
      </c>
      <c r="D608" s="1672">
        <f t="shared" si="49"/>
        <v>2272.87</v>
      </c>
      <c r="E608" s="1670"/>
      <c r="F608" s="1732">
        <f t="shared" si="51"/>
        <v>1020.2300000000162</v>
      </c>
      <c r="G608" s="1672">
        <f t="shared" si="48"/>
        <v>1428.32</v>
      </c>
      <c r="H608" s="1670"/>
      <c r="I608" s="1670"/>
    </row>
    <row r="609" spans="1:9" ht="15.75">
      <c r="A609" s="1622"/>
      <c r="B609" s="1691">
        <f t="shared" si="52"/>
        <v>605</v>
      </c>
      <c r="C609" s="1731">
        <f t="shared" si="50"/>
        <v>1626.1700000000221</v>
      </c>
      <c r="D609" s="1672">
        <f t="shared" si="49"/>
        <v>2276.64</v>
      </c>
      <c r="E609" s="1670"/>
      <c r="F609" s="1732">
        <f t="shared" si="51"/>
        <v>1021.9200000000162</v>
      </c>
      <c r="G609" s="1672">
        <f t="shared" si="48"/>
        <v>1430.69</v>
      </c>
      <c r="H609" s="1670"/>
      <c r="I609" s="1670"/>
    </row>
    <row r="610" spans="1:9" ht="15.75">
      <c r="A610" s="1622"/>
      <c r="B610" s="1691">
        <f t="shared" si="52"/>
        <v>606</v>
      </c>
      <c r="C610" s="1731">
        <f t="shared" si="50"/>
        <v>1628.8600000000222</v>
      </c>
      <c r="D610" s="1672">
        <f t="shared" si="49"/>
        <v>2280.4</v>
      </c>
      <c r="E610" s="1670"/>
      <c r="F610" s="1732">
        <f t="shared" si="51"/>
        <v>1023.6100000000163</v>
      </c>
      <c r="G610" s="1672">
        <f t="shared" si="48"/>
        <v>1433.05</v>
      </c>
      <c r="H610" s="1670"/>
      <c r="I610" s="1670"/>
    </row>
    <row r="611" spans="1:9" ht="15.75">
      <c r="A611" s="1622"/>
      <c r="B611" s="1691">
        <f t="shared" si="52"/>
        <v>607</v>
      </c>
      <c r="C611" s="1731">
        <f t="shared" si="50"/>
        <v>1631.5500000000222</v>
      </c>
      <c r="D611" s="1672">
        <f t="shared" si="49"/>
        <v>2284.17</v>
      </c>
      <c r="E611" s="1670"/>
      <c r="F611" s="1732">
        <f t="shared" si="51"/>
        <v>1025.3000000000163</v>
      </c>
      <c r="G611" s="1672">
        <f t="shared" si="48"/>
        <v>1435.42</v>
      </c>
      <c r="H611" s="1670"/>
      <c r="I611" s="1670"/>
    </row>
    <row r="612" spans="1:9" ht="15.75">
      <c r="A612" s="1622"/>
      <c r="B612" s="1691">
        <f t="shared" si="52"/>
        <v>608</v>
      </c>
      <c r="C612" s="1731">
        <f t="shared" si="50"/>
        <v>1634.2400000000223</v>
      </c>
      <c r="D612" s="1672">
        <f t="shared" si="49"/>
        <v>2287.94</v>
      </c>
      <c r="E612" s="1670"/>
      <c r="F612" s="1732">
        <f t="shared" si="51"/>
        <v>1026.9900000000164</v>
      </c>
      <c r="G612" s="1672">
        <f t="shared" si="48"/>
        <v>1437.79</v>
      </c>
      <c r="H612" s="1670"/>
      <c r="I612" s="1670"/>
    </row>
    <row r="613" spans="1:9" ht="15.75">
      <c r="A613" s="1622"/>
      <c r="B613" s="1691">
        <f t="shared" si="52"/>
        <v>609</v>
      </c>
      <c r="C613" s="1731">
        <f t="shared" si="50"/>
        <v>1636.9300000000223</v>
      </c>
      <c r="D613" s="1672">
        <f t="shared" si="49"/>
        <v>2291.6999999999998</v>
      </c>
      <c r="E613" s="1670"/>
      <c r="F613" s="1732">
        <f t="shared" si="51"/>
        <v>1028.6800000000164</v>
      </c>
      <c r="G613" s="1672">
        <f t="shared" si="48"/>
        <v>1440.15</v>
      </c>
      <c r="H613" s="1670"/>
      <c r="I613" s="1670"/>
    </row>
    <row r="614" spans="1:9" ht="15.75">
      <c r="A614" s="1622"/>
      <c r="B614" s="1691">
        <f t="shared" si="52"/>
        <v>610</v>
      </c>
      <c r="C614" s="1731">
        <f t="shared" si="50"/>
        <v>1639.6200000000224</v>
      </c>
      <c r="D614" s="1672">
        <f t="shared" si="49"/>
        <v>2295.4699999999998</v>
      </c>
      <c r="E614" s="1670"/>
      <c r="F614" s="1732">
        <f t="shared" si="51"/>
        <v>1030.3700000000165</v>
      </c>
      <c r="G614" s="1672">
        <f t="shared" si="48"/>
        <v>1442.52</v>
      </c>
      <c r="H614" s="1670"/>
      <c r="I614" s="1670"/>
    </row>
    <row r="615" spans="1:9" ht="15.75">
      <c r="A615" s="1622"/>
      <c r="B615" s="1691">
        <f t="shared" si="52"/>
        <v>611</v>
      </c>
      <c r="C615" s="1731">
        <f t="shared" si="50"/>
        <v>1642.3100000000225</v>
      </c>
      <c r="D615" s="1672">
        <f t="shared" si="49"/>
        <v>2299.23</v>
      </c>
      <c r="E615" s="1670"/>
      <c r="F615" s="1732">
        <f t="shared" si="51"/>
        <v>1032.0600000000165</v>
      </c>
      <c r="G615" s="1672">
        <f t="shared" si="48"/>
        <v>1444.88</v>
      </c>
      <c r="H615" s="1670"/>
      <c r="I615" s="1670"/>
    </row>
    <row r="616" spans="1:9" ht="15.75">
      <c r="A616" s="1622"/>
      <c r="B616" s="1691">
        <f t="shared" si="52"/>
        <v>612</v>
      </c>
      <c r="C616" s="1731">
        <f t="shared" si="50"/>
        <v>1645.0000000000225</v>
      </c>
      <c r="D616" s="1672">
        <f t="shared" si="49"/>
        <v>2303</v>
      </c>
      <c r="E616" s="1670"/>
      <c r="F616" s="1732">
        <f t="shared" si="51"/>
        <v>1033.7500000000166</v>
      </c>
      <c r="G616" s="1672">
        <f t="shared" si="48"/>
        <v>1447.25</v>
      </c>
      <c r="H616" s="1670"/>
      <c r="I616" s="1670"/>
    </row>
    <row r="617" spans="1:9" ht="15.75">
      <c r="A617" s="1622"/>
      <c r="B617" s="1691">
        <f t="shared" si="52"/>
        <v>613</v>
      </c>
      <c r="C617" s="1731">
        <f t="shared" si="50"/>
        <v>1647.6900000000226</v>
      </c>
      <c r="D617" s="1672">
        <f t="shared" si="49"/>
        <v>2306.77</v>
      </c>
      <c r="E617" s="1670"/>
      <c r="F617" s="1732">
        <f t="shared" si="51"/>
        <v>1035.4400000000167</v>
      </c>
      <c r="G617" s="1672">
        <f t="shared" si="48"/>
        <v>1449.62</v>
      </c>
      <c r="H617" s="1670"/>
      <c r="I617" s="1670"/>
    </row>
    <row r="618" spans="1:9" ht="15.75">
      <c r="A618" s="1622"/>
      <c r="B618" s="1691">
        <f t="shared" si="52"/>
        <v>614</v>
      </c>
      <c r="C618" s="1731">
        <f t="shared" si="50"/>
        <v>1650.3800000000226</v>
      </c>
      <c r="D618" s="1672">
        <f t="shared" si="49"/>
        <v>2310.5300000000002</v>
      </c>
      <c r="E618" s="1670"/>
      <c r="F618" s="1732">
        <f t="shared" si="51"/>
        <v>1037.1300000000167</v>
      </c>
      <c r="G618" s="1672">
        <f t="shared" si="48"/>
        <v>1451.98</v>
      </c>
      <c r="H618" s="1670"/>
      <c r="I618" s="1670"/>
    </row>
    <row r="619" spans="1:9" ht="15.75">
      <c r="A619" s="1622"/>
      <c r="B619" s="1691">
        <f t="shared" si="52"/>
        <v>615</v>
      </c>
      <c r="C619" s="1731">
        <f t="shared" si="50"/>
        <v>1653.0700000000227</v>
      </c>
      <c r="D619" s="1672">
        <f t="shared" si="49"/>
        <v>2314.3000000000002</v>
      </c>
      <c r="E619" s="1670"/>
      <c r="F619" s="1732">
        <f t="shared" si="51"/>
        <v>1038.8200000000168</v>
      </c>
      <c r="G619" s="1672">
        <f t="shared" si="48"/>
        <v>1454.35</v>
      </c>
      <c r="H619" s="1670"/>
      <c r="I619" s="1670"/>
    </row>
    <row r="620" spans="1:9" ht="15.75">
      <c r="A620" s="1622"/>
      <c r="B620" s="1691">
        <f t="shared" si="52"/>
        <v>616</v>
      </c>
      <c r="C620" s="1731">
        <f t="shared" si="50"/>
        <v>1655.7600000000227</v>
      </c>
      <c r="D620" s="1672">
        <f t="shared" si="49"/>
        <v>2318.06</v>
      </c>
      <c r="E620" s="1670"/>
      <c r="F620" s="1732">
        <f t="shared" si="51"/>
        <v>1040.5100000000168</v>
      </c>
      <c r="G620" s="1672">
        <f t="shared" si="48"/>
        <v>1456.71</v>
      </c>
      <c r="H620" s="1670"/>
      <c r="I620" s="1670"/>
    </row>
    <row r="621" spans="1:9" ht="15.75">
      <c r="A621" s="1622"/>
      <c r="B621" s="1691">
        <f t="shared" si="52"/>
        <v>617</v>
      </c>
      <c r="C621" s="1731">
        <f t="shared" si="50"/>
        <v>1658.4500000000228</v>
      </c>
      <c r="D621" s="1672">
        <f t="shared" si="49"/>
        <v>2321.83</v>
      </c>
      <c r="E621" s="1670"/>
      <c r="F621" s="1732">
        <f t="shared" si="51"/>
        <v>1042.2000000000169</v>
      </c>
      <c r="G621" s="1672">
        <f t="shared" si="48"/>
        <v>1459.08</v>
      </c>
      <c r="H621" s="1670"/>
      <c r="I621" s="1670"/>
    </row>
    <row r="622" spans="1:9" ht="15.75">
      <c r="A622" s="1622"/>
      <c r="B622" s="1691">
        <f t="shared" si="52"/>
        <v>618</v>
      </c>
      <c r="C622" s="1731">
        <f t="shared" si="50"/>
        <v>1661.1400000000228</v>
      </c>
      <c r="D622" s="1672">
        <f t="shared" si="49"/>
        <v>2325.6</v>
      </c>
      <c r="E622" s="1670"/>
      <c r="F622" s="1732">
        <f t="shared" si="51"/>
        <v>1043.8900000000169</v>
      </c>
      <c r="G622" s="1672">
        <f t="shared" si="48"/>
        <v>1461.45</v>
      </c>
      <c r="H622" s="1670"/>
      <c r="I622" s="1670"/>
    </row>
    <row r="623" spans="1:9" ht="15.75">
      <c r="A623" s="1622"/>
      <c r="B623" s="1691">
        <f t="shared" si="52"/>
        <v>619</v>
      </c>
      <c r="C623" s="1731">
        <f t="shared" si="50"/>
        <v>1663.8300000000229</v>
      </c>
      <c r="D623" s="1672">
        <f t="shared" si="49"/>
        <v>2329.36</v>
      </c>
      <c r="E623" s="1670"/>
      <c r="F623" s="1732">
        <f t="shared" si="51"/>
        <v>1045.580000000017</v>
      </c>
      <c r="G623" s="1672">
        <f t="shared" si="48"/>
        <v>1463.81</v>
      </c>
      <c r="H623" s="1670"/>
      <c r="I623" s="1670"/>
    </row>
    <row r="624" spans="1:9" ht="15.75">
      <c r="A624" s="1622"/>
      <c r="B624" s="1691">
        <f t="shared" si="52"/>
        <v>620</v>
      </c>
      <c r="C624" s="1731">
        <f t="shared" si="50"/>
        <v>1666.5200000000229</v>
      </c>
      <c r="D624" s="1672">
        <f t="shared" si="49"/>
        <v>2333.13</v>
      </c>
      <c r="E624" s="1670"/>
      <c r="F624" s="1732">
        <f t="shared" si="51"/>
        <v>1047.270000000017</v>
      </c>
      <c r="G624" s="1672">
        <f t="shared" si="48"/>
        <v>1466.18</v>
      </c>
      <c r="H624" s="1670"/>
      <c r="I624" s="1670"/>
    </row>
    <row r="625" spans="1:9" ht="15.75">
      <c r="A625" s="1622"/>
      <c r="B625" s="1691">
        <f t="shared" si="52"/>
        <v>621</v>
      </c>
      <c r="C625" s="1731">
        <f t="shared" si="50"/>
        <v>1669.210000000023</v>
      </c>
      <c r="D625" s="1672">
        <f t="shared" si="49"/>
        <v>2336.89</v>
      </c>
      <c r="E625" s="1670"/>
      <c r="F625" s="1732">
        <f t="shared" si="51"/>
        <v>1048.9600000000171</v>
      </c>
      <c r="G625" s="1672">
        <f t="shared" si="48"/>
        <v>1468.54</v>
      </c>
      <c r="H625" s="1670"/>
      <c r="I625" s="1670"/>
    </row>
    <row r="626" spans="1:9" ht="15.75">
      <c r="A626" s="1622"/>
      <c r="B626" s="1691">
        <f t="shared" si="52"/>
        <v>622</v>
      </c>
      <c r="C626" s="1731">
        <f t="shared" si="50"/>
        <v>1671.9000000000231</v>
      </c>
      <c r="D626" s="1672">
        <f t="shared" si="49"/>
        <v>2340.66</v>
      </c>
      <c r="E626" s="1670"/>
      <c r="F626" s="1732">
        <f t="shared" si="51"/>
        <v>1050.6500000000171</v>
      </c>
      <c r="G626" s="1672">
        <f t="shared" si="48"/>
        <v>1470.91</v>
      </c>
      <c r="H626" s="1670"/>
      <c r="I626" s="1670"/>
    </row>
    <row r="627" spans="1:9" ht="15.75">
      <c r="A627" s="1622"/>
      <c r="B627" s="1691">
        <f t="shared" si="52"/>
        <v>623</v>
      </c>
      <c r="C627" s="1731">
        <f t="shared" si="50"/>
        <v>1674.5900000000231</v>
      </c>
      <c r="D627" s="1672">
        <f t="shared" si="49"/>
        <v>2344.4299999999998</v>
      </c>
      <c r="E627" s="1670"/>
      <c r="F627" s="1732">
        <f t="shared" si="51"/>
        <v>1052.3400000000172</v>
      </c>
      <c r="G627" s="1672">
        <f t="shared" si="48"/>
        <v>1473.28</v>
      </c>
      <c r="H627" s="1670"/>
      <c r="I627" s="1670"/>
    </row>
    <row r="628" spans="1:9" ht="15.75">
      <c r="A628" s="1622"/>
      <c r="B628" s="1691">
        <f t="shared" si="52"/>
        <v>624</v>
      </c>
      <c r="C628" s="1731">
        <f t="shared" si="50"/>
        <v>1677.2800000000232</v>
      </c>
      <c r="D628" s="1672">
        <f t="shared" si="49"/>
        <v>2348.19</v>
      </c>
      <c r="E628" s="1670"/>
      <c r="F628" s="1732">
        <f t="shared" si="51"/>
        <v>1054.0300000000173</v>
      </c>
      <c r="G628" s="1672">
        <f t="shared" si="48"/>
        <v>1475.64</v>
      </c>
      <c r="H628" s="1670"/>
      <c r="I628" s="1670"/>
    </row>
    <row r="629" spans="1:9" ht="15.75">
      <c r="A629" s="1622"/>
      <c r="B629" s="1691">
        <f t="shared" si="52"/>
        <v>625</v>
      </c>
      <c r="C629" s="1731">
        <f t="shared" si="50"/>
        <v>1679.9700000000232</v>
      </c>
      <c r="D629" s="1672">
        <f t="shared" si="49"/>
        <v>2351.96</v>
      </c>
      <c r="E629" s="1670"/>
      <c r="F629" s="1732">
        <f t="shared" si="51"/>
        <v>1055.7200000000173</v>
      </c>
      <c r="G629" s="1672">
        <f t="shared" si="48"/>
        <v>1478.01</v>
      </c>
      <c r="H629" s="1670"/>
      <c r="I629" s="1670"/>
    </row>
    <row r="630" spans="1:9" ht="15.75">
      <c r="A630" s="1622"/>
      <c r="B630" s="1691">
        <f t="shared" si="52"/>
        <v>626</v>
      </c>
      <c r="C630" s="1731">
        <f t="shared" si="50"/>
        <v>1682.6600000000233</v>
      </c>
      <c r="D630" s="1672">
        <f t="shared" si="49"/>
        <v>2355.7199999999998</v>
      </c>
      <c r="E630" s="1670"/>
      <c r="F630" s="1732">
        <f t="shared" si="51"/>
        <v>1057.4100000000174</v>
      </c>
      <c r="G630" s="1672">
        <f t="shared" si="48"/>
        <v>1480.37</v>
      </c>
      <c r="H630" s="1670"/>
      <c r="I630" s="1670"/>
    </row>
    <row r="631" spans="1:9" ht="15.75">
      <c r="A631" s="1622"/>
      <c r="B631" s="1691">
        <f t="shared" si="52"/>
        <v>627</v>
      </c>
      <c r="C631" s="1731">
        <f t="shared" si="50"/>
        <v>1685.3500000000233</v>
      </c>
      <c r="D631" s="1672">
        <f t="shared" si="49"/>
        <v>2359.4899999999998</v>
      </c>
      <c r="E631" s="1670"/>
      <c r="F631" s="1732">
        <f t="shared" si="51"/>
        <v>1059.1000000000174</v>
      </c>
      <c r="G631" s="1672">
        <f t="shared" si="48"/>
        <v>1482.74</v>
      </c>
      <c r="H631" s="1670"/>
      <c r="I631" s="1670"/>
    </row>
    <row r="632" spans="1:9" ht="15.75">
      <c r="A632" s="1622"/>
      <c r="B632" s="1691">
        <f t="shared" si="52"/>
        <v>628</v>
      </c>
      <c r="C632" s="1731">
        <f t="shared" si="50"/>
        <v>1688.0400000000234</v>
      </c>
      <c r="D632" s="1672">
        <f t="shared" si="49"/>
        <v>2363.2600000000002</v>
      </c>
      <c r="E632" s="1670"/>
      <c r="F632" s="1732">
        <f t="shared" si="51"/>
        <v>1060.7900000000175</v>
      </c>
      <c r="G632" s="1672">
        <f t="shared" si="48"/>
        <v>1485.11</v>
      </c>
      <c r="H632" s="1670"/>
      <c r="I632" s="1670"/>
    </row>
    <row r="633" spans="1:9" ht="15.75">
      <c r="A633" s="1622"/>
      <c r="B633" s="1691">
        <f t="shared" si="52"/>
        <v>629</v>
      </c>
      <c r="C633" s="1731">
        <f t="shared" si="50"/>
        <v>1690.7300000000234</v>
      </c>
      <c r="D633" s="1672">
        <f t="shared" si="49"/>
        <v>2367.02</v>
      </c>
      <c r="E633" s="1670"/>
      <c r="F633" s="1732">
        <f t="shared" si="51"/>
        <v>1062.4800000000175</v>
      </c>
      <c r="G633" s="1672">
        <f t="shared" si="48"/>
        <v>1487.47</v>
      </c>
      <c r="H633" s="1670"/>
      <c r="I633" s="1670"/>
    </row>
    <row r="634" spans="1:9" ht="15.75">
      <c r="A634" s="1622"/>
      <c r="B634" s="1691">
        <f t="shared" si="52"/>
        <v>630</v>
      </c>
      <c r="C634" s="1731">
        <f t="shared" si="50"/>
        <v>1693.4200000000235</v>
      </c>
      <c r="D634" s="1672">
        <f t="shared" si="49"/>
        <v>2370.79</v>
      </c>
      <c r="E634" s="1670"/>
      <c r="F634" s="1732">
        <f t="shared" si="51"/>
        <v>1064.1700000000176</v>
      </c>
      <c r="G634" s="1672">
        <f t="shared" si="48"/>
        <v>1489.84</v>
      </c>
      <c r="H634" s="1670"/>
      <c r="I634" s="1670"/>
    </row>
    <row r="635" spans="1:9" ht="15.75">
      <c r="A635" s="1622"/>
      <c r="B635" s="1691">
        <f t="shared" si="52"/>
        <v>631</v>
      </c>
      <c r="C635" s="1731">
        <f t="shared" si="50"/>
        <v>1696.1100000000235</v>
      </c>
      <c r="D635" s="1672">
        <f t="shared" si="49"/>
        <v>2374.5500000000002</v>
      </c>
      <c r="E635" s="1670"/>
      <c r="F635" s="1732">
        <f t="shared" si="51"/>
        <v>1065.8600000000176</v>
      </c>
      <c r="G635" s="1672">
        <f t="shared" si="48"/>
        <v>1492.2</v>
      </c>
      <c r="H635" s="1670"/>
      <c r="I635" s="1670"/>
    </row>
    <row r="636" spans="1:9" ht="15.75">
      <c r="A636" s="1622"/>
      <c r="B636" s="1691">
        <f t="shared" si="52"/>
        <v>632</v>
      </c>
      <c r="C636" s="1731">
        <f t="shared" si="50"/>
        <v>1698.8000000000236</v>
      </c>
      <c r="D636" s="1672">
        <f t="shared" si="49"/>
        <v>2378.3200000000002</v>
      </c>
      <c r="E636" s="1670"/>
      <c r="F636" s="1732">
        <f t="shared" si="51"/>
        <v>1067.5500000000177</v>
      </c>
      <c r="G636" s="1672">
        <f t="shared" si="48"/>
        <v>1494.57</v>
      </c>
      <c r="H636" s="1670"/>
      <c r="I636" s="1670"/>
    </row>
    <row r="637" spans="1:9" ht="15.75">
      <c r="A637" s="1622"/>
      <c r="B637" s="1691">
        <f t="shared" si="52"/>
        <v>633</v>
      </c>
      <c r="C637" s="1731">
        <f t="shared" si="50"/>
        <v>1701.4900000000237</v>
      </c>
      <c r="D637" s="1672">
        <f t="shared" si="49"/>
        <v>2382.09</v>
      </c>
      <c r="E637" s="1670"/>
      <c r="F637" s="1732">
        <f t="shared" si="51"/>
        <v>1069.2400000000177</v>
      </c>
      <c r="G637" s="1672">
        <f t="shared" si="48"/>
        <v>1496.94</v>
      </c>
      <c r="H637" s="1670"/>
      <c r="I637" s="1670"/>
    </row>
    <row r="638" spans="1:9" ht="15.75">
      <c r="A638" s="1622"/>
      <c r="B638" s="1691">
        <f t="shared" si="52"/>
        <v>634</v>
      </c>
      <c r="C638" s="1731">
        <f t="shared" si="50"/>
        <v>1704.1800000000237</v>
      </c>
      <c r="D638" s="1672">
        <f t="shared" si="49"/>
        <v>2385.85</v>
      </c>
      <c r="E638" s="1670"/>
      <c r="F638" s="1732">
        <f t="shared" si="51"/>
        <v>1070.9300000000178</v>
      </c>
      <c r="G638" s="1672">
        <f t="shared" si="48"/>
        <v>1499.3</v>
      </c>
      <c r="H638" s="1670"/>
      <c r="I638" s="1670"/>
    </row>
    <row r="639" spans="1:9" ht="15.75">
      <c r="A639" s="1622"/>
      <c r="B639" s="1691">
        <f t="shared" si="52"/>
        <v>635</v>
      </c>
      <c r="C639" s="1731">
        <f t="shared" si="50"/>
        <v>1706.8700000000238</v>
      </c>
      <c r="D639" s="1672">
        <f t="shared" si="49"/>
        <v>2389.62</v>
      </c>
      <c r="E639" s="1670"/>
      <c r="F639" s="1732">
        <f t="shared" si="51"/>
        <v>1072.6200000000179</v>
      </c>
      <c r="G639" s="1672">
        <f t="shared" si="48"/>
        <v>1501.67</v>
      </c>
      <c r="H639" s="1670"/>
      <c r="I639" s="1670"/>
    </row>
    <row r="640" spans="1:9" ht="15.75">
      <c r="A640" s="1622"/>
      <c r="B640" s="1691">
        <f t="shared" si="52"/>
        <v>636</v>
      </c>
      <c r="C640" s="1731">
        <f t="shared" si="50"/>
        <v>1709.5600000000238</v>
      </c>
      <c r="D640" s="1672">
        <f t="shared" si="49"/>
        <v>2393.38</v>
      </c>
      <c r="E640" s="1670"/>
      <c r="F640" s="1732">
        <f t="shared" si="51"/>
        <v>1074.3100000000179</v>
      </c>
      <c r="G640" s="1672">
        <f t="shared" si="48"/>
        <v>1504.03</v>
      </c>
      <c r="H640" s="1670"/>
      <c r="I640" s="1670"/>
    </row>
    <row r="641" spans="1:9" ht="15.75">
      <c r="A641" s="1622"/>
      <c r="B641" s="1691">
        <f t="shared" si="52"/>
        <v>637</v>
      </c>
      <c r="C641" s="1731">
        <f t="shared" si="50"/>
        <v>1712.2500000000239</v>
      </c>
      <c r="D641" s="1672">
        <f t="shared" si="49"/>
        <v>2397.15</v>
      </c>
      <c r="E641" s="1670"/>
      <c r="F641" s="1732">
        <f t="shared" si="51"/>
        <v>1076.000000000018</v>
      </c>
      <c r="G641" s="1672">
        <f t="shared" si="48"/>
        <v>1506.4</v>
      </c>
      <c r="H641" s="1670"/>
      <c r="I641" s="1670"/>
    </row>
    <row r="642" spans="1:9" ht="15.75">
      <c r="A642" s="1622"/>
      <c r="B642" s="1691">
        <f t="shared" si="52"/>
        <v>638</v>
      </c>
      <c r="C642" s="1731">
        <f t="shared" si="50"/>
        <v>1714.9400000000239</v>
      </c>
      <c r="D642" s="1672">
        <f t="shared" si="49"/>
        <v>2400.92</v>
      </c>
      <c r="E642" s="1670"/>
      <c r="F642" s="1732">
        <f t="shared" si="51"/>
        <v>1077.690000000018</v>
      </c>
      <c r="G642" s="1672">
        <f t="shared" si="48"/>
        <v>1508.77</v>
      </c>
      <c r="H642" s="1670"/>
      <c r="I642" s="1670"/>
    </row>
    <row r="643" spans="1:9" ht="15.75">
      <c r="A643" s="1622"/>
      <c r="B643" s="1691">
        <f t="shared" si="52"/>
        <v>639</v>
      </c>
      <c r="C643" s="1731">
        <f t="shared" si="50"/>
        <v>1717.630000000024</v>
      </c>
      <c r="D643" s="1672">
        <f t="shared" si="49"/>
        <v>2404.6799999999998</v>
      </c>
      <c r="E643" s="1670"/>
      <c r="F643" s="1732">
        <f t="shared" si="51"/>
        <v>1079.3800000000181</v>
      </c>
      <c r="G643" s="1672">
        <f t="shared" si="48"/>
        <v>1511.13</v>
      </c>
      <c r="H643" s="1670"/>
      <c r="I643" s="1670"/>
    </row>
    <row r="644" spans="1:9" ht="15.75">
      <c r="A644" s="1622"/>
      <c r="B644" s="1691">
        <f t="shared" si="52"/>
        <v>640</v>
      </c>
      <c r="C644" s="1731">
        <f t="shared" si="50"/>
        <v>1720.320000000024</v>
      </c>
      <c r="D644" s="1672">
        <f t="shared" si="49"/>
        <v>2408.4499999999998</v>
      </c>
      <c r="E644" s="1670"/>
      <c r="F644" s="1732">
        <f t="shared" si="51"/>
        <v>1081.0700000000181</v>
      </c>
      <c r="G644" s="1672">
        <f t="shared" si="48"/>
        <v>1513.5</v>
      </c>
      <c r="H644" s="1670"/>
      <c r="I644" s="1670"/>
    </row>
    <row r="645" spans="1:9" ht="15.75">
      <c r="A645" s="1622"/>
      <c r="B645" s="1691">
        <f t="shared" si="52"/>
        <v>641</v>
      </c>
      <c r="C645" s="1731">
        <f t="shared" si="50"/>
        <v>1723.0100000000241</v>
      </c>
      <c r="D645" s="1672">
        <f t="shared" si="49"/>
        <v>2412.21</v>
      </c>
      <c r="E645" s="1670"/>
      <c r="F645" s="1732">
        <f t="shared" si="51"/>
        <v>1082.7600000000182</v>
      </c>
      <c r="G645" s="1672">
        <f t="shared" ref="G645:G708" si="53">ROUND(F645*1.4,2)</f>
        <v>1515.86</v>
      </c>
      <c r="H645" s="1670"/>
      <c r="I645" s="1670"/>
    </row>
    <row r="646" spans="1:9" ht="15.75">
      <c r="A646" s="1622"/>
      <c r="B646" s="1691">
        <f t="shared" si="52"/>
        <v>642</v>
      </c>
      <c r="C646" s="1731">
        <f t="shared" si="50"/>
        <v>1725.7000000000241</v>
      </c>
      <c r="D646" s="1672">
        <f t="shared" ref="D646:D709" si="54">ROUND(C646*1.4,2)</f>
        <v>2415.98</v>
      </c>
      <c r="E646" s="1670"/>
      <c r="F646" s="1732">
        <f t="shared" si="51"/>
        <v>1084.4500000000182</v>
      </c>
      <c r="G646" s="1672">
        <f t="shared" si="53"/>
        <v>1518.23</v>
      </c>
      <c r="H646" s="1670"/>
      <c r="I646" s="1670"/>
    </row>
    <row r="647" spans="1:9" ht="15.75">
      <c r="A647" s="1622"/>
      <c r="B647" s="1691">
        <f t="shared" si="52"/>
        <v>643</v>
      </c>
      <c r="C647" s="1731">
        <f t="shared" si="50"/>
        <v>1728.3900000000242</v>
      </c>
      <c r="D647" s="1672">
        <f t="shared" si="54"/>
        <v>2419.75</v>
      </c>
      <c r="E647" s="1670"/>
      <c r="F647" s="1732">
        <f t="shared" si="51"/>
        <v>1086.1400000000183</v>
      </c>
      <c r="G647" s="1672">
        <f t="shared" si="53"/>
        <v>1520.6</v>
      </c>
      <c r="H647" s="1670"/>
      <c r="I647" s="1670"/>
    </row>
    <row r="648" spans="1:9" ht="15.75">
      <c r="A648" s="1622"/>
      <c r="B648" s="1691">
        <f t="shared" si="52"/>
        <v>644</v>
      </c>
      <c r="C648" s="1731">
        <f t="shared" si="50"/>
        <v>1731.0800000000243</v>
      </c>
      <c r="D648" s="1672">
        <f t="shared" si="54"/>
        <v>2423.5100000000002</v>
      </c>
      <c r="E648" s="1670"/>
      <c r="F648" s="1732">
        <f t="shared" si="51"/>
        <v>1087.8300000000183</v>
      </c>
      <c r="G648" s="1672">
        <f t="shared" si="53"/>
        <v>1522.96</v>
      </c>
      <c r="H648" s="1670"/>
      <c r="I648" s="1670"/>
    </row>
    <row r="649" spans="1:9" ht="15.75">
      <c r="A649" s="1622"/>
      <c r="B649" s="1691">
        <f t="shared" si="52"/>
        <v>645</v>
      </c>
      <c r="C649" s="1731">
        <f t="shared" si="50"/>
        <v>1733.7700000000243</v>
      </c>
      <c r="D649" s="1672">
        <f t="shared" si="54"/>
        <v>2427.2800000000002</v>
      </c>
      <c r="E649" s="1670"/>
      <c r="F649" s="1732">
        <f t="shared" si="51"/>
        <v>1089.5200000000184</v>
      </c>
      <c r="G649" s="1672">
        <f t="shared" si="53"/>
        <v>1525.33</v>
      </c>
      <c r="H649" s="1670"/>
      <c r="I649" s="1670"/>
    </row>
    <row r="650" spans="1:9" ht="15.75">
      <c r="A650" s="1622"/>
      <c r="B650" s="1691">
        <f t="shared" si="52"/>
        <v>646</v>
      </c>
      <c r="C650" s="1731">
        <f t="shared" si="50"/>
        <v>1736.4600000000244</v>
      </c>
      <c r="D650" s="1672">
        <f t="shared" si="54"/>
        <v>2431.04</v>
      </c>
      <c r="E650" s="1670"/>
      <c r="F650" s="1732">
        <f t="shared" si="51"/>
        <v>1091.2100000000185</v>
      </c>
      <c r="G650" s="1672">
        <f t="shared" si="53"/>
        <v>1527.69</v>
      </c>
      <c r="H650" s="1670"/>
      <c r="I650" s="1670"/>
    </row>
    <row r="651" spans="1:9" ht="15.75">
      <c r="A651" s="1622"/>
      <c r="B651" s="1691">
        <f t="shared" si="52"/>
        <v>647</v>
      </c>
      <c r="C651" s="1731">
        <f t="shared" si="50"/>
        <v>1739.1500000000244</v>
      </c>
      <c r="D651" s="1672">
        <f t="shared" si="54"/>
        <v>2434.81</v>
      </c>
      <c r="E651" s="1670"/>
      <c r="F651" s="1732">
        <f t="shared" si="51"/>
        <v>1092.9000000000185</v>
      </c>
      <c r="G651" s="1672">
        <f t="shared" si="53"/>
        <v>1530.06</v>
      </c>
      <c r="H651" s="1670"/>
      <c r="I651" s="1670"/>
    </row>
    <row r="652" spans="1:9" ht="15.75">
      <c r="A652" s="1622"/>
      <c r="B652" s="1691">
        <f t="shared" si="52"/>
        <v>648</v>
      </c>
      <c r="C652" s="1731">
        <f t="shared" si="50"/>
        <v>1741.8400000000245</v>
      </c>
      <c r="D652" s="1672">
        <f t="shared" si="54"/>
        <v>2438.58</v>
      </c>
      <c r="E652" s="1670"/>
      <c r="F652" s="1732">
        <f t="shared" si="51"/>
        <v>1094.5900000000186</v>
      </c>
      <c r="G652" s="1672">
        <f t="shared" si="53"/>
        <v>1532.43</v>
      </c>
      <c r="H652" s="1670"/>
      <c r="I652" s="1670"/>
    </row>
    <row r="653" spans="1:9" ht="15.75">
      <c r="A653" s="1622"/>
      <c r="B653" s="1691">
        <f t="shared" si="52"/>
        <v>649</v>
      </c>
      <c r="C653" s="1731">
        <f t="shared" ref="C653:C716" si="55">C652+$C$1006</f>
        <v>1744.5300000000245</v>
      </c>
      <c r="D653" s="1672">
        <f t="shared" si="54"/>
        <v>2442.34</v>
      </c>
      <c r="E653" s="1670"/>
      <c r="F653" s="1732">
        <f t="shared" ref="F653:F716" si="56">F652+$F$1006</f>
        <v>1096.2800000000186</v>
      </c>
      <c r="G653" s="1672">
        <f t="shared" si="53"/>
        <v>1534.79</v>
      </c>
      <c r="H653" s="1670"/>
      <c r="I653" s="1670"/>
    </row>
    <row r="654" spans="1:9" ht="15.75">
      <c r="A654" s="1622"/>
      <c r="B654" s="1691">
        <f t="shared" ref="B654:B717" si="57">B653+1</f>
        <v>650</v>
      </c>
      <c r="C654" s="1731">
        <f t="shared" si="55"/>
        <v>1747.2200000000246</v>
      </c>
      <c r="D654" s="1672">
        <f t="shared" si="54"/>
        <v>2446.11</v>
      </c>
      <c r="E654" s="1670"/>
      <c r="F654" s="1732">
        <f t="shared" si="56"/>
        <v>1097.9700000000187</v>
      </c>
      <c r="G654" s="1672">
        <f t="shared" si="53"/>
        <v>1537.16</v>
      </c>
      <c r="H654" s="1670"/>
      <c r="I654" s="1670"/>
    </row>
    <row r="655" spans="1:9" ht="15.75">
      <c r="A655" s="1622"/>
      <c r="B655" s="1691">
        <f t="shared" si="57"/>
        <v>651</v>
      </c>
      <c r="C655" s="1731">
        <f t="shared" si="55"/>
        <v>1749.9100000000246</v>
      </c>
      <c r="D655" s="1672">
        <f t="shared" si="54"/>
        <v>2449.87</v>
      </c>
      <c r="E655" s="1670"/>
      <c r="F655" s="1732">
        <f t="shared" si="56"/>
        <v>1099.6600000000187</v>
      </c>
      <c r="G655" s="1672">
        <f t="shared" si="53"/>
        <v>1539.52</v>
      </c>
      <c r="H655" s="1670"/>
      <c r="I655" s="1670"/>
    </row>
    <row r="656" spans="1:9" ht="15.75">
      <c r="A656" s="1622"/>
      <c r="B656" s="1691">
        <f t="shared" si="57"/>
        <v>652</v>
      </c>
      <c r="C656" s="1731">
        <f t="shared" si="55"/>
        <v>1752.6000000000247</v>
      </c>
      <c r="D656" s="1672">
        <f t="shared" si="54"/>
        <v>2453.64</v>
      </c>
      <c r="E656" s="1670"/>
      <c r="F656" s="1732">
        <f t="shared" si="56"/>
        <v>1101.3500000000188</v>
      </c>
      <c r="G656" s="1672">
        <f t="shared" si="53"/>
        <v>1541.89</v>
      </c>
      <c r="H656" s="1670"/>
      <c r="I656" s="1670"/>
    </row>
    <row r="657" spans="1:9" ht="15.75">
      <c r="A657" s="1622"/>
      <c r="B657" s="1691">
        <f t="shared" si="57"/>
        <v>653</v>
      </c>
      <c r="C657" s="1731">
        <f t="shared" si="55"/>
        <v>1755.2900000000247</v>
      </c>
      <c r="D657" s="1672">
        <f t="shared" si="54"/>
        <v>2457.41</v>
      </c>
      <c r="E657" s="1670"/>
      <c r="F657" s="1732">
        <f t="shared" si="56"/>
        <v>1103.0400000000188</v>
      </c>
      <c r="G657" s="1672">
        <f t="shared" si="53"/>
        <v>1544.26</v>
      </c>
      <c r="H657" s="1670"/>
      <c r="I657" s="1670"/>
    </row>
    <row r="658" spans="1:9" ht="15.75">
      <c r="A658" s="1622"/>
      <c r="B658" s="1691">
        <f t="shared" si="57"/>
        <v>654</v>
      </c>
      <c r="C658" s="1731">
        <f t="shared" si="55"/>
        <v>1757.9800000000248</v>
      </c>
      <c r="D658" s="1672">
        <f t="shared" si="54"/>
        <v>2461.17</v>
      </c>
      <c r="E658" s="1670"/>
      <c r="F658" s="1732">
        <f t="shared" si="56"/>
        <v>1104.7300000000189</v>
      </c>
      <c r="G658" s="1672">
        <f t="shared" si="53"/>
        <v>1546.62</v>
      </c>
      <c r="H658" s="1670"/>
      <c r="I658" s="1670"/>
    </row>
    <row r="659" spans="1:9" ht="15.75">
      <c r="A659" s="1622"/>
      <c r="B659" s="1691">
        <f t="shared" si="57"/>
        <v>655</v>
      </c>
      <c r="C659" s="1731">
        <f t="shared" si="55"/>
        <v>1760.6700000000249</v>
      </c>
      <c r="D659" s="1672">
        <f t="shared" si="54"/>
        <v>2464.94</v>
      </c>
      <c r="E659" s="1670"/>
      <c r="F659" s="1732">
        <f t="shared" si="56"/>
        <v>1106.4200000000189</v>
      </c>
      <c r="G659" s="1672">
        <f t="shared" si="53"/>
        <v>1548.99</v>
      </c>
      <c r="H659" s="1670"/>
      <c r="I659" s="1670"/>
    </row>
    <row r="660" spans="1:9" ht="15.75">
      <c r="A660" s="1622"/>
      <c r="B660" s="1691">
        <f t="shared" si="57"/>
        <v>656</v>
      </c>
      <c r="C660" s="1731">
        <f t="shared" si="55"/>
        <v>1763.3600000000249</v>
      </c>
      <c r="D660" s="1672">
        <f t="shared" si="54"/>
        <v>2468.6999999999998</v>
      </c>
      <c r="E660" s="1670"/>
      <c r="F660" s="1732">
        <f t="shared" si="56"/>
        <v>1108.110000000019</v>
      </c>
      <c r="G660" s="1672">
        <f t="shared" si="53"/>
        <v>1551.35</v>
      </c>
      <c r="H660" s="1670"/>
      <c r="I660" s="1670"/>
    </row>
    <row r="661" spans="1:9" ht="15.75">
      <c r="A661" s="1622"/>
      <c r="B661" s="1691">
        <f t="shared" si="57"/>
        <v>657</v>
      </c>
      <c r="C661" s="1731">
        <f t="shared" si="55"/>
        <v>1766.050000000025</v>
      </c>
      <c r="D661" s="1672">
        <f t="shared" si="54"/>
        <v>2472.4699999999998</v>
      </c>
      <c r="E661" s="1670"/>
      <c r="F661" s="1732">
        <f t="shared" si="56"/>
        <v>1109.8000000000191</v>
      </c>
      <c r="G661" s="1672">
        <f t="shared" si="53"/>
        <v>1553.72</v>
      </c>
      <c r="H661" s="1670"/>
      <c r="I661" s="1670"/>
    </row>
    <row r="662" spans="1:9" ht="15.75">
      <c r="A662" s="1622"/>
      <c r="B662" s="1691">
        <f t="shared" si="57"/>
        <v>658</v>
      </c>
      <c r="C662" s="1731">
        <f t="shared" si="55"/>
        <v>1768.740000000025</v>
      </c>
      <c r="D662" s="1672">
        <f t="shared" si="54"/>
        <v>2476.2399999999998</v>
      </c>
      <c r="E662" s="1670"/>
      <c r="F662" s="1732">
        <f t="shared" si="56"/>
        <v>1111.4900000000191</v>
      </c>
      <c r="G662" s="1672">
        <f t="shared" si="53"/>
        <v>1556.09</v>
      </c>
      <c r="H662" s="1670"/>
      <c r="I662" s="1670"/>
    </row>
    <row r="663" spans="1:9" ht="15.75">
      <c r="A663" s="1622"/>
      <c r="B663" s="1691">
        <f t="shared" si="57"/>
        <v>659</v>
      </c>
      <c r="C663" s="1731">
        <f t="shared" si="55"/>
        <v>1771.4300000000251</v>
      </c>
      <c r="D663" s="1672">
        <f t="shared" si="54"/>
        <v>2480</v>
      </c>
      <c r="E663" s="1670"/>
      <c r="F663" s="1732">
        <f t="shared" si="56"/>
        <v>1113.1800000000192</v>
      </c>
      <c r="G663" s="1672">
        <f t="shared" si="53"/>
        <v>1558.45</v>
      </c>
      <c r="H663" s="1670"/>
      <c r="I663" s="1670"/>
    </row>
    <row r="664" spans="1:9" ht="15.75">
      <c r="A664" s="1622"/>
      <c r="B664" s="1691">
        <f t="shared" si="57"/>
        <v>660</v>
      </c>
      <c r="C664" s="1731">
        <f t="shared" si="55"/>
        <v>1774.1200000000251</v>
      </c>
      <c r="D664" s="1672">
        <f t="shared" si="54"/>
        <v>2483.77</v>
      </c>
      <c r="E664" s="1670"/>
      <c r="F664" s="1732">
        <f t="shared" si="56"/>
        <v>1114.8700000000192</v>
      </c>
      <c r="G664" s="1672">
        <f t="shared" si="53"/>
        <v>1560.82</v>
      </c>
      <c r="H664" s="1670"/>
      <c r="I664" s="1670"/>
    </row>
    <row r="665" spans="1:9" ht="15.75">
      <c r="A665" s="1622"/>
      <c r="B665" s="1691">
        <f t="shared" si="57"/>
        <v>661</v>
      </c>
      <c r="C665" s="1731">
        <f t="shared" si="55"/>
        <v>1776.8100000000252</v>
      </c>
      <c r="D665" s="1672">
        <f t="shared" si="54"/>
        <v>2487.5300000000002</v>
      </c>
      <c r="E665" s="1670"/>
      <c r="F665" s="1732">
        <f t="shared" si="56"/>
        <v>1116.5600000000193</v>
      </c>
      <c r="G665" s="1672">
        <f t="shared" si="53"/>
        <v>1563.18</v>
      </c>
      <c r="H665" s="1670"/>
      <c r="I665" s="1670"/>
    </row>
    <row r="666" spans="1:9" ht="15.75">
      <c r="A666" s="1622"/>
      <c r="B666" s="1691">
        <f t="shared" si="57"/>
        <v>662</v>
      </c>
      <c r="C666" s="1731">
        <f t="shared" si="55"/>
        <v>1779.5000000000252</v>
      </c>
      <c r="D666" s="1672">
        <f t="shared" si="54"/>
        <v>2491.3000000000002</v>
      </c>
      <c r="E666" s="1670"/>
      <c r="F666" s="1732">
        <f t="shared" si="56"/>
        <v>1118.2500000000193</v>
      </c>
      <c r="G666" s="1672">
        <f t="shared" si="53"/>
        <v>1565.55</v>
      </c>
      <c r="H666" s="1670"/>
      <c r="I666" s="1670"/>
    </row>
    <row r="667" spans="1:9" ht="15.75">
      <c r="A667" s="1622"/>
      <c r="B667" s="1691">
        <f t="shared" si="57"/>
        <v>663</v>
      </c>
      <c r="C667" s="1731">
        <f t="shared" si="55"/>
        <v>1782.1900000000253</v>
      </c>
      <c r="D667" s="1672">
        <f t="shared" si="54"/>
        <v>2495.0700000000002</v>
      </c>
      <c r="E667" s="1670"/>
      <c r="F667" s="1732">
        <f t="shared" si="56"/>
        <v>1119.9400000000194</v>
      </c>
      <c r="G667" s="1672">
        <f t="shared" si="53"/>
        <v>1567.92</v>
      </c>
      <c r="H667" s="1670"/>
      <c r="I667" s="1670"/>
    </row>
    <row r="668" spans="1:9" ht="15.75">
      <c r="A668" s="1622"/>
      <c r="B668" s="1691">
        <f t="shared" si="57"/>
        <v>664</v>
      </c>
      <c r="C668" s="1731">
        <f t="shared" si="55"/>
        <v>1784.8800000000253</v>
      </c>
      <c r="D668" s="1672">
        <f t="shared" si="54"/>
        <v>2498.83</v>
      </c>
      <c r="E668" s="1670"/>
      <c r="F668" s="1732">
        <f t="shared" si="56"/>
        <v>1121.6300000000194</v>
      </c>
      <c r="G668" s="1672">
        <f t="shared" si="53"/>
        <v>1570.28</v>
      </c>
      <c r="H668" s="1670"/>
      <c r="I668" s="1670"/>
    </row>
    <row r="669" spans="1:9" ht="15.75">
      <c r="A669" s="1622"/>
      <c r="B669" s="1691">
        <f t="shared" si="57"/>
        <v>665</v>
      </c>
      <c r="C669" s="1731">
        <f t="shared" si="55"/>
        <v>1787.5700000000254</v>
      </c>
      <c r="D669" s="1672">
        <f t="shared" si="54"/>
        <v>2502.6</v>
      </c>
      <c r="E669" s="1670"/>
      <c r="F669" s="1732">
        <f t="shared" si="56"/>
        <v>1123.3200000000195</v>
      </c>
      <c r="G669" s="1672">
        <f t="shared" si="53"/>
        <v>1572.65</v>
      </c>
      <c r="H669" s="1670"/>
      <c r="I669" s="1670"/>
    </row>
    <row r="670" spans="1:9" ht="15.75">
      <c r="A670" s="1622"/>
      <c r="B670" s="1691">
        <f t="shared" si="57"/>
        <v>666</v>
      </c>
      <c r="C670" s="1731">
        <f t="shared" si="55"/>
        <v>1790.2600000000255</v>
      </c>
      <c r="D670" s="1672">
        <f t="shared" si="54"/>
        <v>2506.36</v>
      </c>
      <c r="E670" s="1670"/>
      <c r="F670" s="1732">
        <f t="shared" si="56"/>
        <v>1125.0100000000195</v>
      </c>
      <c r="G670" s="1672">
        <f t="shared" si="53"/>
        <v>1575.01</v>
      </c>
      <c r="H670" s="1670"/>
      <c r="I670" s="1670"/>
    </row>
    <row r="671" spans="1:9" ht="15.75">
      <c r="A671" s="1622"/>
      <c r="B671" s="1691">
        <f t="shared" si="57"/>
        <v>667</v>
      </c>
      <c r="C671" s="1731">
        <f t="shared" si="55"/>
        <v>1792.9500000000255</v>
      </c>
      <c r="D671" s="1672">
        <f t="shared" si="54"/>
        <v>2510.13</v>
      </c>
      <c r="E671" s="1670"/>
      <c r="F671" s="1732">
        <f t="shared" si="56"/>
        <v>1126.7000000000196</v>
      </c>
      <c r="G671" s="1672">
        <f t="shared" si="53"/>
        <v>1577.38</v>
      </c>
      <c r="H671" s="1670"/>
      <c r="I671" s="1670"/>
    </row>
    <row r="672" spans="1:9" ht="15.75">
      <c r="A672" s="1622"/>
      <c r="B672" s="1691">
        <f t="shared" si="57"/>
        <v>668</v>
      </c>
      <c r="C672" s="1731">
        <f t="shared" si="55"/>
        <v>1795.6400000000256</v>
      </c>
      <c r="D672" s="1672">
        <f t="shared" si="54"/>
        <v>2513.9</v>
      </c>
      <c r="E672" s="1670"/>
      <c r="F672" s="1732">
        <f t="shared" si="56"/>
        <v>1128.3900000000197</v>
      </c>
      <c r="G672" s="1672">
        <f t="shared" si="53"/>
        <v>1579.75</v>
      </c>
      <c r="H672" s="1670"/>
      <c r="I672" s="1670"/>
    </row>
    <row r="673" spans="1:9" ht="15.75">
      <c r="A673" s="1622"/>
      <c r="B673" s="1691">
        <f t="shared" si="57"/>
        <v>669</v>
      </c>
      <c r="C673" s="1731">
        <f t="shared" si="55"/>
        <v>1798.3300000000256</v>
      </c>
      <c r="D673" s="1672">
        <f t="shared" si="54"/>
        <v>2517.66</v>
      </c>
      <c r="E673" s="1670"/>
      <c r="F673" s="1732">
        <f t="shared" si="56"/>
        <v>1130.0800000000197</v>
      </c>
      <c r="G673" s="1672">
        <f t="shared" si="53"/>
        <v>1582.11</v>
      </c>
      <c r="H673" s="1670"/>
      <c r="I673" s="1670"/>
    </row>
    <row r="674" spans="1:9" ht="15.75">
      <c r="A674" s="1622"/>
      <c r="B674" s="1691">
        <f t="shared" si="57"/>
        <v>670</v>
      </c>
      <c r="C674" s="1731">
        <f t="shared" si="55"/>
        <v>1801.0200000000257</v>
      </c>
      <c r="D674" s="1672">
        <f t="shared" si="54"/>
        <v>2521.4299999999998</v>
      </c>
      <c r="E674" s="1670"/>
      <c r="F674" s="1732">
        <f t="shared" si="56"/>
        <v>1131.7700000000198</v>
      </c>
      <c r="G674" s="1672">
        <f t="shared" si="53"/>
        <v>1584.48</v>
      </c>
      <c r="H674" s="1670"/>
      <c r="I674" s="1670"/>
    </row>
    <row r="675" spans="1:9" ht="15.75">
      <c r="A675" s="1622"/>
      <c r="B675" s="1691">
        <f t="shared" si="57"/>
        <v>671</v>
      </c>
      <c r="C675" s="1731">
        <f t="shared" si="55"/>
        <v>1803.7100000000257</v>
      </c>
      <c r="D675" s="1672">
        <f t="shared" si="54"/>
        <v>2525.19</v>
      </c>
      <c r="E675" s="1670"/>
      <c r="F675" s="1732">
        <f t="shared" si="56"/>
        <v>1133.4600000000198</v>
      </c>
      <c r="G675" s="1672">
        <f t="shared" si="53"/>
        <v>1586.84</v>
      </c>
      <c r="H675" s="1670"/>
      <c r="I675" s="1670"/>
    </row>
    <row r="676" spans="1:9" ht="15.75">
      <c r="A676" s="1622"/>
      <c r="B676" s="1691">
        <f t="shared" si="57"/>
        <v>672</v>
      </c>
      <c r="C676" s="1731">
        <f t="shared" si="55"/>
        <v>1806.4000000000258</v>
      </c>
      <c r="D676" s="1672">
        <f t="shared" si="54"/>
        <v>2528.96</v>
      </c>
      <c r="E676" s="1670"/>
      <c r="F676" s="1732">
        <f t="shared" si="56"/>
        <v>1135.1500000000199</v>
      </c>
      <c r="G676" s="1672">
        <f t="shared" si="53"/>
        <v>1589.21</v>
      </c>
      <c r="H676" s="1670"/>
      <c r="I676" s="1670"/>
    </row>
    <row r="677" spans="1:9" ht="15.75">
      <c r="A677" s="1622"/>
      <c r="B677" s="1691">
        <f t="shared" si="57"/>
        <v>673</v>
      </c>
      <c r="C677" s="1731">
        <f t="shared" si="55"/>
        <v>1809.0900000000258</v>
      </c>
      <c r="D677" s="1672">
        <f t="shared" si="54"/>
        <v>2532.73</v>
      </c>
      <c r="E677" s="1670"/>
      <c r="F677" s="1732">
        <f t="shared" si="56"/>
        <v>1136.8400000000199</v>
      </c>
      <c r="G677" s="1672">
        <f t="shared" si="53"/>
        <v>1591.58</v>
      </c>
      <c r="H677" s="1670"/>
      <c r="I677" s="1670"/>
    </row>
    <row r="678" spans="1:9" ht="15.75">
      <c r="A678" s="1622"/>
      <c r="B678" s="1691">
        <f t="shared" si="57"/>
        <v>674</v>
      </c>
      <c r="C678" s="1731">
        <f t="shared" si="55"/>
        <v>1811.7800000000259</v>
      </c>
      <c r="D678" s="1672">
        <f t="shared" si="54"/>
        <v>2536.4899999999998</v>
      </c>
      <c r="E678" s="1670"/>
      <c r="F678" s="1732">
        <f t="shared" si="56"/>
        <v>1138.53000000002</v>
      </c>
      <c r="G678" s="1672">
        <f t="shared" si="53"/>
        <v>1593.94</v>
      </c>
      <c r="H678" s="1670"/>
      <c r="I678" s="1670"/>
    </row>
    <row r="679" spans="1:9" ht="15.75">
      <c r="A679" s="1622"/>
      <c r="B679" s="1691">
        <f t="shared" si="57"/>
        <v>675</v>
      </c>
      <c r="C679" s="1731">
        <f t="shared" si="55"/>
        <v>1814.4700000000259</v>
      </c>
      <c r="D679" s="1672">
        <f t="shared" si="54"/>
        <v>2540.2600000000002</v>
      </c>
      <c r="E679" s="1670"/>
      <c r="F679" s="1732">
        <f t="shared" si="56"/>
        <v>1140.22000000002</v>
      </c>
      <c r="G679" s="1672">
        <f t="shared" si="53"/>
        <v>1596.31</v>
      </c>
      <c r="H679" s="1670"/>
      <c r="I679" s="1670"/>
    </row>
    <row r="680" spans="1:9" ht="15.75">
      <c r="A680" s="1622"/>
      <c r="B680" s="1691">
        <f t="shared" si="57"/>
        <v>676</v>
      </c>
      <c r="C680" s="1731">
        <f t="shared" si="55"/>
        <v>1817.160000000026</v>
      </c>
      <c r="D680" s="1672">
        <f t="shared" si="54"/>
        <v>2544.02</v>
      </c>
      <c r="E680" s="1670"/>
      <c r="F680" s="1732">
        <f t="shared" si="56"/>
        <v>1141.9100000000201</v>
      </c>
      <c r="G680" s="1672">
        <f t="shared" si="53"/>
        <v>1598.67</v>
      </c>
      <c r="H680" s="1670"/>
      <c r="I680" s="1670"/>
    </row>
    <row r="681" spans="1:9" ht="15.75">
      <c r="A681" s="1622"/>
      <c r="B681" s="1691">
        <f t="shared" si="57"/>
        <v>677</v>
      </c>
      <c r="C681" s="1731">
        <f t="shared" si="55"/>
        <v>1819.8500000000261</v>
      </c>
      <c r="D681" s="1672">
        <f t="shared" si="54"/>
        <v>2547.79</v>
      </c>
      <c r="E681" s="1670"/>
      <c r="F681" s="1732">
        <f t="shared" si="56"/>
        <v>1143.6000000000201</v>
      </c>
      <c r="G681" s="1672">
        <f t="shared" si="53"/>
        <v>1601.04</v>
      </c>
      <c r="H681" s="1670"/>
      <c r="I681" s="1670"/>
    </row>
    <row r="682" spans="1:9" ht="15.75">
      <c r="A682" s="1622"/>
      <c r="B682" s="1691">
        <f t="shared" si="57"/>
        <v>678</v>
      </c>
      <c r="C682" s="1731">
        <f t="shared" si="55"/>
        <v>1822.5400000000261</v>
      </c>
      <c r="D682" s="1672">
        <f t="shared" si="54"/>
        <v>2551.56</v>
      </c>
      <c r="E682" s="1670"/>
      <c r="F682" s="1732">
        <f t="shared" si="56"/>
        <v>1145.2900000000202</v>
      </c>
      <c r="G682" s="1672">
        <f t="shared" si="53"/>
        <v>1603.41</v>
      </c>
      <c r="H682" s="1670"/>
      <c r="I682" s="1670"/>
    </row>
    <row r="683" spans="1:9" ht="15.75">
      <c r="A683" s="1622"/>
      <c r="B683" s="1691">
        <f t="shared" si="57"/>
        <v>679</v>
      </c>
      <c r="C683" s="1731">
        <f t="shared" si="55"/>
        <v>1825.2300000000262</v>
      </c>
      <c r="D683" s="1672">
        <f t="shared" si="54"/>
        <v>2555.3200000000002</v>
      </c>
      <c r="E683" s="1670"/>
      <c r="F683" s="1732">
        <f t="shared" si="56"/>
        <v>1146.9800000000203</v>
      </c>
      <c r="G683" s="1672">
        <f t="shared" si="53"/>
        <v>1605.77</v>
      </c>
      <c r="H683" s="1670"/>
      <c r="I683" s="1670"/>
    </row>
    <row r="684" spans="1:9" ht="15.75">
      <c r="A684" s="1622"/>
      <c r="B684" s="1691">
        <f t="shared" si="57"/>
        <v>680</v>
      </c>
      <c r="C684" s="1731">
        <f t="shared" si="55"/>
        <v>1827.9200000000262</v>
      </c>
      <c r="D684" s="1672">
        <f t="shared" si="54"/>
        <v>2559.09</v>
      </c>
      <c r="E684" s="1670"/>
      <c r="F684" s="1732">
        <f t="shared" si="56"/>
        <v>1148.6700000000203</v>
      </c>
      <c r="G684" s="1672">
        <f t="shared" si="53"/>
        <v>1608.14</v>
      </c>
      <c r="H684" s="1670"/>
      <c r="I684" s="1670"/>
    </row>
    <row r="685" spans="1:9" ht="15.75">
      <c r="A685" s="1622"/>
      <c r="B685" s="1691">
        <f t="shared" si="57"/>
        <v>681</v>
      </c>
      <c r="C685" s="1731">
        <f t="shared" si="55"/>
        <v>1830.6100000000263</v>
      </c>
      <c r="D685" s="1672">
        <f t="shared" si="54"/>
        <v>2562.85</v>
      </c>
      <c r="E685" s="1670"/>
      <c r="F685" s="1732">
        <f t="shared" si="56"/>
        <v>1150.3600000000204</v>
      </c>
      <c r="G685" s="1672">
        <f t="shared" si="53"/>
        <v>1610.5</v>
      </c>
      <c r="H685" s="1670"/>
      <c r="I685" s="1670"/>
    </row>
    <row r="686" spans="1:9" ht="15.75">
      <c r="A686" s="1622"/>
      <c r="B686" s="1691">
        <f t="shared" si="57"/>
        <v>682</v>
      </c>
      <c r="C686" s="1731">
        <f t="shared" si="55"/>
        <v>1833.3000000000263</v>
      </c>
      <c r="D686" s="1672">
        <f t="shared" si="54"/>
        <v>2566.62</v>
      </c>
      <c r="E686" s="1670"/>
      <c r="F686" s="1732">
        <f t="shared" si="56"/>
        <v>1152.0500000000204</v>
      </c>
      <c r="G686" s="1672">
        <f t="shared" si="53"/>
        <v>1612.87</v>
      </c>
      <c r="H686" s="1670"/>
      <c r="I686" s="1670"/>
    </row>
    <row r="687" spans="1:9" ht="15.75">
      <c r="A687" s="1622"/>
      <c r="B687" s="1691">
        <f t="shared" si="57"/>
        <v>683</v>
      </c>
      <c r="C687" s="1731">
        <f t="shared" si="55"/>
        <v>1835.9900000000264</v>
      </c>
      <c r="D687" s="1672">
        <f t="shared" si="54"/>
        <v>2570.39</v>
      </c>
      <c r="E687" s="1670"/>
      <c r="F687" s="1732">
        <f t="shared" si="56"/>
        <v>1153.7400000000205</v>
      </c>
      <c r="G687" s="1672">
        <f t="shared" si="53"/>
        <v>1615.24</v>
      </c>
      <c r="H687" s="1670"/>
      <c r="I687" s="1670"/>
    </row>
    <row r="688" spans="1:9" ht="15.75">
      <c r="A688" s="1622"/>
      <c r="B688" s="1691">
        <f t="shared" si="57"/>
        <v>684</v>
      </c>
      <c r="C688" s="1731">
        <f t="shared" si="55"/>
        <v>1838.6800000000264</v>
      </c>
      <c r="D688" s="1672">
        <f t="shared" si="54"/>
        <v>2574.15</v>
      </c>
      <c r="E688" s="1670"/>
      <c r="F688" s="1732">
        <f t="shared" si="56"/>
        <v>1155.4300000000205</v>
      </c>
      <c r="G688" s="1672">
        <f t="shared" si="53"/>
        <v>1617.6</v>
      </c>
      <c r="H688" s="1670"/>
      <c r="I688" s="1670"/>
    </row>
    <row r="689" spans="1:9" ht="15.75">
      <c r="A689" s="1622"/>
      <c r="B689" s="1691">
        <f t="shared" si="57"/>
        <v>685</v>
      </c>
      <c r="C689" s="1731">
        <f t="shared" si="55"/>
        <v>1841.3700000000265</v>
      </c>
      <c r="D689" s="1672">
        <f t="shared" si="54"/>
        <v>2577.92</v>
      </c>
      <c r="E689" s="1670"/>
      <c r="F689" s="1732">
        <f t="shared" si="56"/>
        <v>1157.1200000000206</v>
      </c>
      <c r="G689" s="1672">
        <f t="shared" si="53"/>
        <v>1619.97</v>
      </c>
      <c r="H689" s="1670"/>
      <c r="I689" s="1670"/>
    </row>
    <row r="690" spans="1:9" ht="15.75">
      <c r="A690" s="1622"/>
      <c r="B690" s="1691">
        <f t="shared" si="57"/>
        <v>686</v>
      </c>
      <c r="C690" s="1731">
        <f t="shared" si="55"/>
        <v>1844.0600000000265</v>
      </c>
      <c r="D690" s="1672">
        <f t="shared" si="54"/>
        <v>2581.6799999999998</v>
      </c>
      <c r="E690" s="1670"/>
      <c r="F690" s="1732">
        <f t="shared" si="56"/>
        <v>1158.8100000000206</v>
      </c>
      <c r="G690" s="1672">
        <f t="shared" si="53"/>
        <v>1622.33</v>
      </c>
      <c r="H690" s="1670"/>
      <c r="I690" s="1670"/>
    </row>
    <row r="691" spans="1:9" ht="15.75">
      <c r="A691" s="1622"/>
      <c r="B691" s="1691">
        <f t="shared" si="57"/>
        <v>687</v>
      </c>
      <c r="C691" s="1731">
        <f t="shared" si="55"/>
        <v>1846.7500000000266</v>
      </c>
      <c r="D691" s="1672">
        <f t="shared" si="54"/>
        <v>2585.4499999999998</v>
      </c>
      <c r="E691" s="1670"/>
      <c r="F691" s="1732">
        <f t="shared" si="56"/>
        <v>1160.5000000000207</v>
      </c>
      <c r="G691" s="1672">
        <f t="shared" si="53"/>
        <v>1624.7</v>
      </c>
      <c r="H691" s="1670"/>
      <c r="I691" s="1670"/>
    </row>
    <row r="692" spans="1:9" ht="15.75">
      <c r="A692" s="1622"/>
      <c r="B692" s="1691">
        <f t="shared" si="57"/>
        <v>688</v>
      </c>
      <c r="C692" s="1731">
        <f t="shared" si="55"/>
        <v>1849.4400000000267</v>
      </c>
      <c r="D692" s="1672">
        <f t="shared" si="54"/>
        <v>2589.2199999999998</v>
      </c>
      <c r="E692" s="1670"/>
      <c r="F692" s="1732">
        <f t="shared" si="56"/>
        <v>1162.1900000000207</v>
      </c>
      <c r="G692" s="1672">
        <f t="shared" si="53"/>
        <v>1627.07</v>
      </c>
      <c r="H692" s="1670"/>
      <c r="I692" s="1670"/>
    </row>
    <row r="693" spans="1:9" ht="15.75">
      <c r="A693" s="1622"/>
      <c r="B693" s="1691">
        <f t="shared" si="57"/>
        <v>689</v>
      </c>
      <c r="C693" s="1731">
        <f t="shared" si="55"/>
        <v>1852.1300000000267</v>
      </c>
      <c r="D693" s="1672">
        <f t="shared" si="54"/>
        <v>2592.98</v>
      </c>
      <c r="E693" s="1670"/>
      <c r="F693" s="1732">
        <f t="shared" si="56"/>
        <v>1163.8800000000208</v>
      </c>
      <c r="G693" s="1672">
        <f t="shared" si="53"/>
        <v>1629.43</v>
      </c>
      <c r="H693" s="1670"/>
      <c r="I693" s="1670"/>
    </row>
    <row r="694" spans="1:9" ht="15.75">
      <c r="A694" s="1622"/>
      <c r="B694" s="1691">
        <f t="shared" si="57"/>
        <v>690</v>
      </c>
      <c r="C694" s="1731">
        <f t="shared" si="55"/>
        <v>1854.8200000000268</v>
      </c>
      <c r="D694" s="1672">
        <f t="shared" si="54"/>
        <v>2596.75</v>
      </c>
      <c r="E694" s="1670"/>
      <c r="F694" s="1732">
        <f t="shared" si="56"/>
        <v>1165.5700000000209</v>
      </c>
      <c r="G694" s="1672">
        <f t="shared" si="53"/>
        <v>1631.8</v>
      </c>
      <c r="H694" s="1670"/>
      <c r="I694" s="1670"/>
    </row>
    <row r="695" spans="1:9" ht="15.75">
      <c r="A695" s="1622"/>
      <c r="B695" s="1691">
        <f t="shared" si="57"/>
        <v>691</v>
      </c>
      <c r="C695" s="1731">
        <f t="shared" si="55"/>
        <v>1857.5100000000268</v>
      </c>
      <c r="D695" s="1672">
        <f t="shared" si="54"/>
        <v>2600.5100000000002</v>
      </c>
      <c r="E695" s="1670"/>
      <c r="F695" s="1732">
        <f t="shared" si="56"/>
        <v>1167.2600000000209</v>
      </c>
      <c r="G695" s="1672">
        <f t="shared" si="53"/>
        <v>1634.16</v>
      </c>
      <c r="H695" s="1670"/>
      <c r="I695" s="1670"/>
    </row>
    <row r="696" spans="1:9" ht="15.75">
      <c r="A696" s="1622"/>
      <c r="B696" s="1691">
        <f t="shared" si="57"/>
        <v>692</v>
      </c>
      <c r="C696" s="1731">
        <f t="shared" si="55"/>
        <v>1860.2000000000269</v>
      </c>
      <c r="D696" s="1672">
        <f t="shared" si="54"/>
        <v>2604.2800000000002</v>
      </c>
      <c r="E696" s="1670"/>
      <c r="F696" s="1732">
        <f t="shared" si="56"/>
        <v>1168.950000000021</v>
      </c>
      <c r="G696" s="1672">
        <f t="shared" si="53"/>
        <v>1636.53</v>
      </c>
      <c r="H696" s="1670"/>
      <c r="I696" s="1670"/>
    </row>
    <row r="697" spans="1:9" ht="15.75">
      <c r="A697" s="1622"/>
      <c r="B697" s="1691">
        <f t="shared" si="57"/>
        <v>693</v>
      </c>
      <c r="C697" s="1731">
        <f t="shared" si="55"/>
        <v>1862.8900000000269</v>
      </c>
      <c r="D697" s="1672">
        <f t="shared" si="54"/>
        <v>2608.0500000000002</v>
      </c>
      <c r="E697" s="1670"/>
      <c r="F697" s="1732">
        <f t="shared" si="56"/>
        <v>1170.640000000021</v>
      </c>
      <c r="G697" s="1672">
        <f t="shared" si="53"/>
        <v>1638.9</v>
      </c>
      <c r="H697" s="1670"/>
      <c r="I697" s="1670"/>
    </row>
    <row r="698" spans="1:9" ht="15.75">
      <c r="A698" s="1622"/>
      <c r="B698" s="1691">
        <f t="shared" si="57"/>
        <v>694</v>
      </c>
      <c r="C698" s="1731">
        <f t="shared" si="55"/>
        <v>1865.580000000027</v>
      </c>
      <c r="D698" s="1672">
        <f t="shared" si="54"/>
        <v>2611.81</v>
      </c>
      <c r="E698" s="1670"/>
      <c r="F698" s="1732">
        <f t="shared" si="56"/>
        <v>1172.3300000000211</v>
      </c>
      <c r="G698" s="1672">
        <f t="shared" si="53"/>
        <v>1641.26</v>
      </c>
      <c r="H698" s="1670"/>
      <c r="I698" s="1670"/>
    </row>
    <row r="699" spans="1:9" ht="15.75">
      <c r="A699" s="1622"/>
      <c r="B699" s="1691">
        <f t="shared" si="57"/>
        <v>695</v>
      </c>
      <c r="C699" s="1731">
        <f t="shared" si="55"/>
        <v>1868.270000000027</v>
      </c>
      <c r="D699" s="1672">
        <f t="shared" si="54"/>
        <v>2615.58</v>
      </c>
      <c r="E699" s="1670"/>
      <c r="F699" s="1732">
        <f t="shared" si="56"/>
        <v>1174.0200000000211</v>
      </c>
      <c r="G699" s="1672">
        <f t="shared" si="53"/>
        <v>1643.63</v>
      </c>
      <c r="H699" s="1670"/>
      <c r="I699" s="1670"/>
    </row>
    <row r="700" spans="1:9" ht="15.75">
      <c r="A700" s="1622"/>
      <c r="B700" s="1691">
        <f t="shared" si="57"/>
        <v>696</v>
      </c>
      <c r="C700" s="1731">
        <f t="shared" si="55"/>
        <v>1870.9600000000271</v>
      </c>
      <c r="D700" s="1672">
        <f t="shared" si="54"/>
        <v>2619.34</v>
      </c>
      <c r="E700" s="1670"/>
      <c r="F700" s="1732">
        <f t="shared" si="56"/>
        <v>1175.7100000000212</v>
      </c>
      <c r="G700" s="1672">
        <f t="shared" si="53"/>
        <v>1645.99</v>
      </c>
      <c r="H700" s="1670"/>
      <c r="I700" s="1670"/>
    </row>
    <row r="701" spans="1:9" ht="15.75">
      <c r="A701" s="1622"/>
      <c r="B701" s="1691">
        <f t="shared" si="57"/>
        <v>697</v>
      </c>
      <c r="C701" s="1731">
        <f t="shared" si="55"/>
        <v>1873.6500000000271</v>
      </c>
      <c r="D701" s="1672">
        <f t="shared" si="54"/>
        <v>2623.11</v>
      </c>
      <c r="E701" s="1670"/>
      <c r="F701" s="1732">
        <f t="shared" si="56"/>
        <v>1177.4000000000212</v>
      </c>
      <c r="G701" s="1672">
        <f t="shared" si="53"/>
        <v>1648.36</v>
      </c>
      <c r="H701" s="1670"/>
      <c r="I701" s="1670"/>
    </row>
    <row r="702" spans="1:9" ht="15.75">
      <c r="A702" s="1622"/>
      <c r="B702" s="1691">
        <f t="shared" si="57"/>
        <v>698</v>
      </c>
      <c r="C702" s="1731">
        <f t="shared" si="55"/>
        <v>1876.3400000000272</v>
      </c>
      <c r="D702" s="1672">
        <f t="shared" si="54"/>
        <v>2626.88</v>
      </c>
      <c r="E702" s="1670"/>
      <c r="F702" s="1732">
        <f t="shared" si="56"/>
        <v>1179.0900000000213</v>
      </c>
      <c r="G702" s="1672">
        <f t="shared" si="53"/>
        <v>1650.73</v>
      </c>
      <c r="H702" s="1670"/>
      <c r="I702" s="1670"/>
    </row>
    <row r="703" spans="1:9" ht="15.75">
      <c r="A703" s="1622"/>
      <c r="B703" s="1691">
        <f t="shared" si="57"/>
        <v>699</v>
      </c>
      <c r="C703" s="1731">
        <f t="shared" si="55"/>
        <v>1879.0300000000273</v>
      </c>
      <c r="D703" s="1672">
        <f t="shared" si="54"/>
        <v>2630.64</v>
      </c>
      <c r="E703" s="1670"/>
      <c r="F703" s="1732">
        <f t="shared" si="56"/>
        <v>1180.7800000000213</v>
      </c>
      <c r="G703" s="1672">
        <f t="shared" si="53"/>
        <v>1653.09</v>
      </c>
      <c r="H703" s="1670"/>
      <c r="I703" s="1670"/>
    </row>
    <row r="704" spans="1:9" ht="15.75">
      <c r="A704" s="1622"/>
      <c r="B704" s="1691">
        <f t="shared" si="57"/>
        <v>700</v>
      </c>
      <c r="C704" s="1731">
        <f t="shared" si="55"/>
        <v>1881.7200000000273</v>
      </c>
      <c r="D704" s="1672">
        <f t="shared" si="54"/>
        <v>2634.41</v>
      </c>
      <c r="E704" s="1670"/>
      <c r="F704" s="1732">
        <f t="shared" si="56"/>
        <v>1182.4700000000214</v>
      </c>
      <c r="G704" s="1672">
        <f t="shared" si="53"/>
        <v>1655.46</v>
      </c>
      <c r="H704" s="1670"/>
      <c r="I704" s="1670"/>
    </row>
    <row r="705" spans="1:9" ht="15.75">
      <c r="A705" s="1622"/>
      <c r="B705" s="1691">
        <f t="shared" si="57"/>
        <v>701</v>
      </c>
      <c r="C705" s="1731">
        <f t="shared" si="55"/>
        <v>1884.4100000000274</v>
      </c>
      <c r="D705" s="1672">
        <f t="shared" si="54"/>
        <v>2638.17</v>
      </c>
      <c r="E705" s="1670"/>
      <c r="F705" s="1732">
        <f t="shared" si="56"/>
        <v>1184.1600000000215</v>
      </c>
      <c r="G705" s="1672">
        <f t="shared" si="53"/>
        <v>1657.82</v>
      </c>
      <c r="H705" s="1670"/>
      <c r="I705" s="1670"/>
    </row>
    <row r="706" spans="1:9" ht="15.75">
      <c r="A706" s="1622"/>
      <c r="B706" s="1691">
        <f t="shared" si="57"/>
        <v>702</v>
      </c>
      <c r="C706" s="1731">
        <f t="shared" si="55"/>
        <v>1887.1000000000274</v>
      </c>
      <c r="D706" s="1672">
        <f t="shared" si="54"/>
        <v>2641.94</v>
      </c>
      <c r="E706" s="1670"/>
      <c r="F706" s="1732">
        <f t="shared" si="56"/>
        <v>1185.8500000000215</v>
      </c>
      <c r="G706" s="1672">
        <f t="shared" si="53"/>
        <v>1660.19</v>
      </c>
      <c r="H706" s="1670"/>
      <c r="I706" s="1670"/>
    </row>
    <row r="707" spans="1:9" ht="15.75">
      <c r="A707" s="1622"/>
      <c r="B707" s="1691">
        <f t="shared" si="57"/>
        <v>703</v>
      </c>
      <c r="C707" s="1731">
        <f t="shared" si="55"/>
        <v>1889.7900000000275</v>
      </c>
      <c r="D707" s="1672">
        <f t="shared" si="54"/>
        <v>2645.71</v>
      </c>
      <c r="E707" s="1670"/>
      <c r="F707" s="1732">
        <f t="shared" si="56"/>
        <v>1187.5400000000216</v>
      </c>
      <c r="G707" s="1672">
        <f t="shared" si="53"/>
        <v>1662.56</v>
      </c>
      <c r="H707" s="1670"/>
      <c r="I707" s="1670"/>
    </row>
    <row r="708" spans="1:9" ht="15.75">
      <c r="A708" s="1622"/>
      <c r="B708" s="1691">
        <f t="shared" si="57"/>
        <v>704</v>
      </c>
      <c r="C708" s="1731">
        <f t="shared" si="55"/>
        <v>1892.4800000000275</v>
      </c>
      <c r="D708" s="1672">
        <f t="shared" si="54"/>
        <v>2649.47</v>
      </c>
      <c r="E708" s="1670"/>
      <c r="F708" s="1732">
        <f t="shared" si="56"/>
        <v>1189.2300000000216</v>
      </c>
      <c r="G708" s="1672">
        <f t="shared" si="53"/>
        <v>1664.92</v>
      </c>
      <c r="H708" s="1670"/>
      <c r="I708" s="1670"/>
    </row>
    <row r="709" spans="1:9" ht="15.75">
      <c r="A709" s="1622"/>
      <c r="B709" s="1691">
        <f t="shared" si="57"/>
        <v>705</v>
      </c>
      <c r="C709" s="1731">
        <f t="shared" si="55"/>
        <v>1895.1700000000276</v>
      </c>
      <c r="D709" s="1672">
        <f t="shared" si="54"/>
        <v>2653.24</v>
      </c>
      <c r="E709" s="1670"/>
      <c r="F709" s="1732">
        <f t="shared" si="56"/>
        <v>1190.9200000000217</v>
      </c>
      <c r="G709" s="1672">
        <f t="shared" ref="G709:G772" si="58">ROUND(F709*1.4,2)</f>
        <v>1667.29</v>
      </c>
      <c r="H709" s="1670"/>
      <c r="I709" s="1670"/>
    </row>
    <row r="710" spans="1:9" ht="15.75">
      <c r="A710" s="1622"/>
      <c r="B710" s="1691">
        <f t="shared" si="57"/>
        <v>706</v>
      </c>
      <c r="C710" s="1731">
        <f t="shared" si="55"/>
        <v>1897.8600000000276</v>
      </c>
      <c r="D710" s="1672">
        <f t="shared" ref="D710:D773" si="59">ROUND(C710*1.4,2)</f>
        <v>2657</v>
      </c>
      <c r="E710" s="1670"/>
      <c r="F710" s="1732">
        <f t="shared" si="56"/>
        <v>1192.6100000000217</v>
      </c>
      <c r="G710" s="1672">
        <f t="shared" si="58"/>
        <v>1669.65</v>
      </c>
      <c r="H710" s="1670"/>
      <c r="I710" s="1670"/>
    </row>
    <row r="711" spans="1:9" ht="15.75">
      <c r="A711" s="1622"/>
      <c r="B711" s="1691">
        <f t="shared" si="57"/>
        <v>707</v>
      </c>
      <c r="C711" s="1731">
        <f t="shared" si="55"/>
        <v>1900.5500000000277</v>
      </c>
      <c r="D711" s="1672">
        <f t="shared" si="59"/>
        <v>2660.77</v>
      </c>
      <c r="E711" s="1670"/>
      <c r="F711" s="1732">
        <f t="shared" si="56"/>
        <v>1194.3000000000218</v>
      </c>
      <c r="G711" s="1672">
        <f t="shared" si="58"/>
        <v>1672.02</v>
      </c>
      <c r="H711" s="1670"/>
      <c r="I711" s="1670"/>
    </row>
    <row r="712" spans="1:9" ht="15.75">
      <c r="A712" s="1622"/>
      <c r="B712" s="1691">
        <f t="shared" si="57"/>
        <v>708</v>
      </c>
      <c r="C712" s="1731">
        <f t="shared" si="55"/>
        <v>1903.2400000000277</v>
      </c>
      <c r="D712" s="1672">
        <f t="shared" si="59"/>
        <v>2664.54</v>
      </c>
      <c r="E712" s="1670"/>
      <c r="F712" s="1732">
        <f t="shared" si="56"/>
        <v>1195.9900000000218</v>
      </c>
      <c r="G712" s="1672">
        <f t="shared" si="58"/>
        <v>1674.39</v>
      </c>
      <c r="H712" s="1670"/>
      <c r="I712" s="1670"/>
    </row>
    <row r="713" spans="1:9" ht="15.75">
      <c r="A713" s="1622"/>
      <c r="B713" s="1691">
        <f t="shared" si="57"/>
        <v>709</v>
      </c>
      <c r="C713" s="1731">
        <f t="shared" si="55"/>
        <v>1905.9300000000278</v>
      </c>
      <c r="D713" s="1672">
        <f t="shared" si="59"/>
        <v>2668.3</v>
      </c>
      <c r="E713" s="1670"/>
      <c r="F713" s="1732">
        <f t="shared" si="56"/>
        <v>1197.6800000000219</v>
      </c>
      <c r="G713" s="1672">
        <f t="shared" si="58"/>
        <v>1676.75</v>
      </c>
      <c r="H713" s="1670"/>
      <c r="I713" s="1670"/>
    </row>
    <row r="714" spans="1:9" ht="15.75">
      <c r="A714" s="1622"/>
      <c r="B714" s="1691">
        <f t="shared" si="57"/>
        <v>710</v>
      </c>
      <c r="C714" s="1731">
        <f t="shared" si="55"/>
        <v>1908.6200000000279</v>
      </c>
      <c r="D714" s="1672">
        <f t="shared" si="59"/>
        <v>2672.07</v>
      </c>
      <c r="E714" s="1670"/>
      <c r="F714" s="1732">
        <f t="shared" si="56"/>
        <v>1199.3700000000219</v>
      </c>
      <c r="G714" s="1672">
        <f t="shared" si="58"/>
        <v>1679.12</v>
      </c>
      <c r="H714" s="1670"/>
      <c r="I714" s="1670"/>
    </row>
    <row r="715" spans="1:9" ht="15.75">
      <c r="A715" s="1622"/>
      <c r="B715" s="1691">
        <f t="shared" si="57"/>
        <v>711</v>
      </c>
      <c r="C715" s="1731">
        <f t="shared" si="55"/>
        <v>1911.3100000000279</v>
      </c>
      <c r="D715" s="1672">
        <f t="shared" si="59"/>
        <v>2675.83</v>
      </c>
      <c r="E715" s="1670"/>
      <c r="F715" s="1732">
        <f t="shared" si="56"/>
        <v>1201.060000000022</v>
      </c>
      <c r="G715" s="1672">
        <f t="shared" si="58"/>
        <v>1681.48</v>
      </c>
      <c r="H715" s="1670"/>
      <c r="I715" s="1670"/>
    </row>
    <row r="716" spans="1:9" ht="15.75">
      <c r="A716" s="1622"/>
      <c r="B716" s="1691">
        <f t="shared" si="57"/>
        <v>712</v>
      </c>
      <c r="C716" s="1731">
        <f t="shared" si="55"/>
        <v>1914.000000000028</v>
      </c>
      <c r="D716" s="1672">
        <f t="shared" si="59"/>
        <v>2679.6</v>
      </c>
      <c r="E716" s="1670"/>
      <c r="F716" s="1732">
        <f t="shared" si="56"/>
        <v>1202.7500000000221</v>
      </c>
      <c r="G716" s="1672">
        <f t="shared" si="58"/>
        <v>1683.85</v>
      </c>
      <c r="H716" s="1670"/>
      <c r="I716" s="1670"/>
    </row>
    <row r="717" spans="1:9" ht="15.75">
      <c r="A717" s="1622"/>
      <c r="B717" s="1691">
        <f t="shared" si="57"/>
        <v>713</v>
      </c>
      <c r="C717" s="1731">
        <f t="shared" ref="C717:C780" si="60">C716+$C$1006</f>
        <v>1916.690000000028</v>
      </c>
      <c r="D717" s="1672">
        <f t="shared" si="59"/>
        <v>2683.37</v>
      </c>
      <c r="E717" s="1670"/>
      <c r="F717" s="1732">
        <f t="shared" ref="F717:F780" si="61">F716+$F$1006</f>
        <v>1204.4400000000221</v>
      </c>
      <c r="G717" s="1672">
        <f t="shared" si="58"/>
        <v>1686.22</v>
      </c>
      <c r="H717" s="1670"/>
      <c r="I717" s="1670"/>
    </row>
    <row r="718" spans="1:9" ht="15.75">
      <c r="A718" s="1622"/>
      <c r="B718" s="1691">
        <f t="shared" ref="B718:B781" si="62">B717+1</f>
        <v>714</v>
      </c>
      <c r="C718" s="1731">
        <f t="shared" si="60"/>
        <v>1919.3800000000281</v>
      </c>
      <c r="D718" s="1672">
        <f t="shared" si="59"/>
        <v>2687.13</v>
      </c>
      <c r="E718" s="1670"/>
      <c r="F718" s="1732">
        <f t="shared" si="61"/>
        <v>1206.1300000000222</v>
      </c>
      <c r="G718" s="1672">
        <f t="shared" si="58"/>
        <v>1688.58</v>
      </c>
      <c r="H718" s="1670"/>
      <c r="I718" s="1670"/>
    </row>
    <row r="719" spans="1:9" ht="15.75">
      <c r="A719" s="1622"/>
      <c r="B719" s="1691">
        <f t="shared" si="62"/>
        <v>715</v>
      </c>
      <c r="C719" s="1731">
        <f t="shared" si="60"/>
        <v>1922.0700000000281</v>
      </c>
      <c r="D719" s="1672">
        <f t="shared" si="59"/>
        <v>2690.9</v>
      </c>
      <c r="E719" s="1670"/>
      <c r="F719" s="1732">
        <f t="shared" si="61"/>
        <v>1207.8200000000222</v>
      </c>
      <c r="G719" s="1672">
        <f t="shared" si="58"/>
        <v>1690.95</v>
      </c>
      <c r="H719" s="1670"/>
      <c r="I719" s="1670"/>
    </row>
    <row r="720" spans="1:9" ht="15.75">
      <c r="A720" s="1622"/>
      <c r="B720" s="1691">
        <f t="shared" si="62"/>
        <v>716</v>
      </c>
      <c r="C720" s="1731">
        <f t="shared" si="60"/>
        <v>1924.7600000000282</v>
      </c>
      <c r="D720" s="1672">
        <f t="shared" si="59"/>
        <v>2694.66</v>
      </c>
      <c r="E720" s="1670"/>
      <c r="F720" s="1732">
        <f t="shared" si="61"/>
        <v>1209.5100000000223</v>
      </c>
      <c r="G720" s="1672">
        <f t="shared" si="58"/>
        <v>1693.31</v>
      </c>
      <c r="H720" s="1670"/>
      <c r="I720" s="1670"/>
    </row>
    <row r="721" spans="1:9" ht="15.75">
      <c r="A721" s="1622"/>
      <c r="B721" s="1691">
        <f t="shared" si="62"/>
        <v>717</v>
      </c>
      <c r="C721" s="1731">
        <f t="shared" si="60"/>
        <v>1927.4500000000282</v>
      </c>
      <c r="D721" s="1672">
        <f t="shared" si="59"/>
        <v>2698.43</v>
      </c>
      <c r="E721" s="1670"/>
      <c r="F721" s="1732">
        <f t="shared" si="61"/>
        <v>1211.2000000000223</v>
      </c>
      <c r="G721" s="1672">
        <f t="shared" si="58"/>
        <v>1695.68</v>
      </c>
      <c r="H721" s="1670"/>
      <c r="I721" s="1670"/>
    </row>
    <row r="722" spans="1:9" ht="15.75">
      <c r="A722" s="1622"/>
      <c r="B722" s="1691">
        <f t="shared" si="62"/>
        <v>718</v>
      </c>
      <c r="C722" s="1731">
        <f t="shared" si="60"/>
        <v>1930.1400000000283</v>
      </c>
      <c r="D722" s="1672">
        <f t="shared" si="59"/>
        <v>2702.2</v>
      </c>
      <c r="E722" s="1670"/>
      <c r="F722" s="1732">
        <f t="shared" si="61"/>
        <v>1212.8900000000224</v>
      </c>
      <c r="G722" s="1672">
        <f t="shared" si="58"/>
        <v>1698.05</v>
      </c>
      <c r="H722" s="1670"/>
      <c r="I722" s="1670"/>
    </row>
    <row r="723" spans="1:9" ht="15.75">
      <c r="A723" s="1622"/>
      <c r="B723" s="1691">
        <f t="shared" si="62"/>
        <v>719</v>
      </c>
      <c r="C723" s="1731">
        <f t="shared" si="60"/>
        <v>1932.8300000000283</v>
      </c>
      <c r="D723" s="1672">
        <f t="shared" si="59"/>
        <v>2705.96</v>
      </c>
      <c r="E723" s="1670"/>
      <c r="F723" s="1732">
        <f t="shared" si="61"/>
        <v>1214.5800000000224</v>
      </c>
      <c r="G723" s="1672">
        <f t="shared" si="58"/>
        <v>1700.41</v>
      </c>
      <c r="H723" s="1670"/>
      <c r="I723" s="1670"/>
    </row>
    <row r="724" spans="1:9" ht="15.75">
      <c r="A724" s="1622"/>
      <c r="B724" s="1691">
        <f t="shared" si="62"/>
        <v>720</v>
      </c>
      <c r="C724" s="1731">
        <f t="shared" si="60"/>
        <v>1935.5200000000284</v>
      </c>
      <c r="D724" s="1672">
        <f t="shared" si="59"/>
        <v>2709.73</v>
      </c>
      <c r="E724" s="1670"/>
      <c r="F724" s="1732">
        <f t="shared" si="61"/>
        <v>1216.2700000000225</v>
      </c>
      <c r="G724" s="1672">
        <f t="shared" si="58"/>
        <v>1702.78</v>
      </c>
      <c r="H724" s="1670"/>
      <c r="I724" s="1670"/>
    </row>
    <row r="725" spans="1:9" ht="15.75">
      <c r="A725" s="1622"/>
      <c r="B725" s="1691">
        <f t="shared" si="62"/>
        <v>721</v>
      </c>
      <c r="C725" s="1731">
        <f t="shared" si="60"/>
        <v>1938.2100000000285</v>
      </c>
      <c r="D725" s="1672">
        <f t="shared" si="59"/>
        <v>2713.49</v>
      </c>
      <c r="E725" s="1670"/>
      <c r="F725" s="1732">
        <f t="shared" si="61"/>
        <v>1217.9600000000225</v>
      </c>
      <c r="G725" s="1672">
        <f t="shared" si="58"/>
        <v>1705.14</v>
      </c>
      <c r="H725" s="1670"/>
      <c r="I725" s="1670"/>
    </row>
    <row r="726" spans="1:9" ht="15.75">
      <c r="A726" s="1622"/>
      <c r="B726" s="1691">
        <f t="shared" si="62"/>
        <v>722</v>
      </c>
      <c r="C726" s="1731">
        <f t="shared" si="60"/>
        <v>1940.9000000000285</v>
      </c>
      <c r="D726" s="1672">
        <f t="shared" si="59"/>
        <v>2717.26</v>
      </c>
      <c r="E726" s="1670"/>
      <c r="F726" s="1732">
        <f t="shared" si="61"/>
        <v>1219.6500000000226</v>
      </c>
      <c r="G726" s="1672">
        <f t="shared" si="58"/>
        <v>1707.51</v>
      </c>
      <c r="H726" s="1670"/>
      <c r="I726" s="1670"/>
    </row>
    <row r="727" spans="1:9" ht="15.75">
      <c r="A727" s="1622"/>
      <c r="B727" s="1691">
        <f t="shared" si="62"/>
        <v>723</v>
      </c>
      <c r="C727" s="1731">
        <f t="shared" si="60"/>
        <v>1943.5900000000286</v>
      </c>
      <c r="D727" s="1672">
        <f t="shared" si="59"/>
        <v>2721.03</v>
      </c>
      <c r="E727" s="1670"/>
      <c r="F727" s="1732">
        <f t="shared" si="61"/>
        <v>1221.3400000000227</v>
      </c>
      <c r="G727" s="1672">
        <f t="shared" si="58"/>
        <v>1709.88</v>
      </c>
      <c r="H727" s="1670"/>
      <c r="I727" s="1670"/>
    </row>
    <row r="728" spans="1:9" ht="15.75">
      <c r="A728" s="1622"/>
      <c r="B728" s="1691">
        <f t="shared" si="62"/>
        <v>724</v>
      </c>
      <c r="C728" s="1731">
        <f t="shared" si="60"/>
        <v>1946.2800000000286</v>
      </c>
      <c r="D728" s="1672">
        <f t="shared" si="59"/>
        <v>2724.79</v>
      </c>
      <c r="E728" s="1670"/>
      <c r="F728" s="1732">
        <f t="shared" si="61"/>
        <v>1223.0300000000227</v>
      </c>
      <c r="G728" s="1672">
        <f t="shared" si="58"/>
        <v>1712.24</v>
      </c>
      <c r="H728" s="1670"/>
      <c r="I728" s="1670"/>
    </row>
    <row r="729" spans="1:9" ht="15.75">
      <c r="A729" s="1622"/>
      <c r="B729" s="1691">
        <f t="shared" si="62"/>
        <v>725</v>
      </c>
      <c r="C729" s="1731">
        <f t="shared" si="60"/>
        <v>1948.9700000000287</v>
      </c>
      <c r="D729" s="1672">
        <f t="shared" si="59"/>
        <v>2728.56</v>
      </c>
      <c r="E729" s="1670"/>
      <c r="F729" s="1732">
        <f t="shared" si="61"/>
        <v>1224.7200000000228</v>
      </c>
      <c r="G729" s="1672">
        <f t="shared" si="58"/>
        <v>1714.61</v>
      </c>
      <c r="H729" s="1670"/>
      <c r="I729" s="1670"/>
    </row>
    <row r="730" spans="1:9" ht="15.75">
      <c r="A730" s="1622"/>
      <c r="B730" s="1691">
        <f t="shared" si="62"/>
        <v>726</v>
      </c>
      <c r="C730" s="1731">
        <f t="shared" si="60"/>
        <v>1951.6600000000287</v>
      </c>
      <c r="D730" s="1672">
        <f t="shared" si="59"/>
        <v>2732.32</v>
      </c>
      <c r="E730" s="1670"/>
      <c r="F730" s="1732">
        <f t="shared" si="61"/>
        <v>1226.4100000000228</v>
      </c>
      <c r="G730" s="1672">
        <f t="shared" si="58"/>
        <v>1716.97</v>
      </c>
      <c r="H730" s="1670"/>
      <c r="I730" s="1670"/>
    </row>
    <row r="731" spans="1:9" ht="15.75">
      <c r="A731" s="1622"/>
      <c r="B731" s="1691">
        <f t="shared" si="62"/>
        <v>727</v>
      </c>
      <c r="C731" s="1731">
        <f t="shared" si="60"/>
        <v>1954.3500000000288</v>
      </c>
      <c r="D731" s="1672">
        <f t="shared" si="59"/>
        <v>2736.09</v>
      </c>
      <c r="E731" s="1670"/>
      <c r="F731" s="1732">
        <f t="shared" si="61"/>
        <v>1228.1000000000229</v>
      </c>
      <c r="G731" s="1672">
        <f t="shared" si="58"/>
        <v>1719.34</v>
      </c>
      <c r="H731" s="1670"/>
      <c r="I731" s="1670"/>
    </row>
    <row r="732" spans="1:9" ht="15.75">
      <c r="A732" s="1622"/>
      <c r="B732" s="1691">
        <f t="shared" si="62"/>
        <v>728</v>
      </c>
      <c r="C732" s="1731">
        <f t="shared" si="60"/>
        <v>1957.0400000000288</v>
      </c>
      <c r="D732" s="1672">
        <f t="shared" si="59"/>
        <v>2739.86</v>
      </c>
      <c r="E732" s="1670"/>
      <c r="F732" s="1732">
        <f t="shared" si="61"/>
        <v>1229.7900000000229</v>
      </c>
      <c r="G732" s="1672">
        <f t="shared" si="58"/>
        <v>1721.71</v>
      </c>
      <c r="H732" s="1670"/>
      <c r="I732" s="1670"/>
    </row>
    <row r="733" spans="1:9" ht="15.75">
      <c r="A733" s="1622"/>
      <c r="B733" s="1691">
        <f t="shared" si="62"/>
        <v>729</v>
      </c>
      <c r="C733" s="1731">
        <f t="shared" si="60"/>
        <v>1959.7300000000289</v>
      </c>
      <c r="D733" s="1672">
        <f t="shared" si="59"/>
        <v>2743.62</v>
      </c>
      <c r="E733" s="1670"/>
      <c r="F733" s="1732">
        <f t="shared" si="61"/>
        <v>1231.480000000023</v>
      </c>
      <c r="G733" s="1672">
        <f t="shared" si="58"/>
        <v>1724.07</v>
      </c>
      <c r="H733" s="1670"/>
      <c r="I733" s="1670"/>
    </row>
    <row r="734" spans="1:9" ht="15.75">
      <c r="A734" s="1622"/>
      <c r="B734" s="1691">
        <f t="shared" si="62"/>
        <v>730</v>
      </c>
      <c r="C734" s="1731">
        <f t="shared" si="60"/>
        <v>1962.4200000000289</v>
      </c>
      <c r="D734" s="1672">
        <f t="shared" si="59"/>
        <v>2747.39</v>
      </c>
      <c r="E734" s="1670"/>
      <c r="F734" s="1732">
        <f t="shared" si="61"/>
        <v>1233.170000000023</v>
      </c>
      <c r="G734" s="1672">
        <f t="shared" si="58"/>
        <v>1726.44</v>
      </c>
      <c r="H734" s="1670"/>
      <c r="I734" s="1670"/>
    </row>
    <row r="735" spans="1:9" ht="15.75">
      <c r="A735" s="1622"/>
      <c r="B735" s="1691">
        <f t="shared" si="62"/>
        <v>731</v>
      </c>
      <c r="C735" s="1731">
        <f t="shared" si="60"/>
        <v>1965.110000000029</v>
      </c>
      <c r="D735" s="1672">
        <f t="shared" si="59"/>
        <v>2751.15</v>
      </c>
      <c r="E735" s="1670"/>
      <c r="F735" s="1732">
        <f t="shared" si="61"/>
        <v>1234.8600000000231</v>
      </c>
      <c r="G735" s="1672">
        <f t="shared" si="58"/>
        <v>1728.8</v>
      </c>
      <c r="H735" s="1670"/>
      <c r="I735" s="1670"/>
    </row>
    <row r="736" spans="1:9" ht="15.75">
      <c r="A736" s="1622"/>
      <c r="B736" s="1691">
        <f t="shared" si="62"/>
        <v>732</v>
      </c>
      <c r="C736" s="1731">
        <f t="shared" si="60"/>
        <v>1967.8000000000291</v>
      </c>
      <c r="D736" s="1672">
        <f t="shared" si="59"/>
        <v>2754.92</v>
      </c>
      <c r="E736" s="1670"/>
      <c r="F736" s="1732">
        <f t="shared" si="61"/>
        <v>1236.5500000000231</v>
      </c>
      <c r="G736" s="1672">
        <f t="shared" si="58"/>
        <v>1731.17</v>
      </c>
      <c r="H736" s="1670"/>
      <c r="I736" s="1670"/>
    </row>
    <row r="737" spans="1:9" ht="15.75">
      <c r="A737" s="1622"/>
      <c r="B737" s="1691">
        <f t="shared" si="62"/>
        <v>733</v>
      </c>
      <c r="C737" s="1731">
        <f t="shared" si="60"/>
        <v>1970.4900000000291</v>
      </c>
      <c r="D737" s="1672">
        <f t="shared" si="59"/>
        <v>2758.69</v>
      </c>
      <c r="E737" s="1670"/>
      <c r="F737" s="1732">
        <f t="shared" si="61"/>
        <v>1238.2400000000232</v>
      </c>
      <c r="G737" s="1672">
        <f t="shared" si="58"/>
        <v>1733.54</v>
      </c>
      <c r="H737" s="1670"/>
      <c r="I737" s="1670"/>
    </row>
    <row r="738" spans="1:9" ht="15.75">
      <c r="A738" s="1622"/>
      <c r="B738" s="1691">
        <f t="shared" si="62"/>
        <v>734</v>
      </c>
      <c r="C738" s="1731">
        <f t="shared" si="60"/>
        <v>1973.1800000000292</v>
      </c>
      <c r="D738" s="1672">
        <f t="shared" si="59"/>
        <v>2762.45</v>
      </c>
      <c r="E738" s="1670"/>
      <c r="F738" s="1732">
        <f t="shared" si="61"/>
        <v>1239.9300000000233</v>
      </c>
      <c r="G738" s="1672">
        <f t="shared" si="58"/>
        <v>1735.9</v>
      </c>
      <c r="H738" s="1670"/>
      <c r="I738" s="1670"/>
    </row>
    <row r="739" spans="1:9" ht="15.75">
      <c r="A739" s="1622"/>
      <c r="B739" s="1691">
        <f t="shared" si="62"/>
        <v>735</v>
      </c>
      <c r="C739" s="1731">
        <f t="shared" si="60"/>
        <v>1975.8700000000292</v>
      </c>
      <c r="D739" s="1672">
        <f t="shared" si="59"/>
        <v>2766.22</v>
      </c>
      <c r="E739" s="1670"/>
      <c r="F739" s="1732">
        <f t="shared" si="61"/>
        <v>1241.6200000000233</v>
      </c>
      <c r="G739" s="1672">
        <f t="shared" si="58"/>
        <v>1738.27</v>
      </c>
      <c r="H739" s="1670"/>
      <c r="I739" s="1670"/>
    </row>
    <row r="740" spans="1:9" ht="15.75">
      <c r="A740" s="1622"/>
      <c r="B740" s="1691">
        <f t="shared" si="62"/>
        <v>736</v>
      </c>
      <c r="C740" s="1731">
        <f t="shared" si="60"/>
        <v>1978.5600000000293</v>
      </c>
      <c r="D740" s="1672">
        <f t="shared" si="59"/>
        <v>2769.98</v>
      </c>
      <c r="E740" s="1670"/>
      <c r="F740" s="1732">
        <f t="shared" si="61"/>
        <v>1243.3100000000234</v>
      </c>
      <c r="G740" s="1672">
        <f t="shared" si="58"/>
        <v>1740.63</v>
      </c>
      <c r="H740" s="1670"/>
      <c r="I740" s="1670"/>
    </row>
    <row r="741" spans="1:9" ht="15.75">
      <c r="A741" s="1622"/>
      <c r="B741" s="1691">
        <f t="shared" si="62"/>
        <v>737</v>
      </c>
      <c r="C741" s="1731">
        <f t="shared" si="60"/>
        <v>1981.2500000000293</v>
      </c>
      <c r="D741" s="1672">
        <f t="shared" si="59"/>
        <v>2773.75</v>
      </c>
      <c r="E741" s="1670"/>
      <c r="F741" s="1732">
        <f t="shared" si="61"/>
        <v>1245.0000000000234</v>
      </c>
      <c r="G741" s="1672">
        <f t="shared" si="58"/>
        <v>1743</v>
      </c>
      <c r="H741" s="1670"/>
      <c r="I741" s="1670"/>
    </row>
    <row r="742" spans="1:9" ht="15.75">
      <c r="A742" s="1622"/>
      <c r="B742" s="1691">
        <f t="shared" si="62"/>
        <v>738</v>
      </c>
      <c r="C742" s="1731">
        <f t="shared" si="60"/>
        <v>1983.9400000000294</v>
      </c>
      <c r="D742" s="1672">
        <f t="shared" si="59"/>
        <v>2777.52</v>
      </c>
      <c r="E742" s="1670"/>
      <c r="F742" s="1732">
        <f t="shared" si="61"/>
        <v>1246.6900000000235</v>
      </c>
      <c r="G742" s="1672">
        <f t="shared" si="58"/>
        <v>1745.37</v>
      </c>
      <c r="H742" s="1670"/>
      <c r="I742" s="1670"/>
    </row>
    <row r="743" spans="1:9" ht="15.75">
      <c r="A743" s="1622"/>
      <c r="B743" s="1691">
        <f t="shared" si="62"/>
        <v>739</v>
      </c>
      <c r="C743" s="1731">
        <f t="shared" si="60"/>
        <v>1986.6300000000294</v>
      </c>
      <c r="D743" s="1672">
        <f t="shared" si="59"/>
        <v>2781.28</v>
      </c>
      <c r="E743" s="1670"/>
      <c r="F743" s="1732">
        <f t="shared" si="61"/>
        <v>1248.3800000000235</v>
      </c>
      <c r="G743" s="1672">
        <f t="shared" si="58"/>
        <v>1747.73</v>
      </c>
      <c r="H743" s="1670"/>
      <c r="I743" s="1670"/>
    </row>
    <row r="744" spans="1:9" ht="15.75">
      <c r="A744" s="1622"/>
      <c r="B744" s="1691">
        <f t="shared" si="62"/>
        <v>740</v>
      </c>
      <c r="C744" s="1731">
        <f t="shared" si="60"/>
        <v>1989.3200000000295</v>
      </c>
      <c r="D744" s="1672">
        <f t="shared" si="59"/>
        <v>2785.05</v>
      </c>
      <c r="E744" s="1670"/>
      <c r="F744" s="1732">
        <f t="shared" si="61"/>
        <v>1250.0700000000236</v>
      </c>
      <c r="G744" s="1672">
        <f t="shared" si="58"/>
        <v>1750.1</v>
      </c>
      <c r="H744" s="1670"/>
      <c r="I744" s="1670"/>
    </row>
    <row r="745" spans="1:9" ht="15.75">
      <c r="A745" s="1622"/>
      <c r="B745" s="1691">
        <f t="shared" si="62"/>
        <v>741</v>
      </c>
      <c r="C745" s="1731">
        <f t="shared" si="60"/>
        <v>1992.0100000000295</v>
      </c>
      <c r="D745" s="1672">
        <f t="shared" si="59"/>
        <v>2788.81</v>
      </c>
      <c r="E745" s="1670"/>
      <c r="F745" s="1732">
        <f t="shared" si="61"/>
        <v>1251.7600000000236</v>
      </c>
      <c r="G745" s="1672">
        <f t="shared" si="58"/>
        <v>1752.46</v>
      </c>
      <c r="H745" s="1670"/>
      <c r="I745" s="1670"/>
    </row>
    <row r="746" spans="1:9" ht="15.75">
      <c r="A746" s="1622"/>
      <c r="B746" s="1691">
        <f t="shared" si="62"/>
        <v>742</v>
      </c>
      <c r="C746" s="1731">
        <f t="shared" si="60"/>
        <v>1994.7000000000296</v>
      </c>
      <c r="D746" s="1672">
        <f t="shared" si="59"/>
        <v>2792.58</v>
      </c>
      <c r="E746" s="1670"/>
      <c r="F746" s="1732">
        <f t="shared" si="61"/>
        <v>1253.4500000000237</v>
      </c>
      <c r="G746" s="1672">
        <f t="shared" si="58"/>
        <v>1754.83</v>
      </c>
      <c r="H746" s="1670"/>
      <c r="I746" s="1670"/>
    </row>
    <row r="747" spans="1:9" ht="15.75">
      <c r="A747" s="1622"/>
      <c r="B747" s="1691">
        <f t="shared" si="62"/>
        <v>743</v>
      </c>
      <c r="C747" s="1731">
        <f t="shared" si="60"/>
        <v>1997.3900000000297</v>
      </c>
      <c r="D747" s="1672">
        <f t="shared" si="59"/>
        <v>2796.35</v>
      </c>
      <c r="E747" s="1670"/>
      <c r="F747" s="1732">
        <f t="shared" si="61"/>
        <v>1255.1400000000237</v>
      </c>
      <c r="G747" s="1672">
        <f t="shared" si="58"/>
        <v>1757.2</v>
      </c>
      <c r="H747" s="1670"/>
      <c r="I747" s="1670"/>
    </row>
    <row r="748" spans="1:9" ht="15.75">
      <c r="A748" s="1622"/>
      <c r="B748" s="1691">
        <f t="shared" si="62"/>
        <v>744</v>
      </c>
      <c r="C748" s="1731">
        <f t="shared" si="60"/>
        <v>2000.0800000000297</v>
      </c>
      <c r="D748" s="1672">
        <f t="shared" si="59"/>
        <v>2800.11</v>
      </c>
      <c r="E748" s="1670"/>
      <c r="F748" s="1732">
        <f t="shared" si="61"/>
        <v>1256.8300000000238</v>
      </c>
      <c r="G748" s="1672">
        <f t="shared" si="58"/>
        <v>1759.56</v>
      </c>
      <c r="H748" s="1670"/>
      <c r="I748" s="1670"/>
    </row>
    <row r="749" spans="1:9" ht="15.75">
      <c r="A749" s="1622"/>
      <c r="B749" s="1691">
        <f t="shared" si="62"/>
        <v>745</v>
      </c>
      <c r="C749" s="1731">
        <f t="shared" si="60"/>
        <v>2002.7700000000298</v>
      </c>
      <c r="D749" s="1672">
        <f t="shared" si="59"/>
        <v>2803.88</v>
      </c>
      <c r="E749" s="1670"/>
      <c r="F749" s="1732">
        <f t="shared" si="61"/>
        <v>1258.5200000000239</v>
      </c>
      <c r="G749" s="1672">
        <f t="shared" si="58"/>
        <v>1761.93</v>
      </c>
      <c r="H749" s="1670"/>
      <c r="I749" s="1670"/>
    </row>
    <row r="750" spans="1:9" ht="15.75">
      <c r="A750" s="1622"/>
      <c r="B750" s="1691">
        <f t="shared" si="62"/>
        <v>746</v>
      </c>
      <c r="C750" s="1731">
        <f t="shared" si="60"/>
        <v>2005.4600000000298</v>
      </c>
      <c r="D750" s="1672">
        <f t="shared" si="59"/>
        <v>2807.64</v>
      </c>
      <c r="E750" s="1670"/>
      <c r="F750" s="1732">
        <f t="shared" si="61"/>
        <v>1260.2100000000239</v>
      </c>
      <c r="G750" s="1672">
        <f t="shared" si="58"/>
        <v>1764.29</v>
      </c>
      <c r="H750" s="1670"/>
      <c r="I750" s="1670"/>
    </row>
    <row r="751" spans="1:9" ht="15.75">
      <c r="A751" s="1622"/>
      <c r="B751" s="1691">
        <f t="shared" si="62"/>
        <v>747</v>
      </c>
      <c r="C751" s="1731">
        <f t="shared" si="60"/>
        <v>2008.1500000000299</v>
      </c>
      <c r="D751" s="1672">
        <f t="shared" si="59"/>
        <v>2811.41</v>
      </c>
      <c r="E751" s="1670"/>
      <c r="F751" s="1732">
        <f t="shared" si="61"/>
        <v>1261.900000000024</v>
      </c>
      <c r="G751" s="1672">
        <f t="shared" si="58"/>
        <v>1766.66</v>
      </c>
      <c r="H751" s="1670"/>
      <c r="I751" s="1670"/>
    </row>
    <row r="752" spans="1:9" ht="15.75">
      <c r="A752" s="1622"/>
      <c r="B752" s="1691">
        <f t="shared" si="62"/>
        <v>748</v>
      </c>
      <c r="C752" s="1731">
        <f t="shared" si="60"/>
        <v>2010.8400000000299</v>
      </c>
      <c r="D752" s="1672">
        <f t="shared" si="59"/>
        <v>2815.18</v>
      </c>
      <c r="E752" s="1670"/>
      <c r="F752" s="1732">
        <f t="shared" si="61"/>
        <v>1263.590000000024</v>
      </c>
      <c r="G752" s="1672">
        <f t="shared" si="58"/>
        <v>1769.03</v>
      </c>
      <c r="H752" s="1670"/>
      <c r="I752" s="1670"/>
    </row>
    <row r="753" spans="1:9" ht="15.75">
      <c r="A753" s="1622"/>
      <c r="B753" s="1691">
        <f t="shared" si="62"/>
        <v>749</v>
      </c>
      <c r="C753" s="1731">
        <f t="shared" si="60"/>
        <v>2013.53000000003</v>
      </c>
      <c r="D753" s="1672">
        <f t="shared" si="59"/>
        <v>2818.94</v>
      </c>
      <c r="E753" s="1670"/>
      <c r="F753" s="1732">
        <f t="shared" si="61"/>
        <v>1265.2800000000241</v>
      </c>
      <c r="G753" s="1672">
        <f t="shared" si="58"/>
        <v>1771.39</v>
      </c>
      <c r="H753" s="1670"/>
      <c r="I753" s="1670"/>
    </row>
    <row r="754" spans="1:9" ht="15.75">
      <c r="A754" s="1622"/>
      <c r="B754" s="1691">
        <f t="shared" si="62"/>
        <v>750</v>
      </c>
      <c r="C754" s="1731">
        <f t="shared" si="60"/>
        <v>2016.22000000003</v>
      </c>
      <c r="D754" s="1672">
        <f t="shared" si="59"/>
        <v>2822.71</v>
      </c>
      <c r="E754" s="1670"/>
      <c r="F754" s="1732">
        <f t="shared" si="61"/>
        <v>1266.9700000000241</v>
      </c>
      <c r="G754" s="1672">
        <f t="shared" si="58"/>
        <v>1773.76</v>
      </c>
      <c r="H754" s="1670"/>
      <c r="I754" s="1670"/>
    </row>
    <row r="755" spans="1:9" ht="15.75">
      <c r="A755" s="1622"/>
      <c r="B755" s="1691">
        <f t="shared" si="62"/>
        <v>751</v>
      </c>
      <c r="C755" s="1731">
        <f t="shared" si="60"/>
        <v>2018.9100000000301</v>
      </c>
      <c r="D755" s="1672">
        <f t="shared" si="59"/>
        <v>2826.47</v>
      </c>
      <c r="E755" s="1670"/>
      <c r="F755" s="1732">
        <f t="shared" si="61"/>
        <v>1268.6600000000242</v>
      </c>
      <c r="G755" s="1672">
        <f t="shared" si="58"/>
        <v>1776.12</v>
      </c>
      <c r="H755" s="1670"/>
      <c r="I755" s="1670"/>
    </row>
    <row r="756" spans="1:9" ht="15.75">
      <c r="A756" s="1622"/>
      <c r="B756" s="1691">
        <f t="shared" si="62"/>
        <v>752</v>
      </c>
      <c r="C756" s="1731">
        <f t="shared" si="60"/>
        <v>2021.6000000000301</v>
      </c>
      <c r="D756" s="1672">
        <f t="shared" si="59"/>
        <v>2830.24</v>
      </c>
      <c r="E756" s="1670"/>
      <c r="F756" s="1732">
        <f t="shared" si="61"/>
        <v>1270.3500000000242</v>
      </c>
      <c r="G756" s="1672">
        <f t="shared" si="58"/>
        <v>1778.49</v>
      </c>
      <c r="H756" s="1670"/>
      <c r="I756" s="1670"/>
    </row>
    <row r="757" spans="1:9" ht="15.75">
      <c r="A757" s="1622"/>
      <c r="B757" s="1691">
        <f t="shared" si="62"/>
        <v>753</v>
      </c>
      <c r="C757" s="1731">
        <f t="shared" si="60"/>
        <v>2024.2900000000302</v>
      </c>
      <c r="D757" s="1672">
        <f t="shared" si="59"/>
        <v>2834.01</v>
      </c>
      <c r="E757" s="1670"/>
      <c r="F757" s="1732">
        <f t="shared" si="61"/>
        <v>1272.0400000000243</v>
      </c>
      <c r="G757" s="1672">
        <f t="shared" si="58"/>
        <v>1780.86</v>
      </c>
      <c r="H757" s="1670"/>
      <c r="I757" s="1670"/>
    </row>
    <row r="758" spans="1:9" ht="15.75">
      <c r="A758" s="1622"/>
      <c r="B758" s="1691">
        <f t="shared" si="62"/>
        <v>754</v>
      </c>
      <c r="C758" s="1731">
        <f t="shared" si="60"/>
        <v>2026.9800000000303</v>
      </c>
      <c r="D758" s="1672">
        <f t="shared" si="59"/>
        <v>2837.77</v>
      </c>
      <c r="E758" s="1670"/>
      <c r="F758" s="1732">
        <f t="shared" si="61"/>
        <v>1273.7300000000243</v>
      </c>
      <c r="G758" s="1672">
        <f t="shared" si="58"/>
        <v>1783.22</v>
      </c>
      <c r="H758" s="1670"/>
      <c r="I758" s="1670"/>
    </row>
    <row r="759" spans="1:9" ht="15.75">
      <c r="A759" s="1622"/>
      <c r="B759" s="1691">
        <f t="shared" si="62"/>
        <v>755</v>
      </c>
      <c r="C759" s="1731">
        <f t="shared" si="60"/>
        <v>2029.6700000000303</v>
      </c>
      <c r="D759" s="1672">
        <f t="shared" si="59"/>
        <v>2841.54</v>
      </c>
      <c r="E759" s="1670"/>
      <c r="F759" s="1732">
        <f t="shared" si="61"/>
        <v>1275.4200000000244</v>
      </c>
      <c r="G759" s="1672">
        <f t="shared" si="58"/>
        <v>1785.59</v>
      </c>
      <c r="H759" s="1670"/>
      <c r="I759" s="1670"/>
    </row>
    <row r="760" spans="1:9" ht="15.75">
      <c r="A760" s="1622"/>
      <c r="B760" s="1691">
        <f t="shared" si="62"/>
        <v>756</v>
      </c>
      <c r="C760" s="1731">
        <f t="shared" si="60"/>
        <v>2032.3600000000304</v>
      </c>
      <c r="D760" s="1672">
        <f t="shared" si="59"/>
        <v>2845.3</v>
      </c>
      <c r="E760" s="1670"/>
      <c r="F760" s="1732">
        <f t="shared" si="61"/>
        <v>1277.1100000000245</v>
      </c>
      <c r="G760" s="1672">
        <f t="shared" si="58"/>
        <v>1787.95</v>
      </c>
      <c r="H760" s="1670"/>
      <c r="I760" s="1670"/>
    </row>
    <row r="761" spans="1:9" ht="15.75">
      <c r="A761" s="1622"/>
      <c r="B761" s="1691">
        <f t="shared" si="62"/>
        <v>757</v>
      </c>
      <c r="C761" s="1731">
        <f t="shared" si="60"/>
        <v>2035.0500000000304</v>
      </c>
      <c r="D761" s="1672">
        <f t="shared" si="59"/>
        <v>2849.07</v>
      </c>
      <c r="E761" s="1670"/>
      <c r="F761" s="1732">
        <f t="shared" si="61"/>
        <v>1278.8000000000245</v>
      </c>
      <c r="G761" s="1672">
        <f t="shared" si="58"/>
        <v>1790.32</v>
      </c>
      <c r="H761" s="1670"/>
      <c r="I761" s="1670"/>
    </row>
    <row r="762" spans="1:9" ht="15.75">
      <c r="A762" s="1622"/>
      <c r="B762" s="1691">
        <f t="shared" si="62"/>
        <v>758</v>
      </c>
      <c r="C762" s="1731">
        <f t="shared" si="60"/>
        <v>2037.7400000000305</v>
      </c>
      <c r="D762" s="1672">
        <f t="shared" si="59"/>
        <v>2852.84</v>
      </c>
      <c r="E762" s="1670"/>
      <c r="F762" s="1732">
        <f t="shared" si="61"/>
        <v>1280.4900000000246</v>
      </c>
      <c r="G762" s="1672">
        <f t="shared" si="58"/>
        <v>1792.69</v>
      </c>
      <c r="H762" s="1670"/>
      <c r="I762" s="1670"/>
    </row>
    <row r="763" spans="1:9" ht="15.75">
      <c r="A763" s="1622"/>
      <c r="B763" s="1691">
        <f t="shared" si="62"/>
        <v>759</v>
      </c>
      <c r="C763" s="1731">
        <f t="shared" si="60"/>
        <v>2040.4300000000305</v>
      </c>
      <c r="D763" s="1672">
        <f t="shared" si="59"/>
        <v>2856.6</v>
      </c>
      <c r="E763" s="1670"/>
      <c r="F763" s="1732">
        <f t="shared" si="61"/>
        <v>1282.1800000000246</v>
      </c>
      <c r="G763" s="1672">
        <f t="shared" si="58"/>
        <v>1795.05</v>
      </c>
      <c r="H763" s="1670"/>
      <c r="I763" s="1670"/>
    </row>
    <row r="764" spans="1:9" ht="15.75">
      <c r="A764" s="1622"/>
      <c r="B764" s="1691">
        <f t="shared" si="62"/>
        <v>760</v>
      </c>
      <c r="C764" s="1731">
        <f t="shared" si="60"/>
        <v>2043.1200000000306</v>
      </c>
      <c r="D764" s="1672">
        <f t="shared" si="59"/>
        <v>2860.37</v>
      </c>
      <c r="E764" s="1670"/>
      <c r="F764" s="1732">
        <f t="shared" si="61"/>
        <v>1283.8700000000247</v>
      </c>
      <c r="G764" s="1672">
        <f t="shared" si="58"/>
        <v>1797.42</v>
      </c>
      <c r="H764" s="1670"/>
      <c r="I764" s="1670"/>
    </row>
    <row r="765" spans="1:9" ht="15.75">
      <c r="A765" s="1622"/>
      <c r="B765" s="1691">
        <f t="shared" si="62"/>
        <v>761</v>
      </c>
      <c r="C765" s="1731">
        <f t="shared" si="60"/>
        <v>2045.8100000000306</v>
      </c>
      <c r="D765" s="1672">
        <f t="shared" si="59"/>
        <v>2864.13</v>
      </c>
      <c r="E765" s="1670"/>
      <c r="F765" s="1732">
        <f t="shared" si="61"/>
        <v>1285.5600000000247</v>
      </c>
      <c r="G765" s="1672">
        <f t="shared" si="58"/>
        <v>1799.78</v>
      </c>
      <c r="H765" s="1670"/>
      <c r="I765" s="1670"/>
    </row>
    <row r="766" spans="1:9" ht="15.75">
      <c r="A766" s="1622"/>
      <c r="B766" s="1691">
        <f t="shared" si="62"/>
        <v>762</v>
      </c>
      <c r="C766" s="1731">
        <f t="shared" si="60"/>
        <v>2048.5000000000305</v>
      </c>
      <c r="D766" s="1672">
        <f t="shared" si="59"/>
        <v>2867.9</v>
      </c>
      <c r="E766" s="1670"/>
      <c r="F766" s="1732">
        <f t="shared" si="61"/>
        <v>1287.2500000000248</v>
      </c>
      <c r="G766" s="1672">
        <f t="shared" si="58"/>
        <v>1802.15</v>
      </c>
      <c r="H766" s="1670"/>
      <c r="I766" s="1670"/>
    </row>
    <row r="767" spans="1:9" ht="15.75">
      <c r="A767" s="1622"/>
      <c r="B767" s="1691">
        <f t="shared" si="62"/>
        <v>763</v>
      </c>
      <c r="C767" s="1731">
        <f t="shared" si="60"/>
        <v>2051.1900000000305</v>
      </c>
      <c r="D767" s="1672">
        <f t="shared" si="59"/>
        <v>2871.67</v>
      </c>
      <c r="E767" s="1670"/>
      <c r="F767" s="1732">
        <f t="shared" si="61"/>
        <v>1288.9400000000248</v>
      </c>
      <c r="G767" s="1672">
        <f t="shared" si="58"/>
        <v>1804.52</v>
      </c>
      <c r="H767" s="1670"/>
      <c r="I767" s="1670"/>
    </row>
    <row r="768" spans="1:9" ht="15.75">
      <c r="A768" s="1622"/>
      <c r="B768" s="1691">
        <f t="shared" si="62"/>
        <v>764</v>
      </c>
      <c r="C768" s="1731">
        <f t="shared" si="60"/>
        <v>2053.8800000000306</v>
      </c>
      <c r="D768" s="1672">
        <f t="shared" si="59"/>
        <v>2875.43</v>
      </c>
      <c r="E768" s="1670"/>
      <c r="F768" s="1732">
        <f t="shared" si="61"/>
        <v>1290.6300000000249</v>
      </c>
      <c r="G768" s="1672">
        <f t="shared" si="58"/>
        <v>1806.88</v>
      </c>
      <c r="H768" s="1670"/>
      <c r="I768" s="1670"/>
    </row>
    <row r="769" spans="1:9" ht="15.75">
      <c r="A769" s="1622"/>
      <c r="B769" s="1691">
        <f t="shared" si="62"/>
        <v>765</v>
      </c>
      <c r="C769" s="1731">
        <f t="shared" si="60"/>
        <v>2056.5700000000306</v>
      </c>
      <c r="D769" s="1672">
        <f t="shared" si="59"/>
        <v>2879.2</v>
      </c>
      <c r="E769" s="1670"/>
      <c r="F769" s="1732">
        <f t="shared" si="61"/>
        <v>1292.3200000000249</v>
      </c>
      <c r="G769" s="1672">
        <f t="shared" si="58"/>
        <v>1809.25</v>
      </c>
      <c r="H769" s="1670"/>
      <c r="I769" s="1670"/>
    </row>
    <row r="770" spans="1:9" ht="15.75">
      <c r="A770" s="1622"/>
      <c r="B770" s="1691">
        <f t="shared" si="62"/>
        <v>766</v>
      </c>
      <c r="C770" s="1731">
        <f t="shared" si="60"/>
        <v>2059.2600000000307</v>
      </c>
      <c r="D770" s="1672">
        <f t="shared" si="59"/>
        <v>2882.96</v>
      </c>
      <c r="E770" s="1670"/>
      <c r="F770" s="1732">
        <f t="shared" si="61"/>
        <v>1294.010000000025</v>
      </c>
      <c r="G770" s="1672">
        <f t="shared" si="58"/>
        <v>1811.61</v>
      </c>
      <c r="H770" s="1670"/>
      <c r="I770" s="1670"/>
    </row>
    <row r="771" spans="1:9" ht="15.75">
      <c r="A771" s="1622"/>
      <c r="B771" s="1691">
        <f t="shared" si="62"/>
        <v>767</v>
      </c>
      <c r="C771" s="1731">
        <f t="shared" si="60"/>
        <v>2061.9500000000307</v>
      </c>
      <c r="D771" s="1672">
        <f t="shared" si="59"/>
        <v>2886.73</v>
      </c>
      <c r="E771" s="1670"/>
      <c r="F771" s="1732">
        <f t="shared" si="61"/>
        <v>1295.7000000000251</v>
      </c>
      <c r="G771" s="1672">
        <f t="shared" si="58"/>
        <v>1813.98</v>
      </c>
      <c r="H771" s="1670"/>
      <c r="I771" s="1670"/>
    </row>
    <row r="772" spans="1:9" ht="15.75">
      <c r="A772" s="1622"/>
      <c r="B772" s="1691">
        <f t="shared" si="62"/>
        <v>768</v>
      </c>
      <c r="C772" s="1731">
        <f t="shared" si="60"/>
        <v>2064.6400000000308</v>
      </c>
      <c r="D772" s="1672">
        <f t="shared" si="59"/>
        <v>2890.5</v>
      </c>
      <c r="E772" s="1670"/>
      <c r="F772" s="1732">
        <f t="shared" si="61"/>
        <v>1297.3900000000251</v>
      </c>
      <c r="G772" s="1672">
        <f t="shared" si="58"/>
        <v>1816.35</v>
      </c>
      <c r="H772" s="1670"/>
      <c r="I772" s="1670"/>
    </row>
    <row r="773" spans="1:9" ht="15.75">
      <c r="A773" s="1622"/>
      <c r="B773" s="1691">
        <f t="shared" si="62"/>
        <v>769</v>
      </c>
      <c r="C773" s="1731">
        <f t="shared" si="60"/>
        <v>2067.3300000000309</v>
      </c>
      <c r="D773" s="1672">
        <f t="shared" si="59"/>
        <v>2894.26</v>
      </c>
      <c r="E773" s="1670"/>
      <c r="F773" s="1732">
        <f t="shared" si="61"/>
        <v>1299.0800000000252</v>
      </c>
      <c r="G773" s="1672">
        <f t="shared" ref="G773:G836" si="63">ROUND(F773*1.4,2)</f>
        <v>1818.71</v>
      </c>
      <c r="H773" s="1670"/>
      <c r="I773" s="1670"/>
    </row>
    <row r="774" spans="1:9" ht="15.75">
      <c r="A774" s="1622"/>
      <c r="B774" s="1691">
        <f t="shared" si="62"/>
        <v>770</v>
      </c>
      <c r="C774" s="1731">
        <f t="shared" si="60"/>
        <v>2070.0200000000309</v>
      </c>
      <c r="D774" s="1672">
        <f t="shared" ref="D774:D837" si="64">ROUND(C774*1.4,2)</f>
        <v>2898.03</v>
      </c>
      <c r="E774" s="1670"/>
      <c r="F774" s="1732">
        <f t="shared" si="61"/>
        <v>1300.7700000000252</v>
      </c>
      <c r="G774" s="1672">
        <f t="shared" si="63"/>
        <v>1821.08</v>
      </c>
      <c r="H774" s="1670"/>
      <c r="I774" s="1670"/>
    </row>
    <row r="775" spans="1:9" ht="15.75">
      <c r="A775" s="1622"/>
      <c r="B775" s="1691">
        <f t="shared" si="62"/>
        <v>771</v>
      </c>
      <c r="C775" s="1731">
        <f t="shared" si="60"/>
        <v>2072.710000000031</v>
      </c>
      <c r="D775" s="1672">
        <f t="shared" si="64"/>
        <v>2901.79</v>
      </c>
      <c r="E775" s="1670"/>
      <c r="F775" s="1732">
        <f t="shared" si="61"/>
        <v>1302.4600000000253</v>
      </c>
      <c r="G775" s="1672">
        <f t="shared" si="63"/>
        <v>1823.44</v>
      </c>
      <c r="H775" s="1670"/>
      <c r="I775" s="1670"/>
    </row>
    <row r="776" spans="1:9" ht="15.75">
      <c r="A776" s="1622"/>
      <c r="B776" s="1691">
        <f t="shared" si="62"/>
        <v>772</v>
      </c>
      <c r="C776" s="1731">
        <f t="shared" si="60"/>
        <v>2075.400000000031</v>
      </c>
      <c r="D776" s="1672">
        <f t="shared" si="64"/>
        <v>2905.56</v>
      </c>
      <c r="E776" s="1670"/>
      <c r="F776" s="1732">
        <f t="shared" si="61"/>
        <v>1304.1500000000253</v>
      </c>
      <c r="G776" s="1672">
        <f t="shared" si="63"/>
        <v>1825.81</v>
      </c>
      <c r="H776" s="1670"/>
      <c r="I776" s="1670"/>
    </row>
    <row r="777" spans="1:9" ht="15.75">
      <c r="A777" s="1622"/>
      <c r="B777" s="1691">
        <f t="shared" si="62"/>
        <v>773</v>
      </c>
      <c r="C777" s="1731">
        <f t="shared" si="60"/>
        <v>2078.0900000000311</v>
      </c>
      <c r="D777" s="1672">
        <f t="shared" si="64"/>
        <v>2909.33</v>
      </c>
      <c r="E777" s="1670"/>
      <c r="F777" s="1732">
        <f t="shared" si="61"/>
        <v>1305.8400000000254</v>
      </c>
      <c r="G777" s="1672">
        <f t="shared" si="63"/>
        <v>1828.18</v>
      </c>
      <c r="H777" s="1670"/>
      <c r="I777" s="1670"/>
    </row>
    <row r="778" spans="1:9" ht="15.75">
      <c r="A778" s="1622"/>
      <c r="B778" s="1691">
        <f t="shared" si="62"/>
        <v>774</v>
      </c>
      <c r="C778" s="1731">
        <f t="shared" si="60"/>
        <v>2080.7800000000311</v>
      </c>
      <c r="D778" s="1672">
        <f t="shared" si="64"/>
        <v>2913.09</v>
      </c>
      <c r="E778" s="1670"/>
      <c r="F778" s="1732">
        <f t="shared" si="61"/>
        <v>1307.5300000000254</v>
      </c>
      <c r="G778" s="1672">
        <f t="shared" si="63"/>
        <v>1830.54</v>
      </c>
      <c r="H778" s="1670"/>
      <c r="I778" s="1670"/>
    </row>
    <row r="779" spans="1:9" ht="15.75">
      <c r="A779" s="1622"/>
      <c r="B779" s="1691">
        <f t="shared" si="62"/>
        <v>775</v>
      </c>
      <c r="C779" s="1731">
        <f t="shared" si="60"/>
        <v>2083.4700000000312</v>
      </c>
      <c r="D779" s="1672">
        <f t="shared" si="64"/>
        <v>2916.86</v>
      </c>
      <c r="E779" s="1670"/>
      <c r="F779" s="1732">
        <f t="shared" si="61"/>
        <v>1309.2200000000255</v>
      </c>
      <c r="G779" s="1672">
        <f t="shared" si="63"/>
        <v>1832.91</v>
      </c>
      <c r="H779" s="1670"/>
      <c r="I779" s="1670"/>
    </row>
    <row r="780" spans="1:9" ht="15.75">
      <c r="A780" s="1622"/>
      <c r="B780" s="1691">
        <f t="shared" si="62"/>
        <v>776</v>
      </c>
      <c r="C780" s="1731">
        <f t="shared" si="60"/>
        <v>2086.1600000000312</v>
      </c>
      <c r="D780" s="1672">
        <f t="shared" si="64"/>
        <v>2920.62</v>
      </c>
      <c r="E780" s="1670"/>
      <c r="F780" s="1732">
        <f t="shared" si="61"/>
        <v>1310.9100000000255</v>
      </c>
      <c r="G780" s="1672">
        <f t="shared" si="63"/>
        <v>1835.27</v>
      </c>
      <c r="H780" s="1670"/>
      <c r="I780" s="1670"/>
    </row>
    <row r="781" spans="1:9" ht="15.75">
      <c r="A781" s="1622"/>
      <c r="B781" s="1691">
        <f t="shared" si="62"/>
        <v>777</v>
      </c>
      <c r="C781" s="1731">
        <f t="shared" ref="C781:C844" si="65">C780+$C$1006</f>
        <v>2088.8500000000313</v>
      </c>
      <c r="D781" s="1672">
        <f t="shared" si="64"/>
        <v>2924.39</v>
      </c>
      <c r="E781" s="1670"/>
      <c r="F781" s="1732">
        <f t="shared" ref="F781:F844" si="66">F780+$F$1006</f>
        <v>1312.6000000000256</v>
      </c>
      <c r="G781" s="1672">
        <f t="shared" si="63"/>
        <v>1837.64</v>
      </c>
      <c r="H781" s="1670"/>
      <c r="I781" s="1670"/>
    </row>
    <row r="782" spans="1:9" ht="15.75">
      <c r="A782" s="1622"/>
      <c r="B782" s="1691">
        <f t="shared" ref="B782:B845" si="67">B781+1</f>
        <v>778</v>
      </c>
      <c r="C782" s="1731">
        <f t="shared" si="65"/>
        <v>2091.5400000000313</v>
      </c>
      <c r="D782" s="1672">
        <f t="shared" si="64"/>
        <v>2928.16</v>
      </c>
      <c r="E782" s="1670"/>
      <c r="F782" s="1732">
        <f t="shared" si="66"/>
        <v>1314.2900000000257</v>
      </c>
      <c r="G782" s="1672">
        <f t="shared" si="63"/>
        <v>1840.01</v>
      </c>
      <c r="H782" s="1670"/>
      <c r="I782" s="1670"/>
    </row>
    <row r="783" spans="1:9" ht="15.75">
      <c r="A783" s="1622"/>
      <c r="B783" s="1691">
        <f t="shared" si="67"/>
        <v>779</v>
      </c>
      <c r="C783" s="1731">
        <f t="shared" si="65"/>
        <v>2094.2300000000314</v>
      </c>
      <c r="D783" s="1672">
        <f t="shared" si="64"/>
        <v>2931.92</v>
      </c>
      <c r="E783" s="1670"/>
      <c r="F783" s="1732">
        <f t="shared" si="66"/>
        <v>1315.9800000000257</v>
      </c>
      <c r="G783" s="1672">
        <f t="shared" si="63"/>
        <v>1842.37</v>
      </c>
      <c r="H783" s="1670"/>
      <c r="I783" s="1670"/>
    </row>
    <row r="784" spans="1:9" ht="15.75">
      <c r="A784" s="1622"/>
      <c r="B784" s="1691">
        <f t="shared" si="67"/>
        <v>780</v>
      </c>
      <c r="C784" s="1731">
        <f t="shared" si="65"/>
        <v>2096.9200000000315</v>
      </c>
      <c r="D784" s="1672">
        <f t="shared" si="64"/>
        <v>2935.69</v>
      </c>
      <c r="E784" s="1670"/>
      <c r="F784" s="1732">
        <f t="shared" si="66"/>
        <v>1317.6700000000258</v>
      </c>
      <c r="G784" s="1672">
        <f t="shared" si="63"/>
        <v>1844.74</v>
      </c>
      <c r="H784" s="1670"/>
      <c r="I784" s="1670"/>
    </row>
    <row r="785" spans="1:9" ht="15.75">
      <c r="A785" s="1622"/>
      <c r="B785" s="1691">
        <f t="shared" si="67"/>
        <v>781</v>
      </c>
      <c r="C785" s="1731">
        <f t="shared" si="65"/>
        <v>2099.6100000000315</v>
      </c>
      <c r="D785" s="1672">
        <f t="shared" si="64"/>
        <v>2939.45</v>
      </c>
      <c r="E785" s="1670"/>
      <c r="F785" s="1732">
        <f t="shared" si="66"/>
        <v>1319.3600000000258</v>
      </c>
      <c r="G785" s="1672">
        <f t="shared" si="63"/>
        <v>1847.1</v>
      </c>
      <c r="H785" s="1670"/>
      <c r="I785" s="1670"/>
    </row>
    <row r="786" spans="1:9" ht="15.75">
      <c r="A786" s="1622"/>
      <c r="B786" s="1691">
        <f t="shared" si="67"/>
        <v>782</v>
      </c>
      <c r="C786" s="1731">
        <f t="shared" si="65"/>
        <v>2102.3000000000316</v>
      </c>
      <c r="D786" s="1672">
        <f t="shared" si="64"/>
        <v>2943.22</v>
      </c>
      <c r="E786" s="1670"/>
      <c r="F786" s="1732">
        <f t="shared" si="66"/>
        <v>1321.0500000000259</v>
      </c>
      <c r="G786" s="1672">
        <f t="shared" si="63"/>
        <v>1849.47</v>
      </c>
      <c r="H786" s="1670"/>
      <c r="I786" s="1670"/>
    </row>
    <row r="787" spans="1:9" ht="15.75">
      <c r="A787" s="1622"/>
      <c r="B787" s="1691">
        <f t="shared" si="67"/>
        <v>783</v>
      </c>
      <c r="C787" s="1731">
        <f t="shared" si="65"/>
        <v>2104.9900000000316</v>
      </c>
      <c r="D787" s="1672">
        <f t="shared" si="64"/>
        <v>2946.99</v>
      </c>
      <c r="E787" s="1670"/>
      <c r="F787" s="1732">
        <f t="shared" si="66"/>
        <v>1322.7400000000259</v>
      </c>
      <c r="G787" s="1672">
        <f t="shared" si="63"/>
        <v>1851.84</v>
      </c>
      <c r="H787" s="1670"/>
      <c r="I787" s="1670"/>
    </row>
    <row r="788" spans="1:9" ht="15.75">
      <c r="A788" s="1622"/>
      <c r="B788" s="1691">
        <f t="shared" si="67"/>
        <v>784</v>
      </c>
      <c r="C788" s="1731">
        <f t="shared" si="65"/>
        <v>2107.6800000000317</v>
      </c>
      <c r="D788" s="1672">
        <f t="shared" si="64"/>
        <v>2950.75</v>
      </c>
      <c r="E788" s="1670"/>
      <c r="F788" s="1732">
        <f t="shared" si="66"/>
        <v>1324.430000000026</v>
      </c>
      <c r="G788" s="1672">
        <f t="shared" si="63"/>
        <v>1854.2</v>
      </c>
      <c r="H788" s="1670"/>
      <c r="I788" s="1670"/>
    </row>
    <row r="789" spans="1:9" ht="15.75">
      <c r="A789" s="1622"/>
      <c r="B789" s="1691">
        <f t="shared" si="67"/>
        <v>785</v>
      </c>
      <c r="C789" s="1731">
        <f t="shared" si="65"/>
        <v>2110.3700000000317</v>
      </c>
      <c r="D789" s="1672">
        <f t="shared" si="64"/>
        <v>2954.52</v>
      </c>
      <c r="E789" s="1670"/>
      <c r="F789" s="1732">
        <f t="shared" si="66"/>
        <v>1326.120000000026</v>
      </c>
      <c r="G789" s="1672">
        <f t="shared" si="63"/>
        <v>1856.57</v>
      </c>
      <c r="H789" s="1670"/>
      <c r="I789" s="1670"/>
    </row>
    <row r="790" spans="1:9" ht="15.75">
      <c r="A790" s="1622"/>
      <c r="B790" s="1691">
        <f t="shared" si="67"/>
        <v>786</v>
      </c>
      <c r="C790" s="1731">
        <f t="shared" si="65"/>
        <v>2113.0600000000318</v>
      </c>
      <c r="D790" s="1672">
        <f t="shared" si="64"/>
        <v>2958.28</v>
      </c>
      <c r="E790" s="1670"/>
      <c r="F790" s="1732">
        <f t="shared" si="66"/>
        <v>1327.8100000000261</v>
      </c>
      <c r="G790" s="1672">
        <f t="shared" si="63"/>
        <v>1858.93</v>
      </c>
      <c r="H790" s="1670"/>
      <c r="I790" s="1670"/>
    </row>
    <row r="791" spans="1:9" ht="15.75">
      <c r="A791" s="1622"/>
      <c r="B791" s="1691">
        <f t="shared" si="67"/>
        <v>787</v>
      </c>
      <c r="C791" s="1731">
        <f t="shared" si="65"/>
        <v>2115.7500000000318</v>
      </c>
      <c r="D791" s="1672">
        <f t="shared" si="64"/>
        <v>2962.05</v>
      </c>
      <c r="E791" s="1670"/>
      <c r="F791" s="1732">
        <f t="shared" si="66"/>
        <v>1329.5000000000261</v>
      </c>
      <c r="G791" s="1672">
        <f t="shared" si="63"/>
        <v>1861.3</v>
      </c>
      <c r="H791" s="1670"/>
      <c r="I791" s="1670"/>
    </row>
    <row r="792" spans="1:9" ht="15.75">
      <c r="A792" s="1622"/>
      <c r="B792" s="1691">
        <f t="shared" si="67"/>
        <v>788</v>
      </c>
      <c r="C792" s="1731">
        <f t="shared" si="65"/>
        <v>2118.4400000000319</v>
      </c>
      <c r="D792" s="1672">
        <f t="shared" si="64"/>
        <v>2965.82</v>
      </c>
      <c r="E792" s="1670"/>
      <c r="F792" s="1732">
        <f t="shared" si="66"/>
        <v>1331.1900000000262</v>
      </c>
      <c r="G792" s="1672">
        <f t="shared" si="63"/>
        <v>1863.67</v>
      </c>
      <c r="H792" s="1670"/>
      <c r="I792" s="1670"/>
    </row>
    <row r="793" spans="1:9" ht="15.75">
      <c r="A793" s="1622"/>
      <c r="B793" s="1691">
        <f t="shared" si="67"/>
        <v>789</v>
      </c>
      <c r="C793" s="1731">
        <f t="shared" si="65"/>
        <v>2121.1300000000319</v>
      </c>
      <c r="D793" s="1672">
        <f t="shared" si="64"/>
        <v>2969.58</v>
      </c>
      <c r="E793" s="1670"/>
      <c r="F793" s="1732">
        <f t="shared" si="66"/>
        <v>1332.8800000000263</v>
      </c>
      <c r="G793" s="1672">
        <f t="shared" si="63"/>
        <v>1866.03</v>
      </c>
      <c r="H793" s="1670"/>
      <c r="I793" s="1670"/>
    </row>
    <row r="794" spans="1:9" ht="15.75">
      <c r="A794" s="1622"/>
      <c r="B794" s="1691">
        <f t="shared" si="67"/>
        <v>790</v>
      </c>
      <c r="C794" s="1731">
        <f t="shared" si="65"/>
        <v>2123.820000000032</v>
      </c>
      <c r="D794" s="1672">
        <f t="shared" si="64"/>
        <v>2973.35</v>
      </c>
      <c r="E794" s="1670"/>
      <c r="F794" s="1732">
        <f t="shared" si="66"/>
        <v>1334.5700000000263</v>
      </c>
      <c r="G794" s="1672">
        <f t="shared" si="63"/>
        <v>1868.4</v>
      </c>
      <c r="H794" s="1670"/>
      <c r="I794" s="1670"/>
    </row>
    <row r="795" spans="1:9" ht="15.75">
      <c r="A795" s="1622"/>
      <c r="B795" s="1691">
        <f t="shared" si="67"/>
        <v>791</v>
      </c>
      <c r="C795" s="1731">
        <f t="shared" si="65"/>
        <v>2126.5100000000321</v>
      </c>
      <c r="D795" s="1672">
        <f t="shared" si="64"/>
        <v>2977.11</v>
      </c>
      <c r="E795" s="1670"/>
      <c r="F795" s="1732">
        <f t="shared" si="66"/>
        <v>1336.2600000000264</v>
      </c>
      <c r="G795" s="1672">
        <f t="shared" si="63"/>
        <v>1870.76</v>
      </c>
      <c r="H795" s="1670"/>
      <c r="I795" s="1670"/>
    </row>
    <row r="796" spans="1:9" ht="15.75">
      <c r="A796" s="1622"/>
      <c r="B796" s="1691">
        <f t="shared" si="67"/>
        <v>792</v>
      </c>
      <c r="C796" s="1731">
        <f t="shared" si="65"/>
        <v>2129.2000000000321</v>
      </c>
      <c r="D796" s="1672">
        <f t="shared" si="64"/>
        <v>2980.88</v>
      </c>
      <c r="E796" s="1670"/>
      <c r="F796" s="1732">
        <f t="shared" si="66"/>
        <v>1337.9500000000264</v>
      </c>
      <c r="G796" s="1672">
        <f t="shared" si="63"/>
        <v>1873.13</v>
      </c>
      <c r="H796" s="1670"/>
      <c r="I796" s="1670"/>
    </row>
    <row r="797" spans="1:9" ht="15.75">
      <c r="A797" s="1622"/>
      <c r="B797" s="1691">
        <f t="shared" si="67"/>
        <v>793</v>
      </c>
      <c r="C797" s="1731">
        <f t="shared" si="65"/>
        <v>2131.8900000000322</v>
      </c>
      <c r="D797" s="1672">
        <f t="shared" si="64"/>
        <v>2984.65</v>
      </c>
      <c r="E797" s="1670"/>
      <c r="F797" s="1732">
        <f t="shared" si="66"/>
        <v>1339.6400000000265</v>
      </c>
      <c r="G797" s="1672">
        <f t="shared" si="63"/>
        <v>1875.5</v>
      </c>
      <c r="H797" s="1670"/>
      <c r="I797" s="1670"/>
    </row>
    <row r="798" spans="1:9" ht="15.75">
      <c r="A798" s="1622"/>
      <c r="B798" s="1691">
        <f t="shared" si="67"/>
        <v>794</v>
      </c>
      <c r="C798" s="1731">
        <f t="shared" si="65"/>
        <v>2134.5800000000322</v>
      </c>
      <c r="D798" s="1672">
        <f t="shared" si="64"/>
        <v>2988.41</v>
      </c>
      <c r="E798" s="1670"/>
      <c r="F798" s="1732">
        <f t="shared" si="66"/>
        <v>1341.3300000000265</v>
      </c>
      <c r="G798" s="1672">
        <f t="shared" si="63"/>
        <v>1877.86</v>
      </c>
      <c r="H798" s="1670"/>
      <c r="I798" s="1670"/>
    </row>
    <row r="799" spans="1:9" ht="15.75">
      <c r="A799" s="1622"/>
      <c r="B799" s="1691">
        <f t="shared" si="67"/>
        <v>795</v>
      </c>
      <c r="C799" s="1731">
        <f t="shared" si="65"/>
        <v>2137.2700000000323</v>
      </c>
      <c r="D799" s="1672">
        <f t="shared" si="64"/>
        <v>2992.18</v>
      </c>
      <c r="E799" s="1670"/>
      <c r="F799" s="1732">
        <f t="shared" si="66"/>
        <v>1343.0200000000266</v>
      </c>
      <c r="G799" s="1672">
        <f t="shared" si="63"/>
        <v>1880.23</v>
      </c>
      <c r="H799" s="1670"/>
      <c r="I799" s="1670"/>
    </row>
    <row r="800" spans="1:9" ht="15.75">
      <c r="A800" s="1622"/>
      <c r="B800" s="1691">
        <f t="shared" si="67"/>
        <v>796</v>
      </c>
      <c r="C800" s="1731">
        <f t="shared" si="65"/>
        <v>2139.9600000000323</v>
      </c>
      <c r="D800" s="1672">
        <f t="shared" si="64"/>
        <v>2995.94</v>
      </c>
      <c r="E800" s="1670"/>
      <c r="F800" s="1732">
        <f t="shared" si="66"/>
        <v>1344.7100000000266</v>
      </c>
      <c r="G800" s="1672">
        <f t="shared" si="63"/>
        <v>1882.59</v>
      </c>
      <c r="H800" s="1670"/>
      <c r="I800" s="1670"/>
    </row>
    <row r="801" spans="1:9" ht="15.75">
      <c r="A801" s="1622"/>
      <c r="B801" s="1691">
        <f t="shared" si="67"/>
        <v>797</v>
      </c>
      <c r="C801" s="1731">
        <f t="shared" si="65"/>
        <v>2142.6500000000324</v>
      </c>
      <c r="D801" s="1672">
        <f t="shared" si="64"/>
        <v>2999.71</v>
      </c>
      <c r="E801" s="1670"/>
      <c r="F801" s="1732">
        <f t="shared" si="66"/>
        <v>1346.4000000000267</v>
      </c>
      <c r="G801" s="1672">
        <f t="shared" si="63"/>
        <v>1884.96</v>
      </c>
      <c r="H801" s="1670"/>
      <c r="I801" s="1670"/>
    </row>
    <row r="802" spans="1:9" ht="15.75">
      <c r="A802" s="1622"/>
      <c r="B802" s="1691">
        <f t="shared" si="67"/>
        <v>798</v>
      </c>
      <c r="C802" s="1731">
        <f t="shared" si="65"/>
        <v>2145.3400000000324</v>
      </c>
      <c r="D802" s="1672">
        <f t="shared" si="64"/>
        <v>3003.48</v>
      </c>
      <c r="E802" s="1670"/>
      <c r="F802" s="1732">
        <f t="shared" si="66"/>
        <v>1348.0900000000267</v>
      </c>
      <c r="G802" s="1672">
        <f t="shared" si="63"/>
        <v>1887.33</v>
      </c>
      <c r="H802" s="1670"/>
      <c r="I802" s="1670"/>
    </row>
    <row r="803" spans="1:9" ht="15.75">
      <c r="A803" s="1622"/>
      <c r="B803" s="1691">
        <f t="shared" si="67"/>
        <v>799</v>
      </c>
      <c r="C803" s="1731">
        <f t="shared" si="65"/>
        <v>2148.0300000000325</v>
      </c>
      <c r="D803" s="1672">
        <f t="shared" si="64"/>
        <v>3007.24</v>
      </c>
      <c r="E803" s="1670"/>
      <c r="F803" s="1732">
        <f t="shared" si="66"/>
        <v>1349.7800000000268</v>
      </c>
      <c r="G803" s="1672">
        <f t="shared" si="63"/>
        <v>1889.69</v>
      </c>
      <c r="H803" s="1670"/>
      <c r="I803" s="1670"/>
    </row>
    <row r="804" spans="1:9" ht="15.75">
      <c r="A804" s="1622"/>
      <c r="B804" s="1691">
        <f t="shared" si="67"/>
        <v>800</v>
      </c>
      <c r="C804" s="1731">
        <f t="shared" si="65"/>
        <v>2150.7200000000325</v>
      </c>
      <c r="D804" s="1672">
        <f t="shared" si="64"/>
        <v>3011.01</v>
      </c>
      <c r="E804" s="1670"/>
      <c r="F804" s="1732">
        <f t="shared" si="66"/>
        <v>1351.4700000000269</v>
      </c>
      <c r="G804" s="1672">
        <f t="shared" si="63"/>
        <v>1892.06</v>
      </c>
      <c r="H804" s="1670"/>
      <c r="I804" s="1670"/>
    </row>
    <row r="805" spans="1:9" ht="15.75">
      <c r="A805" s="1622"/>
      <c r="B805" s="1691">
        <f t="shared" si="67"/>
        <v>801</v>
      </c>
      <c r="C805" s="1731">
        <f t="shared" si="65"/>
        <v>2153.4100000000326</v>
      </c>
      <c r="D805" s="1672">
        <f t="shared" si="64"/>
        <v>3014.77</v>
      </c>
      <c r="E805" s="1670"/>
      <c r="F805" s="1732">
        <f t="shared" si="66"/>
        <v>1353.1600000000269</v>
      </c>
      <c r="G805" s="1672">
        <f t="shared" si="63"/>
        <v>1894.42</v>
      </c>
      <c r="H805" s="1670"/>
      <c r="I805" s="1670"/>
    </row>
    <row r="806" spans="1:9" ht="15.75">
      <c r="A806" s="1622"/>
      <c r="B806" s="1691">
        <f t="shared" si="67"/>
        <v>802</v>
      </c>
      <c r="C806" s="1731">
        <f t="shared" si="65"/>
        <v>2156.1000000000327</v>
      </c>
      <c r="D806" s="1672">
        <f t="shared" si="64"/>
        <v>3018.54</v>
      </c>
      <c r="E806" s="1670"/>
      <c r="F806" s="1732">
        <f t="shared" si="66"/>
        <v>1354.850000000027</v>
      </c>
      <c r="G806" s="1672">
        <f t="shared" si="63"/>
        <v>1896.79</v>
      </c>
      <c r="H806" s="1670"/>
      <c r="I806" s="1670"/>
    </row>
    <row r="807" spans="1:9" ht="15.75">
      <c r="A807" s="1622"/>
      <c r="B807" s="1691">
        <f t="shared" si="67"/>
        <v>803</v>
      </c>
      <c r="C807" s="1731">
        <f t="shared" si="65"/>
        <v>2158.7900000000327</v>
      </c>
      <c r="D807" s="1672">
        <f t="shared" si="64"/>
        <v>3022.31</v>
      </c>
      <c r="E807" s="1670"/>
      <c r="F807" s="1732">
        <f t="shared" si="66"/>
        <v>1356.540000000027</v>
      </c>
      <c r="G807" s="1672">
        <f t="shared" si="63"/>
        <v>1899.16</v>
      </c>
      <c r="H807" s="1670"/>
      <c r="I807" s="1670"/>
    </row>
    <row r="808" spans="1:9" ht="15.75">
      <c r="A808" s="1622"/>
      <c r="B808" s="1691">
        <f t="shared" si="67"/>
        <v>804</v>
      </c>
      <c r="C808" s="1731">
        <f t="shared" si="65"/>
        <v>2161.4800000000328</v>
      </c>
      <c r="D808" s="1672">
        <f t="shared" si="64"/>
        <v>3026.07</v>
      </c>
      <c r="E808" s="1670"/>
      <c r="F808" s="1732">
        <f t="shared" si="66"/>
        <v>1358.2300000000271</v>
      </c>
      <c r="G808" s="1672">
        <f t="shared" si="63"/>
        <v>1901.52</v>
      </c>
      <c r="H808" s="1670"/>
      <c r="I808" s="1670"/>
    </row>
    <row r="809" spans="1:9" ht="15.75">
      <c r="A809" s="1622"/>
      <c r="B809" s="1691">
        <f t="shared" si="67"/>
        <v>805</v>
      </c>
      <c r="C809" s="1731">
        <f t="shared" si="65"/>
        <v>2164.1700000000328</v>
      </c>
      <c r="D809" s="1672">
        <f t="shared" si="64"/>
        <v>3029.84</v>
      </c>
      <c r="E809" s="1670"/>
      <c r="F809" s="1732">
        <f t="shared" si="66"/>
        <v>1359.9200000000271</v>
      </c>
      <c r="G809" s="1672">
        <f t="shared" si="63"/>
        <v>1903.89</v>
      </c>
      <c r="H809" s="1670"/>
      <c r="I809" s="1670"/>
    </row>
    <row r="810" spans="1:9" ht="15.75">
      <c r="A810" s="1622"/>
      <c r="B810" s="1691">
        <f t="shared" si="67"/>
        <v>806</v>
      </c>
      <c r="C810" s="1731">
        <f t="shared" si="65"/>
        <v>2166.8600000000329</v>
      </c>
      <c r="D810" s="1672">
        <f t="shared" si="64"/>
        <v>3033.6</v>
      </c>
      <c r="E810" s="1670"/>
      <c r="F810" s="1732">
        <f t="shared" si="66"/>
        <v>1361.6100000000272</v>
      </c>
      <c r="G810" s="1672">
        <f t="shared" si="63"/>
        <v>1906.25</v>
      </c>
      <c r="H810" s="1670"/>
      <c r="I810" s="1670"/>
    </row>
    <row r="811" spans="1:9" ht="15.75">
      <c r="A811" s="1622"/>
      <c r="B811" s="1691">
        <f t="shared" si="67"/>
        <v>807</v>
      </c>
      <c r="C811" s="1731">
        <f t="shared" si="65"/>
        <v>2169.5500000000329</v>
      </c>
      <c r="D811" s="1672">
        <f t="shared" si="64"/>
        <v>3037.37</v>
      </c>
      <c r="E811" s="1670"/>
      <c r="F811" s="1732">
        <f t="shared" si="66"/>
        <v>1363.3000000000272</v>
      </c>
      <c r="G811" s="1672">
        <f t="shared" si="63"/>
        <v>1908.62</v>
      </c>
      <c r="H811" s="1670"/>
      <c r="I811" s="1670"/>
    </row>
    <row r="812" spans="1:9" ht="15.75">
      <c r="A812" s="1622"/>
      <c r="B812" s="1691">
        <f t="shared" si="67"/>
        <v>808</v>
      </c>
      <c r="C812" s="1731">
        <f t="shared" si="65"/>
        <v>2172.240000000033</v>
      </c>
      <c r="D812" s="1672">
        <f t="shared" si="64"/>
        <v>3041.14</v>
      </c>
      <c r="E812" s="1670"/>
      <c r="F812" s="1732">
        <f t="shared" si="66"/>
        <v>1364.9900000000273</v>
      </c>
      <c r="G812" s="1672">
        <f t="shared" si="63"/>
        <v>1910.99</v>
      </c>
      <c r="H812" s="1670"/>
      <c r="I812" s="1670"/>
    </row>
    <row r="813" spans="1:9" ht="15.75">
      <c r="A813" s="1622"/>
      <c r="B813" s="1691">
        <f t="shared" si="67"/>
        <v>809</v>
      </c>
      <c r="C813" s="1731">
        <f t="shared" si="65"/>
        <v>2174.930000000033</v>
      </c>
      <c r="D813" s="1672">
        <f t="shared" si="64"/>
        <v>3044.9</v>
      </c>
      <c r="E813" s="1670"/>
      <c r="F813" s="1732">
        <f t="shared" si="66"/>
        <v>1366.6800000000273</v>
      </c>
      <c r="G813" s="1672">
        <f t="shared" si="63"/>
        <v>1913.35</v>
      </c>
      <c r="H813" s="1670"/>
      <c r="I813" s="1670"/>
    </row>
    <row r="814" spans="1:9" ht="15.75">
      <c r="A814" s="1622"/>
      <c r="B814" s="1691">
        <f t="shared" si="67"/>
        <v>810</v>
      </c>
      <c r="C814" s="1731">
        <f t="shared" si="65"/>
        <v>2177.6200000000331</v>
      </c>
      <c r="D814" s="1672">
        <f t="shared" si="64"/>
        <v>3048.67</v>
      </c>
      <c r="E814" s="1670"/>
      <c r="F814" s="1732">
        <f t="shared" si="66"/>
        <v>1368.3700000000274</v>
      </c>
      <c r="G814" s="1672">
        <f t="shared" si="63"/>
        <v>1915.72</v>
      </c>
      <c r="H814" s="1670"/>
      <c r="I814" s="1670"/>
    </row>
    <row r="815" spans="1:9" ht="15.75">
      <c r="A815" s="1622"/>
      <c r="B815" s="1691">
        <f t="shared" si="67"/>
        <v>811</v>
      </c>
      <c r="C815" s="1731">
        <f t="shared" si="65"/>
        <v>2180.3100000000331</v>
      </c>
      <c r="D815" s="1672">
        <f t="shared" si="64"/>
        <v>3052.43</v>
      </c>
      <c r="E815" s="1670"/>
      <c r="F815" s="1732">
        <f t="shared" si="66"/>
        <v>1370.0600000000275</v>
      </c>
      <c r="G815" s="1672">
        <f t="shared" si="63"/>
        <v>1918.08</v>
      </c>
      <c r="H815" s="1670"/>
      <c r="I815" s="1670"/>
    </row>
    <row r="816" spans="1:9" ht="15.75">
      <c r="A816" s="1622"/>
      <c r="B816" s="1691">
        <f t="shared" si="67"/>
        <v>812</v>
      </c>
      <c r="C816" s="1731">
        <f t="shared" si="65"/>
        <v>2183.0000000000332</v>
      </c>
      <c r="D816" s="1672">
        <f t="shared" si="64"/>
        <v>3056.2</v>
      </c>
      <c r="E816" s="1670"/>
      <c r="F816" s="1732">
        <f t="shared" si="66"/>
        <v>1371.7500000000275</v>
      </c>
      <c r="G816" s="1672">
        <f t="shared" si="63"/>
        <v>1920.45</v>
      </c>
      <c r="H816" s="1670"/>
      <c r="I816" s="1670"/>
    </row>
    <row r="817" spans="1:9" ht="15.75">
      <c r="A817" s="1622"/>
      <c r="B817" s="1691">
        <f t="shared" si="67"/>
        <v>813</v>
      </c>
      <c r="C817" s="1731">
        <f t="shared" si="65"/>
        <v>2185.6900000000333</v>
      </c>
      <c r="D817" s="1672">
        <f t="shared" si="64"/>
        <v>3059.97</v>
      </c>
      <c r="E817" s="1670"/>
      <c r="F817" s="1732">
        <f t="shared" si="66"/>
        <v>1373.4400000000276</v>
      </c>
      <c r="G817" s="1672">
        <f t="shared" si="63"/>
        <v>1922.82</v>
      </c>
      <c r="H817" s="1670"/>
      <c r="I817" s="1670"/>
    </row>
    <row r="818" spans="1:9" ht="15.75">
      <c r="A818" s="1622"/>
      <c r="B818" s="1691">
        <f t="shared" si="67"/>
        <v>814</v>
      </c>
      <c r="C818" s="1731">
        <f t="shared" si="65"/>
        <v>2188.3800000000333</v>
      </c>
      <c r="D818" s="1672">
        <f t="shared" si="64"/>
        <v>3063.73</v>
      </c>
      <c r="E818" s="1670"/>
      <c r="F818" s="1732">
        <f t="shared" si="66"/>
        <v>1375.1300000000276</v>
      </c>
      <c r="G818" s="1672">
        <f t="shared" si="63"/>
        <v>1925.18</v>
      </c>
      <c r="H818" s="1670"/>
      <c r="I818" s="1670"/>
    </row>
    <row r="819" spans="1:9" ht="15.75">
      <c r="A819" s="1622"/>
      <c r="B819" s="1691">
        <f t="shared" si="67"/>
        <v>815</v>
      </c>
      <c r="C819" s="1731">
        <f t="shared" si="65"/>
        <v>2191.0700000000334</v>
      </c>
      <c r="D819" s="1672">
        <f t="shared" si="64"/>
        <v>3067.5</v>
      </c>
      <c r="E819" s="1670"/>
      <c r="F819" s="1732">
        <f t="shared" si="66"/>
        <v>1376.8200000000277</v>
      </c>
      <c r="G819" s="1672">
        <f t="shared" si="63"/>
        <v>1927.55</v>
      </c>
      <c r="H819" s="1670"/>
      <c r="I819" s="1670"/>
    </row>
    <row r="820" spans="1:9" ht="15.75">
      <c r="A820" s="1622"/>
      <c r="B820" s="1691">
        <f t="shared" si="67"/>
        <v>816</v>
      </c>
      <c r="C820" s="1731">
        <f t="shared" si="65"/>
        <v>2193.7600000000334</v>
      </c>
      <c r="D820" s="1672">
        <f t="shared" si="64"/>
        <v>3071.26</v>
      </c>
      <c r="E820" s="1670"/>
      <c r="F820" s="1732">
        <f t="shared" si="66"/>
        <v>1378.5100000000277</v>
      </c>
      <c r="G820" s="1672">
        <f t="shared" si="63"/>
        <v>1929.91</v>
      </c>
      <c r="H820" s="1670"/>
      <c r="I820" s="1670"/>
    </row>
    <row r="821" spans="1:9" ht="15.75">
      <c r="A821" s="1622"/>
      <c r="B821" s="1691">
        <f t="shared" si="67"/>
        <v>817</v>
      </c>
      <c r="C821" s="1731">
        <f t="shared" si="65"/>
        <v>2196.4500000000335</v>
      </c>
      <c r="D821" s="1672">
        <f t="shared" si="64"/>
        <v>3075.03</v>
      </c>
      <c r="E821" s="1670"/>
      <c r="F821" s="1732">
        <f t="shared" si="66"/>
        <v>1380.2000000000278</v>
      </c>
      <c r="G821" s="1672">
        <f t="shared" si="63"/>
        <v>1932.28</v>
      </c>
      <c r="H821" s="1670"/>
      <c r="I821" s="1670"/>
    </row>
    <row r="822" spans="1:9" ht="15.75">
      <c r="A822" s="1622"/>
      <c r="B822" s="1691">
        <f t="shared" si="67"/>
        <v>818</v>
      </c>
      <c r="C822" s="1731">
        <f t="shared" si="65"/>
        <v>2199.1400000000335</v>
      </c>
      <c r="D822" s="1672">
        <f t="shared" si="64"/>
        <v>3078.8</v>
      </c>
      <c r="E822" s="1670"/>
      <c r="F822" s="1732">
        <f t="shared" si="66"/>
        <v>1381.8900000000278</v>
      </c>
      <c r="G822" s="1672">
        <f t="shared" si="63"/>
        <v>1934.65</v>
      </c>
      <c r="H822" s="1670"/>
      <c r="I822" s="1670"/>
    </row>
    <row r="823" spans="1:9" ht="15.75">
      <c r="A823" s="1622"/>
      <c r="B823" s="1691">
        <f t="shared" si="67"/>
        <v>819</v>
      </c>
      <c r="C823" s="1731">
        <f t="shared" si="65"/>
        <v>2201.8300000000336</v>
      </c>
      <c r="D823" s="1672">
        <f t="shared" si="64"/>
        <v>3082.56</v>
      </c>
      <c r="E823" s="1670"/>
      <c r="F823" s="1732">
        <f t="shared" si="66"/>
        <v>1383.5800000000279</v>
      </c>
      <c r="G823" s="1672">
        <f t="shared" si="63"/>
        <v>1937.01</v>
      </c>
      <c r="H823" s="1670"/>
      <c r="I823" s="1670"/>
    </row>
    <row r="824" spans="1:9" ht="15.75">
      <c r="A824" s="1622"/>
      <c r="B824" s="1691">
        <f t="shared" si="67"/>
        <v>820</v>
      </c>
      <c r="C824" s="1731">
        <f t="shared" si="65"/>
        <v>2204.5200000000336</v>
      </c>
      <c r="D824" s="1672">
        <f t="shared" si="64"/>
        <v>3086.33</v>
      </c>
      <c r="E824" s="1670"/>
      <c r="F824" s="1732">
        <f t="shared" si="66"/>
        <v>1385.2700000000279</v>
      </c>
      <c r="G824" s="1672">
        <f t="shared" si="63"/>
        <v>1939.38</v>
      </c>
      <c r="H824" s="1670"/>
      <c r="I824" s="1670"/>
    </row>
    <row r="825" spans="1:9" ht="15.75">
      <c r="A825" s="1622"/>
      <c r="B825" s="1691">
        <f t="shared" si="67"/>
        <v>821</v>
      </c>
      <c r="C825" s="1731">
        <f t="shared" si="65"/>
        <v>2207.2100000000337</v>
      </c>
      <c r="D825" s="1672">
        <f t="shared" si="64"/>
        <v>3090.09</v>
      </c>
      <c r="E825" s="1670"/>
      <c r="F825" s="1732">
        <f t="shared" si="66"/>
        <v>1386.960000000028</v>
      </c>
      <c r="G825" s="1672">
        <f t="shared" si="63"/>
        <v>1941.74</v>
      </c>
      <c r="H825" s="1670"/>
      <c r="I825" s="1670"/>
    </row>
    <row r="826" spans="1:9" ht="15.75">
      <c r="A826" s="1622"/>
      <c r="B826" s="1691">
        <f t="shared" si="67"/>
        <v>822</v>
      </c>
      <c r="C826" s="1731">
        <f t="shared" si="65"/>
        <v>2209.9000000000337</v>
      </c>
      <c r="D826" s="1672">
        <f t="shared" si="64"/>
        <v>3093.86</v>
      </c>
      <c r="E826" s="1670"/>
      <c r="F826" s="1732">
        <f t="shared" si="66"/>
        <v>1388.6500000000281</v>
      </c>
      <c r="G826" s="1672">
        <f t="shared" si="63"/>
        <v>1944.11</v>
      </c>
      <c r="H826" s="1670"/>
      <c r="I826" s="1670"/>
    </row>
    <row r="827" spans="1:9" ht="15.75">
      <c r="A827" s="1622"/>
      <c r="B827" s="1691">
        <f t="shared" si="67"/>
        <v>823</v>
      </c>
      <c r="C827" s="1731">
        <f t="shared" si="65"/>
        <v>2212.5900000000338</v>
      </c>
      <c r="D827" s="1672">
        <f t="shared" si="64"/>
        <v>3097.63</v>
      </c>
      <c r="E827" s="1670"/>
      <c r="F827" s="1732">
        <f t="shared" si="66"/>
        <v>1390.3400000000281</v>
      </c>
      <c r="G827" s="1672">
        <f t="shared" si="63"/>
        <v>1946.48</v>
      </c>
      <c r="H827" s="1670"/>
      <c r="I827" s="1670"/>
    </row>
    <row r="828" spans="1:9" ht="15.75">
      <c r="A828" s="1622"/>
      <c r="B828" s="1691">
        <f t="shared" si="67"/>
        <v>824</v>
      </c>
      <c r="C828" s="1731">
        <f t="shared" si="65"/>
        <v>2215.2800000000339</v>
      </c>
      <c r="D828" s="1672">
        <f t="shared" si="64"/>
        <v>3101.39</v>
      </c>
      <c r="E828" s="1670"/>
      <c r="F828" s="1732">
        <f t="shared" si="66"/>
        <v>1392.0300000000282</v>
      </c>
      <c r="G828" s="1672">
        <f t="shared" si="63"/>
        <v>1948.84</v>
      </c>
      <c r="H828" s="1670"/>
      <c r="I828" s="1670"/>
    </row>
    <row r="829" spans="1:9" ht="15.75">
      <c r="A829" s="1622"/>
      <c r="B829" s="1691">
        <f t="shared" si="67"/>
        <v>825</v>
      </c>
      <c r="C829" s="1731">
        <f t="shared" si="65"/>
        <v>2217.9700000000339</v>
      </c>
      <c r="D829" s="1672">
        <f t="shared" si="64"/>
        <v>3105.16</v>
      </c>
      <c r="E829" s="1670"/>
      <c r="F829" s="1732">
        <f t="shared" si="66"/>
        <v>1393.7200000000282</v>
      </c>
      <c r="G829" s="1672">
        <f t="shared" si="63"/>
        <v>1951.21</v>
      </c>
      <c r="H829" s="1670"/>
      <c r="I829" s="1670"/>
    </row>
    <row r="830" spans="1:9" ht="15.75">
      <c r="A830" s="1622"/>
      <c r="B830" s="1691">
        <f t="shared" si="67"/>
        <v>826</v>
      </c>
      <c r="C830" s="1731">
        <f t="shared" si="65"/>
        <v>2220.660000000034</v>
      </c>
      <c r="D830" s="1672">
        <f t="shared" si="64"/>
        <v>3108.92</v>
      </c>
      <c r="E830" s="1670"/>
      <c r="F830" s="1732">
        <f t="shared" si="66"/>
        <v>1395.4100000000283</v>
      </c>
      <c r="G830" s="1672">
        <f t="shared" si="63"/>
        <v>1953.57</v>
      </c>
      <c r="H830" s="1670"/>
      <c r="I830" s="1670"/>
    </row>
    <row r="831" spans="1:9" ht="15.75">
      <c r="A831" s="1622"/>
      <c r="B831" s="1691">
        <f t="shared" si="67"/>
        <v>827</v>
      </c>
      <c r="C831" s="1731">
        <f t="shared" si="65"/>
        <v>2223.350000000034</v>
      </c>
      <c r="D831" s="1672">
        <f t="shared" si="64"/>
        <v>3112.69</v>
      </c>
      <c r="E831" s="1670"/>
      <c r="F831" s="1732">
        <f t="shared" si="66"/>
        <v>1397.1000000000283</v>
      </c>
      <c r="G831" s="1672">
        <f t="shared" si="63"/>
        <v>1955.94</v>
      </c>
      <c r="H831" s="1670"/>
      <c r="I831" s="1670"/>
    </row>
    <row r="832" spans="1:9" ht="15.75">
      <c r="A832" s="1622"/>
      <c r="B832" s="1691">
        <f t="shared" si="67"/>
        <v>828</v>
      </c>
      <c r="C832" s="1731">
        <f t="shared" si="65"/>
        <v>2226.0400000000341</v>
      </c>
      <c r="D832" s="1672">
        <f t="shared" si="64"/>
        <v>3116.46</v>
      </c>
      <c r="E832" s="1670"/>
      <c r="F832" s="1732">
        <f t="shared" si="66"/>
        <v>1398.7900000000284</v>
      </c>
      <c r="G832" s="1672">
        <f t="shared" si="63"/>
        <v>1958.31</v>
      </c>
      <c r="H832" s="1670"/>
      <c r="I832" s="1670"/>
    </row>
    <row r="833" spans="1:9" ht="15.75">
      <c r="A833" s="1622"/>
      <c r="B833" s="1691">
        <f t="shared" si="67"/>
        <v>829</v>
      </c>
      <c r="C833" s="1731">
        <f t="shared" si="65"/>
        <v>2228.7300000000341</v>
      </c>
      <c r="D833" s="1672">
        <f t="shared" si="64"/>
        <v>3120.22</v>
      </c>
      <c r="E833" s="1670"/>
      <c r="F833" s="1732">
        <f t="shared" si="66"/>
        <v>1400.4800000000284</v>
      </c>
      <c r="G833" s="1672">
        <f t="shared" si="63"/>
        <v>1960.67</v>
      </c>
      <c r="H833" s="1670"/>
      <c r="I833" s="1670"/>
    </row>
    <row r="834" spans="1:9" ht="15.75">
      <c r="A834" s="1622"/>
      <c r="B834" s="1691">
        <f t="shared" si="67"/>
        <v>830</v>
      </c>
      <c r="C834" s="1731">
        <f t="shared" si="65"/>
        <v>2231.4200000000342</v>
      </c>
      <c r="D834" s="1672">
        <f t="shared" si="64"/>
        <v>3123.99</v>
      </c>
      <c r="E834" s="1670"/>
      <c r="F834" s="1732">
        <f t="shared" si="66"/>
        <v>1402.1700000000285</v>
      </c>
      <c r="G834" s="1672">
        <f t="shared" si="63"/>
        <v>1963.04</v>
      </c>
      <c r="H834" s="1670"/>
      <c r="I834" s="1670"/>
    </row>
    <row r="835" spans="1:9" ht="15.75">
      <c r="A835" s="1622"/>
      <c r="B835" s="1691">
        <f t="shared" si="67"/>
        <v>831</v>
      </c>
      <c r="C835" s="1731">
        <f t="shared" si="65"/>
        <v>2234.1100000000342</v>
      </c>
      <c r="D835" s="1672">
        <f t="shared" si="64"/>
        <v>3127.75</v>
      </c>
      <c r="E835" s="1670"/>
      <c r="F835" s="1732">
        <f t="shared" si="66"/>
        <v>1403.8600000000285</v>
      </c>
      <c r="G835" s="1672">
        <f t="shared" si="63"/>
        <v>1965.4</v>
      </c>
      <c r="H835" s="1670"/>
      <c r="I835" s="1670"/>
    </row>
    <row r="836" spans="1:9" ht="15.75">
      <c r="A836" s="1622"/>
      <c r="B836" s="1691">
        <f t="shared" si="67"/>
        <v>832</v>
      </c>
      <c r="C836" s="1731">
        <f t="shared" si="65"/>
        <v>2236.8000000000343</v>
      </c>
      <c r="D836" s="1672">
        <f t="shared" si="64"/>
        <v>3131.52</v>
      </c>
      <c r="E836" s="1670"/>
      <c r="F836" s="1732">
        <f t="shared" si="66"/>
        <v>1405.5500000000286</v>
      </c>
      <c r="G836" s="1672">
        <f t="shared" si="63"/>
        <v>1967.77</v>
      </c>
      <c r="H836" s="1670"/>
      <c r="I836" s="1670"/>
    </row>
    <row r="837" spans="1:9" ht="15.75">
      <c r="A837" s="1622"/>
      <c r="B837" s="1691">
        <f t="shared" si="67"/>
        <v>833</v>
      </c>
      <c r="C837" s="1731">
        <f t="shared" si="65"/>
        <v>2239.4900000000343</v>
      </c>
      <c r="D837" s="1672">
        <f t="shared" si="64"/>
        <v>3135.29</v>
      </c>
      <c r="E837" s="1670"/>
      <c r="F837" s="1732">
        <f t="shared" si="66"/>
        <v>1407.2400000000287</v>
      </c>
      <c r="G837" s="1672">
        <f t="shared" ref="G837:G900" si="68">ROUND(F837*1.4,2)</f>
        <v>1970.14</v>
      </c>
      <c r="H837" s="1670"/>
      <c r="I837" s="1670"/>
    </row>
    <row r="838" spans="1:9" ht="15.75">
      <c r="A838" s="1622"/>
      <c r="B838" s="1691">
        <f t="shared" si="67"/>
        <v>834</v>
      </c>
      <c r="C838" s="1731">
        <f t="shared" si="65"/>
        <v>2242.1800000000344</v>
      </c>
      <c r="D838" s="1672">
        <f t="shared" ref="D838:D901" si="69">ROUND(C838*1.4,2)</f>
        <v>3139.05</v>
      </c>
      <c r="E838" s="1670"/>
      <c r="F838" s="1732">
        <f t="shared" si="66"/>
        <v>1408.9300000000287</v>
      </c>
      <c r="G838" s="1672">
        <f t="shared" si="68"/>
        <v>1972.5</v>
      </c>
      <c r="H838" s="1670"/>
      <c r="I838" s="1670"/>
    </row>
    <row r="839" spans="1:9" ht="15.75">
      <c r="A839" s="1622"/>
      <c r="B839" s="1691">
        <f t="shared" si="67"/>
        <v>835</v>
      </c>
      <c r="C839" s="1731">
        <f t="shared" si="65"/>
        <v>2244.8700000000345</v>
      </c>
      <c r="D839" s="1672">
        <f t="shared" si="69"/>
        <v>3142.82</v>
      </c>
      <c r="E839" s="1670"/>
      <c r="F839" s="1732">
        <f t="shared" si="66"/>
        <v>1410.6200000000288</v>
      </c>
      <c r="G839" s="1672">
        <f t="shared" si="68"/>
        <v>1974.87</v>
      </c>
      <c r="H839" s="1670"/>
      <c r="I839" s="1670"/>
    </row>
    <row r="840" spans="1:9" ht="15.75">
      <c r="A840" s="1622"/>
      <c r="B840" s="1691">
        <f t="shared" si="67"/>
        <v>836</v>
      </c>
      <c r="C840" s="1731">
        <f t="shared" si="65"/>
        <v>2247.5600000000345</v>
      </c>
      <c r="D840" s="1672">
        <f t="shared" si="69"/>
        <v>3146.58</v>
      </c>
      <c r="E840" s="1670"/>
      <c r="F840" s="1732">
        <f t="shared" si="66"/>
        <v>1412.3100000000288</v>
      </c>
      <c r="G840" s="1672">
        <f t="shared" si="68"/>
        <v>1977.23</v>
      </c>
      <c r="H840" s="1670"/>
      <c r="I840" s="1670"/>
    </row>
    <row r="841" spans="1:9" ht="15.75">
      <c r="A841" s="1622"/>
      <c r="B841" s="1691">
        <f t="shared" si="67"/>
        <v>837</v>
      </c>
      <c r="C841" s="1731">
        <f t="shared" si="65"/>
        <v>2250.2500000000346</v>
      </c>
      <c r="D841" s="1672">
        <f t="shared" si="69"/>
        <v>3150.35</v>
      </c>
      <c r="E841" s="1670"/>
      <c r="F841" s="1732">
        <f t="shared" si="66"/>
        <v>1414.0000000000289</v>
      </c>
      <c r="G841" s="1672">
        <f t="shared" si="68"/>
        <v>1979.6</v>
      </c>
      <c r="H841" s="1670"/>
      <c r="I841" s="1670"/>
    </row>
    <row r="842" spans="1:9" ht="15.75">
      <c r="A842" s="1622"/>
      <c r="B842" s="1691">
        <f t="shared" si="67"/>
        <v>838</v>
      </c>
      <c r="C842" s="1731">
        <f t="shared" si="65"/>
        <v>2252.9400000000346</v>
      </c>
      <c r="D842" s="1672">
        <f t="shared" si="69"/>
        <v>3154.12</v>
      </c>
      <c r="E842" s="1670"/>
      <c r="F842" s="1732">
        <f t="shared" si="66"/>
        <v>1415.6900000000289</v>
      </c>
      <c r="G842" s="1672">
        <f t="shared" si="68"/>
        <v>1981.97</v>
      </c>
      <c r="H842" s="1670"/>
      <c r="I842" s="1670"/>
    </row>
    <row r="843" spans="1:9" ht="15.75">
      <c r="A843" s="1622"/>
      <c r="B843" s="1691">
        <f t="shared" si="67"/>
        <v>839</v>
      </c>
      <c r="C843" s="1731">
        <f t="shared" si="65"/>
        <v>2255.6300000000347</v>
      </c>
      <c r="D843" s="1672">
        <f t="shared" si="69"/>
        <v>3157.88</v>
      </c>
      <c r="E843" s="1670"/>
      <c r="F843" s="1732">
        <f t="shared" si="66"/>
        <v>1417.380000000029</v>
      </c>
      <c r="G843" s="1672">
        <f t="shared" si="68"/>
        <v>1984.33</v>
      </c>
      <c r="H843" s="1670"/>
      <c r="I843" s="1670"/>
    </row>
    <row r="844" spans="1:9" ht="15.75">
      <c r="A844" s="1622"/>
      <c r="B844" s="1691">
        <f t="shared" si="67"/>
        <v>840</v>
      </c>
      <c r="C844" s="1731">
        <f t="shared" si="65"/>
        <v>2258.3200000000347</v>
      </c>
      <c r="D844" s="1672">
        <f t="shared" si="69"/>
        <v>3161.65</v>
      </c>
      <c r="E844" s="1670"/>
      <c r="F844" s="1732">
        <f t="shared" si="66"/>
        <v>1419.070000000029</v>
      </c>
      <c r="G844" s="1672">
        <f t="shared" si="68"/>
        <v>1986.7</v>
      </c>
      <c r="H844" s="1670"/>
      <c r="I844" s="1670"/>
    </row>
    <row r="845" spans="1:9" ht="15.75">
      <c r="A845" s="1622"/>
      <c r="B845" s="1691">
        <f t="shared" si="67"/>
        <v>841</v>
      </c>
      <c r="C845" s="1731">
        <f t="shared" ref="C845:C908" si="70">C844+$C$1006</f>
        <v>2261.0100000000348</v>
      </c>
      <c r="D845" s="1672">
        <f t="shared" si="69"/>
        <v>3165.41</v>
      </c>
      <c r="E845" s="1670"/>
      <c r="F845" s="1732">
        <f t="shared" ref="F845:F908" si="71">F844+$F$1006</f>
        <v>1420.7600000000291</v>
      </c>
      <c r="G845" s="1672">
        <f t="shared" si="68"/>
        <v>1989.06</v>
      </c>
      <c r="H845" s="1670"/>
      <c r="I845" s="1670"/>
    </row>
    <row r="846" spans="1:9" ht="15.75">
      <c r="A846" s="1622"/>
      <c r="B846" s="1691">
        <f t="shared" ref="B846:B909" si="72">B845+1</f>
        <v>842</v>
      </c>
      <c r="C846" s="1731">
        <f t="shared" si="70"/>
        <v>2263.7000000000348</v>
      </c>
      <c r="D846" s="1672">
        <f t="shared" si="69"/>
        <v>3169.18</v>
      </c>
      <c r="E846" s="1670"/>
      <c r="F846" s="1732">
        <f t="shared" si="71"/>
        <v>1422.4500000000291</v>
      </c>
      <c r="G846" s="1672">
        <f t="shared" si="68"/>
        <v>1991.43</v>
      </c>
      <c r="H846" s="1670"/>
      <c r="I846" s="1670"/>
    </row>
    <row r="847" spans="1:9" ht="15.75">
      <c r="A847" s="1622"/>
      <c r="B847" s="1691">
        <f t="shared" si="72"/>
        <v>843</v>
      </c>
      <c r="C847" s="1731">
        <f t="shared" si="70"/>
        <v>2266.3900000000349</v>
      </c>
      <c r="D847" s="1672">
        <f t="shared" si="69"/>
        <v>3172.95</v>
      </c>
      <c r="E847" s="1670"/>
      <c r="F847" s="1732">
        <f t="shared" si="71"/>
        <v>1424.1400000000292</v>
      </c>
      <c r="G847" s="1672">
        <f t="shared" si="68"/>
        <v>1993.8</v>
      </c>
      <c r="H847" s="1670"/>
      <c r="I847" s="1670"/>
    </row>
    <row r="848" spans="1:9" ht="15.75">
      <c r="A848" s="1622"/>
      <c r="B848" s="1691">
        <f t="shared" si="72"/>
        <v>844</v>
      </c>
      <c r="C848" s="1731">
        <f t="shared" si="70"/>
        <v>2269.0800000000349</v>
      </c>
      <c r="D848" s="1672">
        <f t="shared" si="69"/>
        <v>3176.71</v>
      </c>
      <c r="E848" s="1670"/>
      <c r="F848" s="1732">
        <f t="shared" si="71"/>
        <v>1425.8300000000293</v>
      </c>
      <c r="G848" s="1672">
        <f t="shared" si="68"/>
        <v>1996.16</v>
      </c>
      <c r="H848" s="1670"/>
      <c r="I848" s="1670"/>
    </row>
    <row r="849" spans="1:9" ht="15.75">
      <c r="A849" s="1622"/>
      <c r="B849" s="1691">
        <f t="shared" si="72"/>
        <v>845</v>
      </c>
      <c r="C849" s="1731">
        <f t="shared" si="70"/>
        <v>2271.770000000035</v>
      </c>
      <c r="D849" s="1672">
        <f t="shared" si="69"/>
        <v>3180.48</v>
      </c>
      <c r="E849" s="1670"/>
      <c r="F849" s="1732">
        <f t="shared" si="71"/>
        <v>1427.5200000000293</v>
      </c>
      <c r="G849" s="1672">
        <f t="shared" si="68"/>
        <v>1998.53</v>
      </c>
      <c r="H849" s="1670"/>
      <c r="I849" s="1670"/>
    </row>
    <row r="850" spans="1:9" ht="15.75">
      <c r="A850" s="1622"/>
      <c r="B850" s="1691">
        <f t="shared" si="72"/>
        <v>846</v>
      </c>
      <c r="C850" s="1731">
        <f t="shared" si="70"/>
        <v>2274.4600000000351</v>
      </c>
      <c r="D850" s="1672">
        <f t="shared" si="69"/>
        <v>3184.24</v>
      </c>
      <c r="E850" s="1670"/>
      <c r="F850" s="1732">
        <f t="shared" si="71"/>
        <v>1429.2100000000294</v>
      </c>
      <c r="G850" s="1672">
        <f t="shared" si="68"/>
        <v>2000.89</v>
      </c>
      <c r="H850" s="1670"/>
      <c r="I850" s="1670"/>
    </row>
    <row r="851" spans="1:9" ht="15.75">
      <c r="A851" s="1622"/>
      <c r="B851" s="1691">
        <f t="shared" si="72"/>
        <v>847</v>
      </c>
      <c r="C851" s="1731">
        <f t="shared" si="70"/>
        <v>2277.1500000000351</v>
      </c>
      <c r="D851" s="1672">
        <f t="shared" si="69"/>
        <v>3188.01</v>
      </c>
      <c r="E851" s="1670"/>
      <c r="F851" s="1732">
        <f t="shared" si="71"/>
        <v>1430.9000000000294</v>
      </c>
      <c r="G851" s="1672">
        <f t="shared" si="68"/>
        <v>2003.26</v>
      </c>
      <c r="H851" s="1670"/>
      <c r="I851" s="1670"/>
    </row>
    <row r="852" spans="1:9" ht="15.75">
      <c r="A852" s="1622"/>
      <c r="B852" s="1691">
        <f t="shared" si="72"/>
        <v>848</v>
      </c>
      <c r="C852" s="1731">
        <f t="shared" si="70"/>
        <v>2279.8400000000352</v>
      </c>
      <c r="D852" s="1672">
        <f t="shared" si="69"/>
        <v>3191.78</v>
      </c>
      <c r="E852" s="1670"/>
      <c r="F852" s="1732">
        <f t="shared" si="71"/>
        <v>1432.5900000000295</v>
      </c>
      <c r="G852" s="1672">
        <f t="shared" si="68"/>
        <v>2005.63</v>
      </c>
      <c r="H852" s="1670"/>
      <c r="I852" s="1670"/>
    </row>
    <row r="853" spans="1:9" ht="15.75">
      <c r="A853" s="1622"/>
      <c r="B853" s="1691">
        <f t="shared" si="72"/>
        <v>849</v>
      </c>
      <c r="C853" s="1731">
        <f t="shared" si="70"/>
        <v>2282.5300000000352</v>
      </c>
      <c r="D853" s="1672">
        <f t="shared" si="69"/>
        <v>3195.54</v>
      </c>
      <c r="E853" s="1670"/>
      <c r="F853" s="1732">
        <f t="shared" si="71"/>
        <v>1434.2800000000295</v>
      </c>
      <c r="G853" s="1672">
        <f t="shared" si="68"/>
        <v>2007.99</v>
      </c>
      <c r="H853" s="1670"/>
      <c r="I853" s="1670"/>
    </row>
    <row r="854" spans="1:9" ht="15.75">
      <c r="A854" s="1622"/>
      <c r="B854" s="1691">
        <f t="shared" si="72"/>
        <v>850</v>
      </c>
      <c r="C854" s="1731">
        <f t="shared" si="70"/>
        <v>2285.2200000000353</v>
      </c>
      <c r="D854" s="1672">
        <f t="shared" si="69"/>
        <v>3199.31</v>
      </c>
      <c r="E854" s="1670"/>
      <c r="F854" s="1732">
        <f t="shared" si="71"/>
        <v>1435.9700000000296</v>
      </c>
      <c r="G854" s="1672">
        <f t="shared" si="68"/>
        <v>2010.36</v>
      </c>
      <c r="H854" s="1670"/>
      <c r="I854" s="1670"/>
    </row>
    <row r="855" spans="1:9" ht="15.75">
      <c r="A855" s="1622"/>
      <c r="B855" s="1691">
        <f t="shared" si="72"/>
        <v>851</v>
      </c>
      <c r="C855" s="1731">
        <f t="shared" si="70"/>
        <v>2287.9100000000353</v>
      </c>
      <c r="D855" s="1672">
        <f t="shared" si="69"/>
        <v>3203.07</v>
      </c>
      <c r="E855" s="1670"/>
      <c r="F855" s="1732">
        <f t="shared" si="71"/>
        <v>1437.6600000000296</v>
      </c>
      <c r="G855" s="1672">
        <f t="shared" si="68"/>
        <v>2012.72</v>
      </c>
      <c r="H855" s="1670"/>
      <c r="I855" s="1670"/>
    </row>
    <row r="856" spans="1:9" ht="15.75">
      <c r="A856" s="1622"/>
      <c r="B856" s="1691">
        <f t="shared" si="72"/>
        <v>852</v>
      </c>
      <c r="C856" s="1731">
        <f t="shared" si="70"/>
        <v>2290.6000000000354</v>
      </c>
      <c r="D856" s="1672">
        <f t="shared" si="69"/>
        <v>3206.84</v>
      </c>
      <c r="E856" s="1670"/>
      <c r="F856" s="1732">
        <f t="shared" si="71"/>
        <v>1439.3500000000297</v>
      </c>
      <c r="G856" s="1672">
        <f t="shared" si="68"/>
        <v>2015.09</v>
      </c>
      <c r="H856" s="1670"/>
      <c r="I856" s="1670"/>
    </row>
    <row r="857" spans="1:9" ht="15.75">
      <c r="A857" s="1622"/>
      <c r="B857" s="1691">
        <f t="shared" si="72"/>
        <v>853</v>
      </c>
      <c r="C857" s="1731">
        <f t="shared" si="70"/>
        <v>2293.2900000000354</v>
      </c>
      <c r="D857" s="1672">
        <f t="shared" si="69"/>
        <v>3210.61</v>
      </c>
      <c r="E857" s="1670"/>
      <c r="F857" s="1732">
        <f t="shared" si="71"/>
        <v>1441.0400000000297</v>
      </c>
      <c r="G857" s="1672">
        <f t="shared" si="68"/>
        <v>2017.46</v>
      </c>
      <c r="H857" s="1670"/>
      <c r="I857" s="1670"/>
    </row>
    <row r="858" spans="1:9" ht="15.75">
      <c r="A858" s="1622"/>
      <c r="B858" s="1691">
        <f t="shared" si="72"/>
        <v>854</v>
      </c>
      <c r="C858" s="1731">
        <f t="shared" si="70"/>
        <v>2295.9800000000355</v>
      </c>
      <c r="D858" s="1672">
        <f t="shared" si="69"/>
        <v>3214.37</v>
      </c>
      <c r="E858" s="1670"/>
      <c r="F858" s="1732">
        <f t="shared" si="71"/>
        <v>1442.7300000000298</v>
      </c>
      <c r="G858" s="1672">
        <f t="shared" si="68"/>
        <v>2019.82</v>
      </c>
      <c r="H858" s="1670"/>
      <c r="I858" s="1670"/>
    </row>
    <row r="859" spans="1:9" ht="15.75">
      <c r="A859" s="1622"/>
      <c r="B859" s="1691">
        <f t="shared" si="72"/>
        <v>855</v>
      </c>
      <c r="C859" s="1731">
        <f t="shared" si="70"/>
        <v>2298.6700000000355</v>
      </c>
      <c r="D859" s="1672">
        <f t="shared" si="69"/>
        <v>3218.14</v>
      </c>
      <c r="E859" s="1670"/>
      <c r="F859" s="1732">
        <f t="shared" si="71"/>
        <v>1444.4200000000299</v>
      </c>
      <c r="G859" s="1672">
        <f t="shared" si="68"/>
        <v>2022.19</v>
      </c>
      <c r="H859" s="1670"/>
      <c r="I859" s="1670"/>
    </row>
    <row r="860" spans="1:9" ht="15.75">
      <c r="A860" s="1622"/>
      <c r="B860" s="1691">
        <f t="shared" si="72"/>
        <v>856</v>
      </c>
      <c r="C860" s="1731">
        <f t="shared" si="70"/>
        <v>2301.3600000000356</v>
      </c>
      <c r="D860" s="1672">
        <f t="shared" si="69"/>
        <v>3221.9</v>
      </c>
      <c r="E860" s="1670"/>
      <c r="F860" s="1732">
        <f t="shared" si="71"/>
        <v>1446.1100000000299</v>
      </c>
      <c r="G860" s="1672">
        <f t="shared" si="68"/>
        <v>2024.55</v>
      </c>
      <c r="H860" s="1670"/>
      <c r="I860" s="1670"/>
    </row>
    <row r="861" spans="1:9" ht="15.75">
      <c r="A861" s="1622"/>
      <c r="B861" s="1691">
        <f t="shared" si="72"/>
        <v>857</v>
      </c>
      <c r="C861" s="1731">
        <f t="shared" si="70"/>
        <v>2304.0500000000357</v>
      </c>
      <c r="D861" s="1672">
        <f t="shared" si="69"/>
        <v>3225.67</v>
      </c>
      <c r="E861" s="1670"/>
      <c r="F861" s="1732">
        <f t="shared" si="71"/>
        <v>1447.80000000003</v>
      </c>
      <c r="G861" s="1672">
        <f t="shared" si="68"/>
        <v>2026.92</v>
      </c>
      <c r="H861" s="1670"/>
      <c r="I861" s="1670"/>
    </row>
    <row r="862" spans="1:9" ht="15.75">
      <c r="A862" s="1622"/>
      <c r="B862" s="1691">
        <f t="shared" si="72"/>
        <v>858</v>
      </c>
      <c r="C862" s="1731">
        <f t="shared" si="70"/>
        <v>2306.7400000000357</v>
      </c>
      <c r="D862" s="1672">
        <f t="shared" si="69"/>
        <v>3229.44</v>
      </c>
      <c r="E862" s="1670"/>
      <c r="F862" s="1732">
        <f t="shared" si="71"/>
        <v>1449.49000000003</v>
      </c>
      <c r="G862" s="1672">
        <f t="shared" si="68"/>
        <v>2029.29</v>
      </c>
      <c r="H862" s="1670"/>
      <c r="I862" s="1670"/>
    </row>
    <row r="863" spans="1:9" ht="15.75">
      <c r="A863" s="1622"/>
      <c r="B863" s="1691">
        <f t="shared" si="72"/>
        <v>859</v>
      </c>
      <c r="C863" s="1731">
        <f t="shared" si="70"/>
        <v>2309.4300000000358</v>
      </c>
      <c r="D863" s="1672">
        <f t="shared" si="69"/>
        <v>3233.2</v>
      </c>
      <c r="E863" s="1670"/>
      <c r="F863" s="1732">
        <f t="shared" si="71"/>
        <v>1451.1800000000301</v>
      </c>
      <c r="G863" s="1672">
        <f t="shared" si="68"/>
        <v>2031.65</v>
      </c>
      <c r="H863" s="1670"/>
      <c r="I863" s="1670"/>
    </row>
    <row r="864" spans="1:9" ht="15.75">
      <c r="A864" s="1622"/>
      <c r="B864" s="1691">
        <f t="shared" si="72"/>
        <v>860</v>
      </c>
      <c r="C864" s="1731">
        <f t="shared" si="70"/>
        <v>2312.1200000000358</v>
      </c>
      <c r="D864" s="1672">
        <f t="shared" si="69"/>
        <v>3236.97</v>
      </c>
      <c r="E864" s="1670"/>
      <c r="F864" s="1732">
        <f t="shared" si="71"/>
        <v>1452.8700000000301</v>
      </c>
      <c r="G864" s="1672">
        <f t="shared" si="68"/>
        <v>2034.02</v>
      </c>
      <c r="H864" s="1670"/>
      <c r="I864" s="1670"/>
    </row>
    <row r="865" spans="1:9" ht="15.75">
      <c r="A865" s="1622"/>
      <c r="B865" s="1691">
        <f t="shared" si="72"/>
        <v>861</v>
      </c>
      <c r="C865" s="1731">
        <f t="shared" si="70"/>
        <v>2314.8100000000359</v>
      </c>
      <c r="D865" s="1672">
        <f t="shared" si="69"/>
        <v>3240.73</v>
      </c>
      <c r="E865" s="1670"/>
      <c r="F865" s="1732">
        <f t="shared" si="71"/>
        <v>1454.5600000000302</v>
      </c>
      <c r="G865" s="1672">
        <f t="shared" si="68"/>
        <v>2036.38</v>
      </c>
      <c r="H865" s="1670"/>
      <c r="I865" s="1670"/>
    </row>
    <row r="866" spans="1:9" ht="15.75">
      <c r="A866" s="1622"/>
      <c r="B866" s="1691">
        <f t="shared" si="72"/>
        <v>862</v>
      </c>
      <c r="C866" s="1731">
        <f t="shared" si="70"/>
        <v>2317.5000000000359</v>
      </c>
      <c r="D866" s="1672">
        <f t="shared" si="69"/>
        <v>3244.5</v>
      </c>
      <c r="E866" s="1670"/>
      <c r="F866" s="1732">
        <f t="shared" si="71"/>
        <v>1456.2500000000302</v>
      </c>
      <c r="G866" s="1672">
        <f t="shared" si="68"/>
        <v>2038.75</v>
      </c>
      <c r="H866" s="1670"/>
      <c r="I866" s="1670"/>
    </row>
    <row r="867" spans="1:9" ht="15.75">
      <c r="A867" s="1622"/>
      <c r="B867" s="1691">
        <f t="shared" si="72"/>
        <v>863</v>
      </c>
      <c r="C867" s="1731">
        <f t="shared" si="70"/>
        <v>2320.190000000036</v>
      </c>
      <c r="D867" s="1672">
        <f t="shared" si="69"/>
        <v>3248.27</v>
      </c>
      <c r="E867" s="1670"/>
      <c r="F867" s="1732">
        <f t="shared" si="71"/>
        <v>1457.9400000000303</v>
      </c>
      <c r="G867" s="1672">
        <f t="shared" si="68"/>
        <v>2041.12</v>
      </c>
      <c r="H867" s="1670"/>
      <c r="I867" s="1670"/>
    </row>
    <row r="868" spans="1:9" ht="15.75">
      <c r="A868" s="1622"/>
      <c r="B868" s="1691">
        <f t="shared" si="72"/>
        <v>864</v>
      </c>
      <c r="C868" s="1731">
        <f t="shared" si="70"/>
        <v>2322.880000000036</v>
      </c>
      <c r="D868" s="1672">
        <f t="shared" si="69"/>
        <v>3252.03</v>
      </c>
      <c r="E868" s="1670"/>
      <c r="F868" s="1732">
        <f t="shared" si="71"/>
        <v>1459.6300000000303</v>
      </c>
      <c r="G868" s="1672">
        <f t="shared" si="68"/>
        <v>2043.48</v>
      </c>
      <c r="H868" s="1670"/>
      <c r="I868" s="1670"/>
    </row>
    <row r="869" spans="1:9" ht="15.75">
      <c r="A869" s="1622"/>
      <c r="B869" s="1691">
        <f t="shared" si="72"/>
        <v>865</v>
      </c>
      <c r="C869" s="1731">
        <f t="shared" si="70"/>
        <v>2325.5700000000361</v>
      </c>
      <c r="D869" s="1672">
        <f t="shared" si="69"/>
        <v>3255.8</v>
      </c>
      <c r="E869" s="1670"/>
      <c r="F869" s="1732">
        <f t="shared" si="71"/>
        <v>1461.3200000000304</v>
      </c>
      <c r="G869" s="1672">
        <f t="shared" si="68"/>
        <v>2045.85</v>
      </c>
      <c r="H869" s="1670"/>
      <c r="I869" s="1670"/>
    </row>
    <row r="870" spans="1:9" ht="15.75">
      <c r="A870" s="1622"/>
      <c r="B870" s="1691">
        <f t="shared" si="72"/>
        <v>866</v>
      </c>
      <c r="C870" s="1731">
        <f t="shared" si="70"/>
        <v>2328.2600000000361</v>
      </c>
      <c r="D870" s="1672">
        <f t="shared" si="69"/>
        <v>3259.56</v>
      </c>
      <c r="E870" s="1670"/>
      <c r="F870" s="1732">
        <f t="shared" si="71"/>
        <v>1463.0100000000305</v>
      </c>
      <c r="G870" s="1672">
        <f t="shared" si="68"/>
        <v>2048.21</v>
      </c>
      <c r="H870" s="1670"/>
      <c r="I870" s="1670"/>
    </row>
    <row r="871" spans="1:9" ht="15.75">
      <c r="A871" s="1622"/>
      <c r="B871" s="1691">
        <f t="shared" si="72"/>
        <v>867</v>
      </c>
      <c r="C871" s="1731">
        <f t="shared" si="70"/>
        <v>2330.9500000000362</v>
      </c>
      <c r="D871" s="1672">
        <f t="shared" si="69"/>
        <v>3263.33</v>
      </c>
      <c r="E871" s="1670"/>
      <c r="F871" s="1732">
        <f t="shared" si="71"/>
        <v>1464.7000000000305</v>
      </c>
      <c r="G871" s="1672">
        <f t="shared" si="68"/>
        <v>2050.58</v>
      </c>
      <c r="H871" s="1670"/>
      <c r="I871" s="1670"/>
    </row>
    <row r="872" spans="1:9" ht="15.75">
      <c r="A872" s="1622"/>
      <c r="B872" s="1691">
        <f t="shared" si="72"/>
        <v>868</v>
      </c>
      <c r="C872" s="1731">
        <f t="shared" si="70"/>
        <v>2333.6400000000363</v>
      </c>
      <c r="D872" s="1672">
        <f t="shared" si="69"/>
        <v>3267.1</v>
      </c>
      <c r="E872" s="1670"/>
      <c r="F872" s="1732">
        <f t="shared" si="71"/>
        <v>1466.3900000000306</v>
      </c>
      <c r="G872" s="1672">
        <f t="shared" si="68"/>
        <v>2052.9499999999998</v>
      </c>
      <c r="H872" s="1670"/>
      <c r="I872" s="1670"/>
    </row>
    <row r="873" spans="1:9" ht="15.75">
      <c r="A873" s="1622"/>
      <c r="B873" s="1691">
        <f t="shared" si="72"/>
        <v>869</v>
      </c>
      <c r="C873" s="1731">
        <f t="shared" si="70"/>
        <v>2336.3300000000363</v>
      </c>
      <c r="D873" s="1672">
        <f t="shared" si="69"/>
        <v>3270.86</v>
      </c>
      <c r="E873" s="1670"/>
      <c r="F873" s="1732">
        <f t="shared" si="71"/>
        <v>1468.0800000000306</v>
      </c>
      <c r="G873" s="1672">
        <f t="shared" si="68"/>
        <v>2055.31</v>
      </c>
      <c r="H873" s="1670"/>
      <c r="I873" s="1670"/>
    </row>
    <row r="874" spans="1:9" ht="15.75">
      <c r="A874" s="1622"/>
      <c r="B874" s="1691">
        <f t="shared" si="72"/>
        <v>870</v>
      </c>
      <c r="C874" s="1731">
        <f t="shared" si="70"/>
        <v>2339.0200000000364</v>
      </c>
      <c r="D874" s="1672">
        <f t="shared" si="69"/>
        <v>3274.63</v>
      </c>
      <c r="E874" s="1670"/>
      <c r="F874" s="1732">
        <f t="shared" si="71"/>
        <v>1469.7700000000307</v>
      </c>
      <c r="G874" s="1672">
        <f t="shared" si="68"/>
        <v>2057.6799999999998</v>
      </c>
      <c r="H874" s="1670"/>
      <c r="I874" s="1670"/>
    </row>
    <row r="875" spans="1:9" ht="15.75">
      <c r="A875" s="1622"/>
      <c r="B875" s="1691">
        <f t="shared" si="72"/>
        <v>871</v>
      </c>
      <c r="C875" s="1731">
        <f t="shared" si="70"/>
        <v>2341.7100000000364</v>
      </c>
      <c r="D875" s="1672">
        <f t="shared" si="69"/>
        <v>3278.39</v>
      </c>
      <c r="E875" s="1670"/>
      <c r="F875" s="1732">
        <f t="shared" si="71"/>
        <v>1471.4600000000307</v>
      </c>
      <c r="G875" s="1672">
        <f t="shared" si="68"/>
        <v>2060.04</v>
      </c>
      <c r="H875" s="1670"/>
      <c r="I875" s="1670"/>
    </row>
    <row r="876" spans="1:9" ht="15.75">
      <c r="A876" s="1622"/>
      <c r="B876" s="1691">
        <f t="shared" si="72"/>
        <v>872</v>
      </c>
      <c r="C876" s="1731">
        <f t="shared" si="70"/>
        <v>2344.4000000000365</v>
      </c>
      <c r="D876" s="1672">
        <f t="shared" si="69"/>
        <v>3282.16</v>
      </c>
      <c r="E876" s="1670"/>
      <c r="F876" s="1732">
        <f t="shared" si="71"/>
        <v>1473.1500000000308</v>
      </c>
      <c r="G876" s="1672">
        <f t="shared" si="68"/>
        <v>2062.41</v>
      </c>
      <c r="H876" s="1670"/>
      <c r="I876" s="1670"/>
    </row>
    <row r="877" spans="1:9" ht="15.75">
      <c r="A877" s="1622"/>
      <c r="B877" s="1691">
        <f t="shared" si="72"/>
        <v>873</v>
      </c>
      <c r="C877" s="1731">
        <f t="shared" si="70"/>
        <v>2347.0900000000365</v>
      </c>
      <c r="D877" s="1672">
        <f t="shared" si="69"/>
        <v>3285.93</v>
      </c>
      <c r="E877" s="1670"/>
      <c r="F877" s="1732">
        <f t="shared" si="71"/>
        <v>1474.8400000000308</v>
      </c>
      <c r="G877" s="1672">
        <f t="shared" si="68"/>
        <v>2064.7800000000002</v>
      </c>
      <c r="H877" s="1670"/>
      <c r="I877" s="1670"/>
    </row>
    <row r="878" spans="1:9" ht="15.75">
      <c r="A878" s="1622"/>
      <c r="B878" s="1691">
        <f t="shared" si="72"/>
        <v>874</v>
      </c>
      <c r="C878" s="1731">
        <f t="shared" si="70"/>
        <v>2349.7800000000366</v>
      </c>
      <c r="D878" s="1672">
        <f t="shared" si="69"/>
        <v>3289.69</v>
      </c>
      <c r="E878" s="1670"/>
      <c r="F878" s="1732">
        <f t="shared" si="71"/>
        <v>1476.5300000000309</v>
      </c>
      <c r="G878" s="1672">
        <f t="shared" si="68"/>
        <v>2067.14</v>
      </c>
      <c r="H878" s="1670"/>
      <c r="I878" s="1670"/>
    </row>
    <row r="879" spans="1:9" ht="15.75">
      <c r="A879" s="1622"/>
      <c r="B879" s="1691">
        <f t="shared" si="72"/>
        <v>875</v>
      </c>
      <c r="C879" s="1731">
        <f t="shared" si="70"/>
        <v>2352.4700000000366</v>
      </c>
      <c r="D879" s="1672">
        <f t="shared" si="69"/>
        <v>3293.46</v>
      </c>
      <c r="E879" s="1670"/>
      <c r="F879" s="1732">
        <f t="shared" si="71"/>
        <v>1478.220000000031</v>
      </c>
      <c r="G879" s="1672">
        <f t="shared" si="68"/>
        <v>2069.5100000000002</v>
      </c>
      <c r="H879" s="1670"/>
      <c r="I879" s="1670"/>
    </row>
    <row r="880" spans="1:9" ht="15.75">
      <c r="A880" s="1622"/>
      <c r="B880" s="1691">
        <f t="shared" si="72"/>
        <v>876</v>
      </c>
      <c r="C880" s="1731">
        <f t="shared" si="70"/>
        <v>2355.1600000000367</v>
      </c>
      <c r="D880" s="1672">
        <f t="shared" si="69"/>
        <v>3297.22</v>
      </c>
      <c r="E880" s="1670"/>
      <c r="F880" s="1732">
        <f t="shared" si="71"/>
        <v>1479.910000000031</v>
      </c>
      <c r="G880" s="1672">
        <f t="shared" si="68"/>
        <v>2071.87</v>
      </c>
      <c r="H880" s="1670"/>
      <c r="I880" s="1670"/>
    </row>
    <row r="881" spans="1:9" ht="15.75">
      <c r="A881" s="1622"/>
      <c r="B881" s="1691">
        <f t="shared" si="72"/>
        <v>877</v>
      </c>
      <c r="C881" s="1731">
        <f t="shared" si="70"/>
        <v>2357.8500000000367</v>
      </c>
      <c r="D881" s="1672">
        <f t="shared" si="69"/>
        <v>3300.99</v>
      </c>
      <c r="E881" s="1670"/>
      <c r="F881" s="1732">
        <f t="shared" si="71"/>
        <v>1481.6000000000311</v>
      </c>
      <c r="G881" s="1672">
        <f t="shared" si="68"/>
        <v>2074.2399999999998</v>
      </c>
      <c r="H881" s="1670"/>
      <c r="I881" s="1670"/>
    </row>
    <row r="882" spans="1:9" ht="15.75">
      <c r="A882" s="1622"/>
      <c r="B882" s="1691">
        <f t="shared" si="72"/>
        <v>878</v>
      </c>
      <c r="C882" s="1731">
        <f t="shared" si="70"/>
        <v>2360.5400000000368</v>
      </c>
      <c r="D882" s="1672">
        <f t="shared" si="69"/>
        <v>3304.76</v>
      </c>
      <c r="E882" s="1670"/>
      <c r="F882" s="1732">
        <f t="shared" si="71"/>
        <v>1483.2900000000311</v>
      </c>
      <c r="G882" s="1672">
        <f t="shared" si="68"/>
        <v>2076.61</v>
      </c>
      <c r="H882" s="1670"/>
      <c r="I882" s="1670"/>
    </row>
    <row r="883" spans="1:9" ht="15.75">
      <c r="A883" s="1622"/>
      <c r="B883" s="1691">
        <f t="shared" si="72"/>
        <v>879</v>
      </c>
      <c r="C883" s="1731">
        <f t="shared" si="70"/>
        <v>2363.2300000000369</v>
      </c>
      <c r="D883" s="1672">
        <f t="shared" si="69"/>
        <v>3308.52</v>
      </c>
      <c r="E883" s="1670"/>
      <c r="F883" s="1732">
        <f t="shared" si="71"/>
        <v>1484.9800000000312</v>
      </c>
      <c r="G883" s="1672">
        <f t="shared" si="68"/>
        <v>2078.9699999999998</v>
      </c>
      <c r="H883" s="1670"/>
      <c r="I883" s="1670"/>
    </row>
    <row r="884" spans="1:9" ht="15.75">
      <c r="A884" s="1622"/>
      <c r="B884" s="1691">
        <f t="shared" si="72"/>
        <v>880</v>
      </c>
      <c r="C884" s="1731">
        <f t="shared" si="70"/>
        <v>2365.9200000000369</v>
      </c>
      <c r="D884" s="1672">
        <f t="shared" si="69"/>
        <v>3312.29</v>
      </c>
      <c r="E884" s="1670"/>
      <c r="F884" s="1732">
        <f t="shared" si="71"/>
        <v>1486.6700000000312</v>
      </c>
      <c r="G884" s="1672">
        <f t="shared" si="68"/>
        <v>2081.34</v>
      </c>
      <c r="H884" s="1670"/>
      <c r="I884" s="1670"/>
    </row>
    <row r="885" spans="1:9" ht="15.75">
      <c r="A885" s="1622"/>
      <c r="B885" s="1691">
        <f t="shared" si="72"/>
        <v>881</v>
      </c>
      <c r="C885" s="1731">
        <f t="shared" si="70"/>
        <v>2368.610000000037</v>
      </c>
      <c r="D885" s="1672">
        <f t="shared" si="69"/>
        <v>3316.05</v>
      </c>
      <c r="E885" s="1670"/>
      <c r="F885" s="1732">
        <f t="shared" si="71"/>
        <v>1488.3600000000313</v>
      </c>
      <c r="G885" s="1672">
        <f t="shared" si="68"/>
        <v>2083.6999999999998</v>
      </c>
      <c r="H885" s="1670"/>
      <c r="I885" s="1670"/>
    </row>
    <row r="886" spans="1:9" ht="15.75">
      <c r="A886" s="1622"/>
      <c r="B886" s="1691">
        <f t="shared" si="72"/>
        <v>882</v>
      </c>
      <c r="C886" s="1731">
        <f t="shared" si="70"/>
        <v>2371.300000000037</v>
      </c>
      <c r="D886" s="1672">
        <f t="shared" si="69"/>
        <v>3319.82</v>
      </c>
      <c r="E886" s="1670"/>
      <c r="F886" s="1732">
        <f t="shared" si="71"/>
        <v>1490.0500000000313</v>
      </c>
      <c r="G886" s="1672">
        <f t="shared" si="68"/>
        <v>2086.0700000000002</v>
      </c>
      <c r="H886" s="1670"/>
      <c r="I886" s="1670"/>
    </row>
    <row r="887" spans="1:9" ht="15.75">
      <c r="A887" s="1622"/>
      <c r="B887" s="1691">
        <f t="shared" si="72"/>
        <v>883</v>
      </c>
      <c r="C887" s="1731">
        <f t="shared" si="70"/>
        <v>2373.9900000000371</v>
      </c>
      <c r="D887" s="1672">
        <f t="shared" si="69"/>
        <v>3323.59</v>
      </c>
      <c r="E887" s="1670"/>
      <c r="F887" s="1732">
        <f t="shared" si="71"/>
        <v>1491.7400000000314</v>
      </c>
      <c r="G887" s="1672">
        <f t="shared" si="68"/>
        <v>2088.44</v>
      </c>
      <c r="H887" s="1670"/>
      <c r="I887" s="1670"/>
    </row>
    <row r="888" spans="1:9" ht="15.75">
      <c r="A888" s="1622"/>
      <c r="B888" s="1691">
        <f t="shared" si="72"/>
        <v>884</v>
      </c>
      <c r="C888" s="1731">
        <f t="shared" si="70"/>
        <v>2376.6800000000371</v>
      </c>
      <c r="D888" s="1672">
        <f t="shared" si="69"/>
        <v>3327.35</v>
      </c>
      <c r="E888" s="1670"/>
      <c r="F888" s="1732">
        <f t="shared" si="71"/>
        <v>1493.4300000000314</v>
      </c>
      <c r="G888" s="1672">
        <f t="shared" si="68"/>
        <v>2090.8000000000002</v>
      </c>
      <c r="H888" s="1670"/>
      <c r="I888" s="1670"/>
    </row>
    <row r="889" spans="1:9" ht="15.75">
      <c r="A889" s="1622"/>
      <c r="B889" s="1691">
        <f t="shared" si="72"/>
        <v>885</v>
      </c>
      <c r="C889" s="1731">
        <f t="shared" si="70"/>
        <v>2379.3700000000372</v>
      </c>
      <c r="D889" s="1672">
        <f t="shared" si="69"/>
        <v>3331.12</v>
      </c>
      <c r="E889" s="1670"/>
      <c r="F889" s="1732">
        <f t="shared" si="71"/>
        <v>1495.1200000000315</v>
      </c>
      <c r="G889" s="1672">
        <f t="shared" si="68"/>
        <v>2093.17</v>
      </c>
      <c r="H889" s="1670"/>
      <c r="I889" s="1670"/>
    </row>
    <row r="890" spans="1:9" ht="15.75">
      <c r="A890" s="1622"/>
      <c r="B890" s="1691">
        <f t="shared" si="72"/>
        <v>886</v>
      </c>
      <c r="C890" s="1731">
        <f t="shared" si="70"/>
        <v>2382.0600000000372</v>
      </c>
      <c r="D890" s="1672">
        <f t="shared" si="69"/>
        <v>3334.88</v>
      </c>
      <c r="E890" s="1670"/>
      <c r="F890" s="1732">
        <f t="shared" si="71"/>
        <v>1496.8100000000316</v>
      </c>
      <c r="G890" s="1672">
        <f t="shared" si="68"/>
        <v>2095.5300000000002</v>
      </c>
      <c r="H890" s="1670"/>
      <c r="I890" s="1670"/>
    </row>
    <row r="891" spans="1:9" ht="15.75">
      <c r="A891" s="1622"/>
      <c r="B891" s="1691">
        <f t="shared" si="72"/>
        <v>887</v>
      </c>
      <c r="C891" s="1731">
        <f t="shared" si="70"/>
        <v>2384.7500000000373</v>
      </c>
      <c r="D891" s="1672">
        <f t="shared" si="69"/>
        <v>3338.65</v>
      </c>
      <c r="E891" s="1670"/>
      <c r="F891" s="1732">
        <f t="shared" si="71"/>
        <v>1498.5000000000316</v>
      </c>
      <c r="G891" s="1672">
        <f t="shared" si="68"/>
        <v>2097.9</v>
      </c>
      <c r="H891" s="1670"/>
      <c r="I891" s="1670"/>
    </row>
    <row r="892" spans="1:9" ht="15.75">
      <c r="A892" s="1622"/>
      <c r="B892" s="1691">
        <f t="shared" si="72"/>
        <v>888</v>
      </c>
      <c r="C892" s="1731">
        <f t="shared" si="70"/>
        <v>2387.4400000000373</v>
      </c>
      <c r="D892" s="1672">
        <f t="shared" si="69"/>
        <v>3342.42</v>
      </c>
      <c r="E892" s="1670"/>
      <c r="F892" s="1732">
        <f t="shared" si="71"/>
        <v>1500.1900000000317</v>
      </c>
      <c r="G892" s="1672">
        <f t="shared" si="68"/>
        <v>2100.27</v>
      </c>
      <c r="H892" s="1670"/>
      <c r="I892" s="1670"/>
    </row>
    <row r="893" spans="1:9" ht="15.75">
      <c r="A893" s="1622"/>
      <c r="B893" s="1691">
        <f t="shared" si="72"/>
        <v>889</v>
      </c>
      <c r="C893" s="1731">
        <f t="shared" si="70"/>
        <v>2390.1300000000374</v>
      </c>
      <c r="D893" s="1672">
        <f t="shared" si="69"/>
        <v>3346.18</v>
      </c>
      <c r="E893" s="1670"/>
      <c r="F893" s="1732">
        <f t="shared" si="71"/>
        <v>1501.8800000000317</v>
      </c>
      <c r="G893" s="1672">
        <f t="shared" si="68"/>
        <v>2102.63</v>
      </c>
      <c r="H893" s="1670"/>
      <c r="I893" s="1670"/>
    </row>
    <row r="894" spans="1:9" ht="15.75">
      <c r="A894" s="1622"/>
      <c r="B894" s="1691">
        <f t="shared" si="72"/>
        <v>890</v>
      </c>
      <c r="C894" s="1731">
        <f t="shared" si="70"/>
        <v>2392.8200000000375</v>
      </c>
      <c r="D894" s="1672">
        <f t="shared" si="69"/>
        <v>3349.95</v>
      </c>
      <c r="E894" s="1670"/>
      <c r="F894" s="1732">
        <f t="shared" si="71"/>
        <v>1503.5700000000318</v>
      </c>
      <c r="G894" s="1672">
        <f t="shared" si="68"/>
        <v>2105</v>
      </c>
      <c r="H894" s="1670"/>
      <c r="I894" s="1670"/>
    </row>
    <row r="895" spans="1:9" ht="15.75">
      <c r="A895" s="1622"/>
      <c r="B895" s="1691">
        <f t="shared" si="72"/>
        <v>891</v>
      </c>
      <c r="C895" s="1731">
        <f t="shared" si="70"/>
        <v>2395.5100000000375</v>
      </c>
      <c r="D895" s="1672">
        <f t="shared" si="69"/>
        <v>3353.71</v>
      </c>
      <c r="E895" s="1670"/>
      <c r="F895" s="1732">
        <f t="shared" si="71"/>
        <v>1505.2600000000318</v>
      </c>
      <c r="G895" s="1672">
        <f t="shared" si="68"/>
        <v>2107.36</v>
      </c>
      <c r="H895" s="1670"/>
      <c r="I895" s="1670"/>
    </row>
    <row r="896" spans="1:9" ht="15.75">
      <c r="A896" s="1622"/>
      <c r="B896" s="1691">
        <f t="shared" si="72"/>
        <v>892</v>
      </c>
      <c r="C896" s="1731">
        <f t="shared" si="70"/>
        <v>2398.2000000000376</v>
      </c>
      <c r="D896" s="1672">
        <f t="shared" si="69"/>
        <v>3357.48</v>
      </c>
      <c r="E896" s="1670"/>
      <c r="F896" s="1732">
        <f t="shared" si="71"/>
        <v>1506.9500000000319</v>
      </c>
      <c r="G896" s="1672">
        <f t="shared" si="68"/>
        <v>2109.73</v>
      </c>
      <c r="H896" s="1670"/>
      <c r="I896" s="1670"/>
    </row>
    <row r="897" spans="1:9" ht="15.75">
      <c r="A897" s="1622"/>
      <c r="B897" s="1691">
        <f t="shared" si="72"/>
        <v>893</v>
      </c>
      <c r="C897" s="1731">
        <f t="shared" si="70"/>
        <v>2400.8900000000376</v>
      </c>
      <c r="D897" s="1672">
        <f t="shared" si="69"/>
        <v>3361.25</v>
      </c>
      <c r="E897" s="1670"/>
      <c r="F897" s="1732">
        <f t="shared" si="71"/>
        <v>1508.6400000000319</v>
      </c>
      <c r="G897" s="1672">
        <f t="shared" si="68"/>
        <v>2112.1</v>
      </c>
      <c r="H897" s="1670"/>
      <c r="I897" s="1670"/>
    </row>
    <row r="898" spans="1:9" ht="15.75">
      <c r="A898" s="1622"/>
      <c r="B898" s="1691">
        <f t="shared" si="72"/>
        <v>894</v>
      </c>
      <c r="C898" s="1731">
        <f t="shared" si="70"/>
        <v>2403.5800000000377</v>
      </c>
      <c r="D898" s="1672">
        <f t="shared" si="69"/>
        <v>3365.01</v>
      </c>
      <c r="E898" s="1670"/>
      <c r="F898" s="1732">
        <f t="shared" si="71"/>
        <v>1510.330000000032</v>
      </c>
      <c r="G898" s="1672">
        <f t="shared" si="68"/>
        <v>2114.46</v>
      </c>
      <c r="H898" s="1670"/>
      <c r="I898" s="1670"/>
    </row>
    <row r="899" spans="1:9" ht="15.75">
      <c r="A899" s="1622"/>
      <c r="B899" s="1691">
        <f t="shared" si="72"/>
        <v>895</v>
      </c>
      <c r="C899" s="1731">
        <f t="shared" si="70"/>
        <v>2406.2700000000377</v>
      </c>
      <c r="D899" s="1672">
        <f t="shared" si="69"/>
        <v>3368.78</v>
      </c>
      <c r="E899" s="1670"/>
      <c r="F899" s="1732">
        <f t="shared" si="71"/>
        <v>1512.020000000032</v>
      </c>
      <c r="G899" s="1672">
        <f t="shared" si="68"/>
        <v>2116.83</v>
      </c>
      <c r="H899" s="1670"/>
      <c r="I899" s="1670"/>
    </row>
    <row r="900" spans="1:9" ht="15.75">
      <c r="A900" s="1622"/>
      <c r="B900" s="1691">
        <f t="shared" si="72"/>
        <v>896</v>
      </c>
      <c r="C900" s="1731">
        <f t="shared" si="70"/>
        <v>2408.9600000000378</v>
      </c>
      <c r="D900" s="1672">
        <f t="shared" si="69"/>
        <v>3372.54</v>
      </c>
      <c r="E900" s="1670"/>
      <c r="F900" s="1732">
        <f t="shared" si="71"/>
        <v>1513.7100000000321</v>
      </c>
      <c r="G900" s="1672">
        <f t="shared" si="68"/>
        <v>2119.19</v>
      </c>
      <c r="H900" s="1670"/>
      <c r="I900" s="1670"/>
    </row>
    <row r="901" spans="1:9" ht="15.75">
      <c r="A901" s="1622"/>
      <c r="B901" s="1691">
        <f t="shared" si="72"/>
        <v>897</v>
      </c>
      <c r="C901" s="1731">
        <f t="shared" si="70"/>
        <v>2411.6500000000378</v>
      </c>
      <c r="D901" s="1672">
        <f t="shared" si="69"/>
        <v>3376.31</v>
      </c>
      <c r="E901" s="1670"/>
      <c r="F901" s="1732">
        <f t="shared" si="71"/>
        <v>1515.4000000000322</v>
      </c>
      <c r="G901" s="1672">
        <f t="shared" ref="G901:G964" si="73">ROUND(F901*1.4,2)</f>
        <v>2121.56</v>
      </c>
      <c r="H901" s="1670"/>
      <c r="I901" s="1670"/>
    </row>
    <row r="902" spans="1:9" ht="15.75">
      <c r="A902" s="1622"/>
      <c r="B902" s="1691">
        <f t="shared" si="72"/>
        <v>898</v>
      </c>
      <c r="C902" s="1731">
        <f t="shared" si="70"/>
        <v>2414.3400000000379</v>
      </c>
      <c r="D902" s="1672">
        <f t="shared" ref="D902:D965" si="74">ROUND(C902*1.4,2)</f>
        <v>3380.08</v>
      </c>
      <c r="E902" s="1670"/>
      <c r="F902" s="1732">
        <f t="shared" si="71"/>
        <v>1517.0900000000322</v>
      </c>
      <c r="G902" s="1672">
        <f t="shared" si="73"/>
        <v>2123.9299999999998</v>
      </c>
      <c r="H902" s="1670"/>
      <c r="I902" s="1670"/>
    </row>
    <row r="903" spans="1:9" ht="15.75">
      <c r="A903" s="1622"/>
      <c r="B903" s="1691">
        <f t="shared" si="72"/>
        <v>899</v>
      </c>
      <c r="C903" s="1731">
        <f t="shared" si="70"/>
        <v>2417.0300000000379</v>
      </c>
      <c r="D903" s="1672">
        <f t="shared" si="74"/>
        <v>3383.84</v>
      </c>
      <c r="E903" s="1670"/>
      <c r="F903" s="1732">
        <f t="shared" si="71"/>
        <v>1518.7800000000323</v>
      </c>
      <c r="G903" s="1672">
        <f t="shared" si="73"/>
        <v>2126.29</v>
      </c>
      <c r="H903" s="1670"/>
      <c r="I903" s="1670"/>
    </row>
    <row r="904" spans="1:9" ht="15.75">
      <c r="A904" s="1622"/>
      <c r="B904" s="1691">
        <f t="shared" si="72"/>
        <v>900</v>
      </c>
      <c r="C904" s="1731">
        <f t="shared" si="70"/>
        <v>2419.720000000038</v>
      </c>
      <c r="D904" s="1672">
        <f t="shared" si="74"/>
        <v>3387.61</v>
      </c>
      <c r="E904" s="1670"/>
      <c r="F904" s="1732">
        <f t="shared" si="71"/>
        <v>1520.4700000000323</v>
      </c>
      <c r="G904" s="1672">
        <f t="shared" si="73"/>
        <v>2128.66</v>
      </c>
      <c r="H904" s="1670"/>
      <c r="I904" s="1670"/>
    </row>
    <row r="905" spans="1:9" ht="15.75">
      <c r="A905" s="1622"/>
      <c r="B905" s="1691">
        <f t="shared" si="72"/>
        <v>901</v>
      </c>
      <c r="C905" s="1731">
        <f t="shared" si="70"/>
        <v>2422.4100000000381</v>
      </c>
      <c r="D905" s="1672">
        <f t="shared" si="74"/>
        <v>3391.37</v>
      </c>
      <c r="E905" s="1670"/>
      <c r="F905" s="1732">
        <f t="shared" si="71"/>
        <v>1522.1600000000324</v>
      </c>
      <c r="G905" s="1672">
        <f t="shared" si="73"/>
        <v>2131.02</v>
      </c>
      <c r="H905" s="1670"/>
      <c r="I905" s="1670"/>
    </row>
    <row r="906" spans="1:9" ht="15.75">
      <c r="A906" s="1622"/>
      <c r="B906" s="1691">
        <f t="shared" si="72"/>
        <v>902</v>
      </c>
      <c r="C906" s="1731">
        <f t="shared" si="70"/>
        <v>2425.1000000000381</v>
      </c>
      <c r="D906" s="1672">
        <f t="shared" si="74"/>
        <v>3395.14</v>
      </c>
      <c r="E906" s="1670"/>
      <c r="F906" s="1732">
        <f t="shared" si="71"/>
        <v>1523.8500000000324</v>
      </c>
      <c r="G906" s="1672">
        <f t="shared" si="73"/>
        <v>2133.39</v>
      </c>
      <c r="H906" s="1670"/>
      <c r="I906" s="1670"/>
    </row>
    <row r="907" spans="1:9" ht="15.75">
      <c r="A907" s="1622"/>
      <c r="B907" s="1691">
        <f t="shared" si="72"/>
        <v>903</v>
      </c>
      <c r="C907" s="1731">
        <f t="shared" si="70"/>
        <v>2427.7900000000382</v>
      </c>
      <c r="D907" s="1672">
        <f t="shared" si="74"/>
        <v>3398.91</v>
      </c>
      <c r="E907" s="1670"/>
      <c r="F907" s="1732">
        <f t="shared" si="71"/>
        <v>1525.5400000000325</v>
      </c>
      <c r="G907" s="1672">
        <f t="shared" si="73"/>
        <v>2135.7600000000002</v>
      </c>
      <c r="H907" s="1670"/>
      <c r="I907" s="1670"/>
    </row>
    <row r="908" spans="1:9" ht="15.75">
      <c r="A908" s="1622"/>
      <c r="B908" s="1691">
        <f t="shared" si="72"/>
        <v>904</v>
      </c>
      <c r="C908" s="1731">
        <f t="shared" si="70"/>
        <v>2430.4800000000382</v>
      </c>
      <c r="D908" s="1672">
        <f t="shared" si="74"/>
        <v>3402.67</v>
      </c>
      <c r="E908" s="1670"/>
      <c r="F908" s="1732">
        <f t="shared" si="71"/>
        <v>1527.2300000000325</v>
      </c>
      <c r="G908" s="1672">
        <f t="shared" si="73"/>
        <v>2138.12</v>
      </c>
      <c r="H908" s="1670"/>
      <c r="I908" s="1670"/>
    </row>
    <row r="909" spans="1:9" ht="15.75">
      <c r="A909" s="1622"/>
      <c r="B909" s="1691">
        <f t="shared" si="72"/>
        <v>905</v>
      </c>
      <c r="C909" s="1731">
        <f t="shared" ref="C909:C972" si="75">C908+$C$1006</f>
        <v>2433.1700000000383</v>
      </c>
      <c r="D909" s="1672">
        <f t="shared" si="74"/>
        <v>3406.44</v>
      </c>
      <c r="E909" s="1670"/>
      <c r="F909" s="1732">
        <f t="shared" ref="F909:F972" si="76">F908+$F$1006</f>
        <v>1528.9200000000326</v>
      </c>
      <c r="G909" s="1672">
        <f t="shared" si="73"/>
        <v>2140.4899999999998</v>
      </c>
      <c r="H909" s="1670"/>
      <c r="I909" s="1670"/>
    </row>
    <row r="910" spans="1:9" ht="15.75">
      <c r="A910" s="1622"/>
      <c r="B910" s="1691">
        <f t="shared" ref="B910:B973" si="77">B909+1</f>
        <v>906</v>
      </c>
      <c r="C910" s="1731">
        <f t="shared" si="75"/>
        <v>2435.8600000000383</v>
      </c>
      <c r="D910" s="1672">
        <f t="shared" si="74"/>
        <v>3410.2</v>
      </c>
      <c r="E910" s="1670"/>
      <c r="F910" s="1732">
        <f t="shared" si="76"/>
        <v>1530.6100000000326</v>
      </c>
      <c r="G910" s="1672">
        <f t="shared" si="73"/>
        <v>2142.85</v>
      </c>
      <c r="H910" s="1670"/>
      <c r="I910" s="1670"/>
    </row>
    <row r="911" spans="1:9" ht="15.75">
      <c r="A911" s="1622"/>
      <c r="B911" s="1691">
        <f t="shared" si="77"/>
        <v>907</v>
      </c>
      <c r="C911" s="1731">
        <f t="shared" si="75"/>
        <v>2438.5500000000384</v>
      </c>
      <c r="D911" s="1672">
        <f t="shared" si="74"/>
        <v>3413.97</v>
      </c>
      <c r="E911" s="1670"/>
      <c r="F911" s="1732">
        <f t="shared" si="76"/>
        <v>1532.3000000000327</v>
      </c>
      <c r="G911" s="1672">
        <f t="shared" si="73"/>
        <v>2145.2199999999998</v>
      </c>
      <c r="H911" s="1670"/>
      <c r="I911" s="1670"/>
    </row>
    <row r="912" spans="1:9" ht="15.75">
      <c r="A912" s="1622"/>
      <c r="B912" s="1691">
        <f t="shared" si="77"/>
        <v>908</v>
      </c>
      <c r="C912" s="1731">
        <f t="shared" si="75"/>
        <v>2441.2400000000384</v>
      </c>
      <c r="D912" s="1672">
        <f t="shared" si="74"/>
        <v>3417.74</v>
      </c>
      <c r="E912" s="1670"/>
      <c r="F912" s="1732">
        <f t="shared" si="76"/>
        <v>1533.9900000000328</v>
      </c>
      <c r="G912" s="1672">
        <f t="shared" si="73"/>
        <v>2147.59</v>
      </c>
      <c r="H912" s="1670"/>
      <c r="I912" s="1670"/>
    </row>
    <row r="913" spans="1:9" ht="15.75">
      <c r="A913" s="1622"/>
      <c r="B913" s="1691">
        <f t="shared" si="77"/>
        <v>909</v>
      </c>
      <c r="C913" s="1731">
        <f t="shared" si="75"/>
        <v>2443.9300000000385</v>
      </c>
      <c r="D913" s="1672">
        <f t="shared" si="74"/>
        <v>3421.5</v>
      </c>
      <c r="E913" s="1670"/>
      <c r="F913" s="1732">
        <f t="shared" si="76"/>
        <v>1535.6800000000328</v>
      </c>
      <c r="G913" s="1672">
        <f t="shared" si="73"/>
        <v>2149.9499999999998</v>
      </c>
      <c r="H913" s="1670"/>
      <c r="I913" s="1670"/>
    </row>
    <row r="914" spans="1:9" ht="15.75">
      <c r="A914" s="1622"/>
      <c r="B914" s="1691">
        <f t="shared" si="77"/>
        <v>910</v>
      </c>
      <c r="C914" s="1731">
        <f t="shared" si="75"/>
        <v>2446.6200000000385</v>
      </c>
      <c r="D914" s="1672">
        <f t="shared" si="74"/>
        <v>3425.27</v>
      </c>
      <c r="E914" s="1670"/>
      <c r="F914" s="1732">
        <f t="shared" si="76"/>
        <v>1537.3700000000329</v>
      </c>
      <c r="G914" s="1672">
        <f t="shared" si="73"/>
        <v>2152.3200000000002</v>
      </c>
      <c r="H914" s="1670"/>
      <c r="I914" s="1670"/>
    </row>
    <row r="915" spans="1:9" ht="15.75">
      <c r="A915" s="1622"/>
      <c r="B915" s="1691">
        <f t="shared" si="77"/>
        <v>911</v>
      </c>
      <c r="C915" s="1731">
        <f t="shared" si="75"/>
        <v>2449.3100000000386</v>
      </c>
      <c r="D915" s="1672">
        <f t="shared" si="74"/>
        <v>3429.03</v>
      </c>
      <c r="E915" s="1670"/>
      <c r="F915" s="1732">
        <f t="shared" si="76"/>
        <v>1539.0600000000329</v>
      </c>
      <c r="G915" s="1672">
        <f t="shared" si="73"/>
        <v>2154.6799999999998</v>
      </c>
      <c r="H915" s="1670"/>
      <c r="I915" s="1670"/>
    </row>
    <row r="916" spans="1:9" ht="15.75">
      <c r="A916" s="1622"/>
      <c r="B916" s="1691">
        <f t="shared" si="77"/>
        <v>912</v>
      </c>
      <c r="C916" s="1731">
        <f t="shared" si="75"/>
        <v>2452.0000000000387</v>
      </c>
      <c r="D916" s="1672">
        <f t="shared" si="74"/>
        <v>3432.8</v>
      </c>
      <c r="E916" s="1670"/>
      <c r="F916" s="1732">
        <f t="shared" si="76"/>
        <v>1540.750000000033</v>
      </c>
      <c r="G916" s="1672">
        <f t="shared" si="73"/>
        <v>2157.0500000000002</v>
      </c>
      <c r="H916" s="1670"/>
      <c r="I916" s="1670"/>
    </row>
    <row r="917" spans="1:9" ht="15.75">
      <c r="A917" s="1622"/>
      <c r="B917" s="1691">
        <f t="shared" si="77"/>
        <v>913</v>
      </c>
      <c r="C917" s="1731">
        <f t="shared" si="75"/>
        <v>2454.6900000000387</v>
      </c>
      <c r="D917" s="1672">
        <f t="shared" si="74"/>
        <v>3436.57</v>
      </c>
      <c r="E917" s="1670"/>
      <c r="F917" s="1732">
        <f t="shared" si="76"/>
        <v>1542.440000000033</v>
      </c>
      <c r="G917" s="1672">
        <f t="shared" si="73"/>
        <v>2159.42</v>
      </c>
      <c r="H917" s="1670"/>
      <c r="I917" s="1670"/>
    </row>
    <row r="918" spans="1:9" ht="15.75">
      <c r="A918" s="1622"/>
      <c r="B918" s="1691">
        <f t="shared" si="77"/>
        <v>914</v>
      </c>
      <c r="C918" s="1731">
        <f t="shared" si="75"/>
        <v>2457.3800000000388</v>
      </c>
      <c r="D918" s="1672">
        <f t="shared" si="74"/>
        <v>3440.33</v>
      </c>
      <c r="E918" s="1670"/>
      <c r="F918" s="1732">
        <f t="shared" si="76"/>
        <v>1544.1300000000331</v>
      </c>
      <c r="G918" s="1672">
        <f t="shared" si="73"/>
        <v>2161.7800000000002</v>
      </c>
      <c r="H918" s="1670"/>
      <c r="I918" s="1670"/>
    </row>
    <row r="919" spans="1:9" ht="15.75">
      <c r="A919" s="1622"/>
      <c r="B919" s="1691">
        <f t="shared" si="77"/>
        <v>915</v>
      </c>
      <c r="C919" s="1731">
        <f t="shared" si="75"/>
        <v>2460.0700000000388</v>
      </c>
      <c r="D919" s="1672">
        <f t="shared" si="74"/>
        <v>3444.1</v>
      </c>
      <c r="E919" s="1670"/>
      <c r="F919" s="1732">
        <f t="shared" si="76"/>
        <v>1545.8200000000331</v>
      </c>
      <c r="G919" s="1672">
        <f t="shared" si="73"/>
        <v>2164.15</v>
      </c>
      <c r="H919" s="1670"/>
      <c r="I919" s="1670"/>
    </row>
    <row r="920" spans="1:9" ht="15.75">
      <c r="A920" s="1622"/>
      <c r="B920" s="1691">
        <f t="shared" si="77"/>
        <v>916</v>
      </c>
      <c r="C920" s="1731">
        <f t="shared" si="75"/>
        <v>2462.7600000000389</v>
      </c>
      <c r="D920" s="1672">
        <f t="shared" si="74"/>
        <v>3447.86</v>
      </c>
      <c r="E920" s="1670"/>
      <c r="F920" s="1732">
        <f t="shared" si="76"/>
        <v>1547.5100000000332</v>
      </c>
      <c r="G920" s="1672">
        <f t="shared" si="73"/>
        <v>2166.5100000000002</v>
      </c>
      <c r="H920" s="1670"/>
      <c r="I920" s="1670"/>
    </row>
    <row r="921" spans="1:9" ht="15.75">
      <c r="A921" s="1622"/>
      <c r="B921" s="1691">
        <f t="shared" si="77"/>
        <v>917</v>
      </c>
      <c r="C921" s="1731">
        <f t="shared" si="75"/>
        <v>2465.4500000000389</v>
      </c>
      <c r="D921" s="1672">
        <f t="shared" si="74"/>
        <v>3451.63</v>
      </c>
      <c r="E921" s="1670"/>
      <c r="F921" s="1732">
        <f t="shared" si="76"/>
        <v>1549.2000000000332</v>
      </c>
      <c r="G921" s="1672">
        <f t="shared" si="73"/>
        <v>2168.88</v>
      </c>
      <c r="H921" s="1670"/>
      <c r="I921" s="1670"/>
    </row>
    <row r="922" spans="1:9" ht="15.75">
      <c r="A922" s="1622"/>
      <c r="B922" s="1691">
        <f t="shared" si="77"/>
        <v>918</v>
      </c>
      <c r="C922" s="1731">
        <f t="shared" si="75"/>
        <v>2468.140000000039</v>
      </c>
      <c r="D922" s="1672">
        <f t="shared" si="74"/>
        <v>3455.4</v>
      </c>
      <c r="E922" s="1670"/>
      <c r="F922" s="1732">
        <f t="shared" si="76"/>
        <v>1550.8900000000333</v>
      </c>
      <c r="G922" s="1672">
        <f t="shared" si="73"/>
        <v>2171.25</v>
      </c>
      <c r="H922" s="1670"/>
      <c r="I922" s="1670"/>
    </row>
    <row r="923" spans="1:9" ht="15.75">
      <c r="A923" s="1622"/>
      <c r="B923" s="1691">
        <f t="shared" si="77"/>
        <v>919</v>
      </c>
      <c r="C923" s="1731">
        <f t="shared" si="75"/>
        <v>2470.830000000039</v>
      </c>
      <c r="D923" s="1672">
        <f t="shared" si="74"/>
        <v>3459.16</v>
      </c>
      <c r="E923" s="1670"/>
      <c r="F923" s="1732">
        <f t="shared" si="76"/>
        <v>1552.5800000000334</v>
      </c>
      <c r="G923" s="1672">
        <f t="shared" si="73"/>
        <v>2173.61</v>
      </c>
      <c r="H923" s="1670"/>
      <c r="I923" s="1670"/>
    </row>
    <row r="924" spans="1:9" ht="15.75">
      <c r="A924" s="1622"/>
      <c r="B924" s="1691">
        <f t="shared" si="77"/>
        <v>920</v>
      </c>
      <c r="C924" s="1731">
        <f t="shared" si="75"/>
        <v>2473.5200000000391</v>
      </c>
      <c r="D924" s="1672">
        <f t="shared" si="74"/>
        <v>3462.93</v>
      </c>
      <c r="E924" s="1670"/>
      <c r="F924" s="1732">
        <f t="shared" si="76"/>
        <v>1554.2700000000334</v>
      </c>
      <c r="G924" s="1672">
        <f t="shared" si="73"/>
        <v>2175.98</v>
      </c>
      <c r="H924" s="1670"/>
      <c r="I924" s="1670"/>
    </row>
    <row r="925" spans="1:9" ht="15.75">
      <c r="A925" s="1622"/>
      <c r="B925" s="1691">
        <f t="shared" si="77"/>
        <v>921</v>
      </c>
      <c r="C925" s="1731">
        <f t="shared" si="75"/>
        <v>2476.2100000000391</v>
      </c>
      <c r="D925" s="1672">
        <f t="shared" si="74"/>
        <v>3466.69</v>
      </c>
      <c r="E925" s="1670"/>
      <c r="F925" s="1732">
        <f t="shared" si="76"/>
        <v>1555.9600000000335</v>
      </c>
      <c r="G925" s="1672">
        <f t="shared" si="73"/>
        <v>2178.34</v>
      </c>
      <c r="H925" s="1670"/>
      <c r="I925" s="1670"/>
    </row>
    <row r="926" spans="1:9" ht="15.75">
      <c r="A926" s="1622"/>
      <c r="B926" s="1691">
        <f t="shared" si="77"/>
        <v>922</v>
      </c>
      <c r="C926" s="1731">
        <f t="shared" si="75"/>
        <v>2478.9000000000392</v>
      </c>
      <c r="D926" s="1672">
        <f t="shared" si="74"/>
        <v>3470.46</v>
      </c>
      <c r="E926" s="1670"/>
      <c r="F926" s="1732">
        <f t="shared" si="76"/>
        <v>1557.6500000000335</v>
      </c>
      <c r="G926" s="1672">
        <f t="shared" si="73"/>
        <v>2180.71</v>
      </c>
      <c r="H926" s="1670"/>
      <c r="I926" s="1670"/>
    </row>
    <row r="927" spans="1:9" ht="15.75">
      <c r="A927" s="1622"/>
      <c r="B927" s="1691">
        <f t="shared" si="77"/>
        <v>923</v>
      </c>
      <c r="C927" s="1731">
        <f t="shared" si="75"/>
        <v>2481.5900000000393</v>
      </c>
      <c r="D927" s="1672">
        <f t="shared" si="74"/>
        <v>3474.23</v>
      </c>
      <c r="E927" s="1670"/>
      <c r="F927" s="1732">
        <f t="shared" si="76"/>
        <v>1559.3400000000336</v>
      </c>
      <c r="G927" s="1672">
        <f t="shared" si="73"/>
        <v>2183.08</v>
      </c>
      <c r="H927" s="1670"/>
      <c r="I927" s="1670"/>
    </row>
    <row r="928" spans="1:9" ht="15.75">
      <c r="A928" s="1622"/>
      <c r="B928" s="1691">
        <f t="shared" si="77"/>
        <v>924</v>
      </c>
      <c r="C928" s="1731">
        <f t="shared" si="75"/>
        <v>2484.2800000000393</v>
      </c>
      <c r="D928" s="1672">
        <f t="shared" si="74"/>
        <v>3477.99</v>
      </c>
      <c r="E928" s="1670"/>
      <c r="F928" s="1732">
        <f t="shared" si="76"/>
        <v>1561.0300000000336</v>
      </c>
      <c r="G928" s="1672">
        <f t="shared" si="73"/>
        <v>2185.44</v>
      </c>
      <c r="H928" s="1670"/>
      <c r="I928" s="1670"/>
    </row>
    <row r="929" spans="1:9" ht="15.75">
      <c r="A929" s="1622"/>
      <c r="B929" s="1691">
        <f t="shared" si="77"/>
        <v>925</v>
      </c>
      <c r="C929" s="1731">
        <f t="shared" si="75"/>
        <v>2486.9700000000394</v>
      </c>
      <c r="D929" s="1672">
        <f t="shared" si="74"/>
        <v>3481.76</v>
      </c>
      <c r="E929" s="1670"/>
      <c r="F929" s="1732">
        <f t="shared" si="76"/>
        <v>1562.7200000000337</v>
      </c>
      <c r="G929" s="1672">
        <f t="shared" si="73"/>
        <v>2187.81</v>
      </c>
      <c r="H929" s="1670"/>
      <c r="I929" s="1670"/>
    </row>
    <row r="930" spans="1:9" ht="15.75">
      <c r="A930" s="1622"/>
      <c r="B930" s="1691">
        <f t="shared" si="77"/>
        <v>926</v>
      </c>
      <c r="C930" s="1731">
        <f t="shared" si="75"/>
        <v>2489.6600000000394</v>
      </c>
      <c r="D930" s="1672">
        <f t="shared" si="74"/>
        <v>3485.52</v>
      </c>
      <c r="E930" s="1670"/>
      <c r="F930" s="1732">
        <f t="shared" si="76"/>
        <v>1564.4100000000337</v>
      </c>
      <c r="G930" s="1672">
        <f t="shared" si="73"/>
        <v>2190.17</v>
      </c>
      <c r="H930" s="1670"/>
      <c r="I930" s="1670"/>
    </row>
    <row r="931" spans="1:9" ht="15.75">
      <c r="A931" s="1622"/>
      <c r="B931" s="1691">
        <f t="shared" si="77"/>
        <v>927</v>
      </c>
      <c r="C931" s="1731">
        <f t="shared" si="75"/>
        <v>2492.3500000000395</v>
      </c>
      <c r="D931" s="1672">
        <f t="shared" si="74"/>
        <v>3489.29</v>
      </c>
      <c r="E931" s="1670"/>
      <c r="F931" s="1732">
        <f t="shared" si="76"/>
        <v>1566.1000000000338</v>
      </c>
      <c r="G931" s="1672">
        <f t="shared" si="73"/>
        <v>2192.54</v>
      </c>
      <c r="H931" s="1670"/>
      <c r="I931" s="1670"/>
    </row>
    <row r="932" spans="1:9" ht="15.75">
      <c r="A932" s="1622"/>
      <c r="B932" s="1691">
        <f t="shared" si="77"/>
        <v>928</v>
      </c>
      <c r="C932" s="1731">
        <f t="shared" si="75"/>
        <v>2495.0400000000395</v>
      </c>
      <c r="D932" s="1672">
        <f t="shared" si="74"/>
        <v>3493.06</v>
      </c>
      <c r="E932" s="1670"/>
      <c r="F932" s="1732">
        <f t="shared" si="76"/>
        <v>1567.7900000000338</v>
      </c>
      <c r="G932" s="1672">
        <f t="shared" si="73"/>
        <v>2194.91</v>
      </c>
      <c r="H932" s="1670"/>
      <c r="I932" s="1670"/>
    </row>
    <row r="933" spans="1:9" ht="15.75">
      <c r="A933" s="1622"/>
      <c r="B933" s="1691">
        <f t="shared" si="77"/>
        <v>929</v>
      </c>
      <c r="C933" s="1731">
        <f t="shared" si="75"/>
        <v>2497.7300000000396</v>
      </c>
      <c r="D933" s="1672">
        <f t="shared" si="74"/>
        <v>3496.82</v>
      </c>
      <c r="E933" s="1670"/>
      <c r="F933" s="1732">
        <f t="shared" si="76"/>
        <v>1569.4800000000339</v>
      </c>
      <c r="G933" s="1672">
        <f t="shared" si="73"/>
        <v>2197.27</v>
      </c>
      <c r="H933" s="1670"/>
      <c r="I933" s="1670"/>
    </row>
    <row r="934" spans="1:9" ht="15.75">
      <c r="A934" s="1622"/>
      <c r="B934" s="1691">
        <f t="shared" si="77"/>
        <v>930</v>
      </c>
      <c r="C934" s="1731">
        <f t="shared" si="75"/>
        <v>2500.4200000000396</v>
      </c>
      <c r="D934" s="1672">
        <f t="shared" si="74"/>
        <v>3500.59</v>
      </c>
      <c r="E934" s="1670"/>
      <c r="F934" s="1732">
        <f t="shared" si="76"/>
        <v>1571.170000000034</v>
      </c>
      <c r="G934" s="1672">
        <f t="shared" si="73"/>
        <v>2199.64</v>
      </c>
      <c r="H934" s="1670"/>
      <c r="I934" s="1670"/>
    </row>
    <row r="935" spans="1:9" ht="15.75">
      <c r="A935" s="1622"/>
      <c r="B935" s="1691">
        <f t="shared" si="77"/>
        <v>931</v>
      </c>
      <c r="C935" s="1731">
        <f t="shared" si="75"/>
        <v>2503.1100000000397</v>
      </c>
      <c r="D935" s="1672">
        <f t="shared" si="74"/>
        <v>3504.35</v>
      </c>
      <c r="E935" s="1670"/>
      <c r="F935" s="1732">
        <f t="shared" si="76"/>
        <v>1572.860000000034</v>
      </c>
      <c r="G935" s="1672">
        <f t="shared" si="73"/>
        <v>2202</v>
      </c>
      <c r="H935" s="1670"/>
      <c r="I935" s="1670"/>
    </row>
    <row r="936" spans="1:9" ht="15.75">
      <c r="A936" s="1622"/>
      <c r="B936" s="1691">
        <f t="shared" si="77"/>
        <v>932</v>
      </c>
      <c r="C936" s="1731">
        <f t="shared" si="75"/>
        <v>2505.8000000000397</v>
      </c>
      <c r="D936" s="1672">
        <f t="shared" si="74"/>
        <v>3508.12</v>
      </c>
      <c r="E936" s="1670"/>
      <c r="F936" s="1732">
        <f t="shared" si="76"/>
        <v>1574.5500000000341</v>
      </c>
      <c r="G936" s="1672">
        <f t="shared" si="73"/>
        <v>2204.37</v>
      </c>
      <c r="H936" s="1670"/>
      <c r="I936" s="1670"/>
    </row>
    <row r="937" spans="1:9" ht="15.75">
      <c r="A937" s="1622"/>
      <c r="B937" s="1691">
        <f t="shared" si="77"/>
        <v>933</v>
      </c>
      <c r="C937" s="1731">
        <f t="shared" si="75"/>
        <v>2508.4900000000398</v>
      </c>
      <c r="D937" s="1672">
        <f t="shared" si="74"/>
        <v>3511.89</v>
      </c>
      <c r="E937" s="1670"/>
      <c r="F937" s="1732">
        <f t="shared" si="76"/>
        <v>1576.2400000000341</v>
      </c>
      <c r="G937" s="1672">
        <f t="shared" si="73"/>
        <v>2206.7399999999998</v>
      </c>
      <c r="H937" s="1670"/>
      <c r="I937" s="1670"/>
    </row>
    <row r="938" spans="1:9" ht="15.75">
      <c r="A938" s="1622"/>
      <c r="B938" s="1691">
        <f t="shared" si="77"/>
        <v>934</v>
      </c>
      <c r="C938" s="1731">
        <f t="shared" si="75"/>
        <v>2511.1800000000399</v>
      </c>
      <c r="D938" s="1672">
        <f t="shared" si="74"/>
        <v>3515.65</v>
      </c>
      <c r="E938" s="1670"/>
      <c r="F938" s="1732">
        <f t="shared" si="76"/>
        <v>1577.9300000000342</v>
      </c>
      <c r="G938" s="1672">
        <f t="shared" si="73"/>
        <v>2209.1</v>
      </c>
      <c r="H938" s="1670"/>
      <c r="I938" s="1670"/>
    </row>
    <row r="939" spans="1:9" ht="15.75">
      <c r="A939" s="1622"/>
      <c r="B939" s="1691">
        <f t="shared" si="77"/>
        <v>935</v>
      </c>
      <c r="C939" s="1731">
        <f t="shared" si="75"/>
        <v>2513.8700000000399</v>
      </c>
      <c r="D939" s="1672">
        <f t="shared" si="74"/>
        <v>3519.42</v>
      </c>
      <c r="E939" s="1670"/>
      <c r="F939" s="1732">
        <f t="shared" si="76"/>
        <v>1579.6200000000342</v>
      </c>
      <c r="G939" s="1672">
        <f t="shared" si="73"/>
        <v>2211.4699999999998</v>
      </c>
      <c r="H939" s="1670"/>
      <c r="I939" s="1670"/>
    </row>
    <row r="940" spans="1:9" ht="15.75">
      <c r="A940" s="1622"/>
      <c r="B940" s="1691">
        <f t="shared" si="77"/>
        <v>936</v>
      </c>
      <c r="C940" s="1731">
        <f t="shared" si="75"/>
        <v>2516.56000000004</v>
      </c>
      <c r="D940" s="1672">
        <f t="shared" si="74"/>
        <v>3523.18</v>
      </c>
      <c r="E940" s="1670"/>
      <c r="F940" s="1732">
        <f t="shared" si="76"/>
        <v>1581.3100000000343</v>
      </c>
      <c r="G940" s="1672">
        <f t="shared" si="73"/>
        <v>2213.83</v>
      </c>
      <c r="H940" s="1670"/>
      <c r="I940" s="1670"/>
    </row>
    <row r="941" spans="1:9" ht="15.75">
      <c r="A941" s="1622"/>
      <c r="B941" s="1691">
        <f t="shared" si="77"/>
        <v>937</v>
      </c>
      <c r="C941" s="1731">
        <f t="shared" si="75"/>
        <v>2519.25000000004</v>
      </c>
      <c r="D941" s="1672">
        <f t="shared" si="74"/>
        <v>3526.95</v>
      </c>
      <c r="E941" s="1670"/>
      <c r="F941" s="1732">
        <f t="shared" si="76"/>
        <v>1583.0000000000343</v>
      </c>
      <c r="G941" s="1672">
        <f t="shared" si="73"/>
        <v>2216.1999999999998</v>
      </c>
      <c r="H941" s="1670"/>
      <c r="I941" s="1670"/>
    </row>
    <row r="942" spans="1:9" ht="15.75">
      <c r="A942" s="1622"/>
      <c r="B942" s="1691">
        <f t="shared" si="77"/>
        <v>938</v>
      </c>
      <c r="C942" s="1731">
        <f t="shared" si="75"/>
        <v>2521.9400000000401</v>
      </c>
      <c r="D942" s="1672">
        <f t="shared" si="74"/>
        <v>3530.72</v>
      </c>
      <c r="E942" s="1670"/>
      <c r="F942" s="1732">
        <f t="shared" si="76"/>
        <v>1584.6900000000344</v>
      </c>
      <c r="G942" s="1672">
        <f t="shared" si="73"/>
        <v>2218.5700000000002</v>
      </c>
      <c r="H942" s="1670"/>
      <c r="I942" s="1670"/>
    </row>
    <row r="943" spans="1:9" ht="15.75">
      <c r="A943" s="1622"/>
      <c r="B943" s="1691">
        <f t="shared" si="77"/>
        <v>939</v>
      </c>
      <c r="C943" s="1731">
        <f t="shared" si="75"/>
        <v>2524.6300000000401</v>
      </c>
      <c r="D943" s="1672">
        <f t="shared" si="74"/>
        <v>3534.48</v>
      </c>
      <c r="E943" s="1670"/>
      <c r="F943" s="1732">
        <f t="shared" si="76"/>
        <v>1586.3800000000344</v>
      </c>
      <c r="G943" s="1672">
        <f t="shared" si="73"/>
        <v>2220.9299999999998</v>
      </c>
      <c r="H943" s="1670"/>
      <c r="I943" s="1670"/>
    </row>
    <row r="944" spans="1:9" ht="15.75">
      <c r="A944" s="1622"/>
      <c r="B944" s="1691">
        <f t="shared" si="77"/>
        <v>940</v>
      </c>
      <c r="C944" s="1731">
        <f t="shared" si="75"/>
        <v>2527.3200000000402</v>
      </c>
      <c r="D944" s="1672">
        <f t="shared" si="74"/>
        <v>3538.25</v>
      </c>
      <c r="E944" s="1670"/>
      <c r="F944" s="1732">
        <f t="shared" si="76"/>
        <v>1588.0700000000345</v>
      </c>
      <c r="G944" s="1672">
        <f t="shared" si="73"/>
        <v>2223.3000000000002</v>
      </c>
      <c r="H944" s="1670"/>
      <c r="I944" s="1670"/>
    </row>
    <row r="945" spans="1:9" ht="15.75">
      <c r="A945" s="1622"/>
      <c r="B945" s="1691">
        <f t="shared" si="77"/>
        <v>941</v>
      </c>
      <c r="C945" s="1731">
        <f t="shared" si="75"/>
        <v>2530.0100000000402</v>
      </c>
      <c r="D945" s="1672">
        <f t="shared" si="74"/>
        <v>3542.01</v>
      </c>
      <c r="E945" s="1670"/>
      <c r="F945" s="1732">
        <f t="shared" si="76"/>
        <v>1589.7600000000346</v>
      </c>
      <c r="G945" s="1672">
        <f t="shared" si="73"/>
        <v>2225.66</v>
      </c>
      <c r="H945" s="1670"/>
      <c r="I945" s="1670"/>
    </row>
    <row r="946" spans="1:9" ht="15.75">
      <c r="A946" s="1622"/>
      <c r="B946" s="1691">
        <f t="shared" si="77"/>
        <v>942</v>
      </c>
      <c r="C946" s="1731">
        <f t="shared" si="75"/>
        <v>2532.7000000000403</v>
      </c>
      <c r="D946" s="1672">
        <f t="shared" si="74"/>
        <v>3545.78</v>
      </c>
      <c r="E946" s="1670"/>
      <c r="F946" s="1732">
        <f t="shared" si="76"/>
        <v>1591.4500000000346</v>
      </c>
      <c r="G946" s="1672">
        <f t="shared" si="73"/>
        <v>2228.0300000000002</v>
      </c>
      <c r="H946" s="1670"/>
      <c r="I946" s="1670"/>
    </row>
    <row r="947" spans="1:9" ht="15.75">
      <c r="A947" s="1622"/>
      <c r="B947" s="1691">
        <f t="shared" si="77"/>
        <v>943</v>
      </c>
      <c r="C947" s="1731">
        <f t="shared" si="75"/>
        <v>2535.3900000000403</v>
      </c>
      <c r="D947" s="1672">
        <f t="shared" si="74"/>
        <v>3549.55</v>
      </c>
      <c r="E947" s="1670"/>
      <c r="F947" s="1732">
        <f t="shared" si="76"/>
        <v>1593.1400000000347</v>
      </c>
      <c r="G947" s="1672">
        <f t="shared" si="73"/>
        <v>2230.4</v>
      </c>
      <c r="H947" s="1670"/>
      <c r="I947" s="1670"/>
    </row>
    <row r="948" spans="1:9" ht="15.75">
      <c r="A948" s="1622"/>
      <c r="B948" s="1691">
        <f t="shared" si="77"/>
        <v>944</v>
      </c>
      <c r="C948" s="1731">
        <f t="shared" si="75"/>
        <v>2538.0800000000404</v>
      </c>
      <c r="D948" s="1672">
        <f t="shared" si="74"/>
        <v>3553.31</v>
      </c>
      <c r="E948" s="1670"/>
      <c r="F948" s="1732">
        <f t="shared" si="76"/>
        <v>1594.8300000000347</v>
      </c>
      <c r="G948" s="1672">
        <f t="shared" si="73"/>
        <v>2232.7600000000002</v>
      </c>
      <c r="H948" s="1670"/>
      <c r="I948" s="1670"/>
    </row>
    <row r="949" spans="1:9" ht="15.75">
      <c r="A949" s="1622"/>
      <c r="B949" s="1691">
        <f t="shared" si="77"/>
        <v>945</v>
      </c>
      <c r="C949" s="1731">
        <f t="shared" si="75"/>
        <v>2540.7700000000405</v>
      </c>
      <c r="D949" s="1672">
        <f t="shared" si="74"/>
        <v>3557.08</v>
      </c>
      <c r="E949" s="1670"/>
      <c r="F949" s="1732">
        <f t="shared" si="76"/>
        <v>1596.5200000000348</v>
      </c>
      <c r="G949" s="1672">
        <f t="shared" si="73"/>
        <v>2235.13</v>
      </c>
      <c r="H949" s="1670"/>
      <c r="I949" s="1670"/>
    </row>
    <row r="950" spans="1:9" ht="15.75">
      <c r="A950" s="1622"/>
      <c r="B950" s="1691">
        <f t="shared" si="77"/>
        <v>946</v>
      </c>
      <c r="C950" s="1731">
        <f t="shared" si="75"/>
        <v>2543.4600000000405</v>
      </c>
      <c r="D950" s="1672">
        <f t="shared" si="74"/>
        <v>3560.84</v>
      </c>
      <c r="E950" s="1670"/>
      <c r="F950" s="1732">
        <f t="shared" si="76"/>
        <v>1598.2100000000348</v>
      </c>
      <c r="G950" s="1672">
        <f t="shared" si="73"/>
        <v>2237.4899999999998</v>
      </c>
      <c r="H950" s="1670"/>
      <c r="I950" s="1670"/>
    </row>
    <row r="951" spans="1:9" ht="15.75">
      <c r="A951" s="1622"/>
      <c r="B951" s="1691">
        <f t="shared" si="77"/>
        <v>947</v>
      </c>
      <c r="C951" s="1731">
        <f t="shared" si="75"/>
        <v>2546.1500000000406</v>
      </c>
      <c r="D951" s="1672">
        <f t="shared" si="74"/>
        <v>3564.61</v>
      </c>
      <c r="E951" s="1670"/>
      <c r="F951" s="1732">
        <f t="shared" si="76"/>
        <v>1599.9000000000349</v>
      </c>
      <c r="G951" s="1672">
        <f t="shared" si="73"/>
        <v>2239.86</v>
      </c>
      <c r="H951" s="1670"/>
      <c r="I951" s="1670"/>
    </row>
    <row r="952" spans="1:9" ht="15.75">
      <c r="A952" s="1622"/>
      <c r="B952" s="1691">
        <f t="shared" si="77"/>
        <v>948</v>
      </c>
      <c r="C952" s="1731">
        <f t="shared" si="75"/>
        <v>2548.8400000000406</v>
      </c>
      <c r="D952" s="1672">
        <f t="shared" si="74"/>
        <v>3568.38</v>
      </c>
      <c r="E952" s="1670"/>
      <c r="F952" s="1732">
        <f t="shared" si="76"/>
        <v>1601.5900000000349</v>
      </c>
      <c r="G952" s="1672">
        <f t="shared" si="73"/>
        <v>2242.23</v>
      </c>
      <c r="H952" s="1670"/>
      <c r="I952" s="1670"/>
    </row>
    <row r="953" spans="1:9" ht="15.75">
      <c r="A953" s="1622"/>
      <c r="B953" s="1691">
        <f t="shared" si="77"/>
        <v>949</v>
      </c>
      <c r="C953" s="1731">
        <f t="shared" si="75"/>
        <v>2551.5300000000407</v>
      </c>
      <c r="D953" s="1672">
        <f t="shared" si="74"/>
        <v>3572.14</v>
      </c>
      <c r="E953" s="1670"/>
      <c r="F953" s="1732">
        <f t="shared" si="76"/>
        <v>1603.280000000035</v>
      </c>
      <c r="G953" s="1672">
        <f t="shared" si="73"/>
        <v>2244.59</v>
      </c>
      <c r="H953" s="1670"/>
      <c r="I953" s="1670"/>
    </row>
    <row r="954" spans="1:9" ht="15.75">
      <c r="A954" s="1622"/>
      <c r="B954" s="1691">
        <f t="shared" si="77"/>
        <v>950</v>
      </c>
      <c r="C954" s="1731">
        <f t="shared" si="75"/>
        <v>2554.2200000000407</v>
      </c>
      <c r="D954" s="1672">
        <f t="shared" si="74"/>
        <v>3575.91</v>
      </c>
      <c r="E954" s="1670"/>
      <c r="F954" s="1732">
        <f t="shared" si="76"/>
        <v>1604.970000000035</v>
      </c>
      <c r="G954" s="1672">
        <f t="shared" si="73"/>
        <v>2246.96</v>
      </c>
      <c r="H954" s="1670"/>
      <c r="I954" s="1670"/>
    </row>
    <row r="955" spans="1:9" ht="15.75">
      <c r="A955" s="1622"/>
      <c r="B955" s="1691">
        <f t="shared" si="77"/>
        <v>951</v>
      </c>
      <c r="C955" s="1731">
        <f t="shared" si="75"/>
        <v>2556.9100000000408</v>
      </c>
      <c r="D955" s="1672">
        <f t="shared" si="74"/>
        <v>3579.67</v>
      </c>
      <c r="E955" s="1670"/>
      <c r="F955" s="1732">
        <f t="shared" si="76"/>
        <v>1606.6600000000351</v>
      </c>
      <c r="G955" s="1672">
        <f t="shared" si="73"/>
        <v>2249.3200000000002</v>
      </c>
      <c r="H955" s="1670"/>
      <c r="I955" s="1670"/>
    </row>
    <row r="956" spans="1:9" ht="15.75">
      <c r="A956" s="1622"/>
      <c r="B956" s="1691">
        <f t="shared" si="77"/>
        <v>952</v>
      </c>
      <c r="C956" s="1731">
        <f t="shared" si="75"/>
        <v>2559.6000000000408</v>
      </c>
      <c r="D956" s="1672">
        <f t="shared" si="74"/>
        <v>3583.44</v>
      </c>
      <c r="E956" s="1670"/>
      <c r="F956" s="1732">
        <f t="shared" si="76"/>
        <v>1608.3500000000352</v>
      </c>
      <c r="G956" s="1672">
        <f t="shared" si="73"/>
        <v>2251.69</v>
      </c>
      <c r="H956" s="1670"/>
      <c r="I956" s="1670"/>
    </row>
    <row r="957" spans="1:9" ht="15.75">
      <c r="A957" s="1622"/>
      <c r="B957" s="1691">
        <f t="shared" si="77"/>
        <v>953</v>
      </c>
      <c r="C957" s="1731">
        <f t="shared" si="75"/>
        <v>2562.2900000000409</v>
      </c>
      <c r="D957" s="1672">
        <f t="shared" si="74"/>
        <v>3587.21</v>
      </c>
      <c r="E957" s="1670"/>
      <c r="F957" s="1732">
        <f t="shared" si="76"/>
        <v>1610.0400000000352</v>
      </c>
      <c r="G957" s="1672">
        <f t="shared" si="73"/>
        <v>2254.06</v>
      </c>
      <c r="H957" s="1670"/>
      <c r="I957" s="1670"/>
    </row>
    <row r="958" spans="1:9" ht="15.75">
      <c r="A958" s="1622"/>
      <c r="B958" s="1691">
        <f t="shared" si="77"/>
        <v>954</v>
      </c>
      <c r="C958" s="1731">
        <f t="shared" si="75"/>
        <v>2564.9800000000409</v>
      </c>
      <c r="D958" s="1672">
        <f t="shared" si="74"/>
        <v>3590.97</v>
      </c>
      <c r="E958" s="1670"/>
      <c r="F958" s="1732">
        <f t="shared" si="76"/>
        <v>1611.7300000000353</v>
      </c>
      <c r="G958" s="1672">
        <f t="shared" si="73"/>
        <v>2256.42</v>
      </c>
      <c r="H958" s="1670"/>
      <c r="I958" s="1670"/>
    </row>
    <row r="959" spans="1:9" ht="15.75">
      <c r="A959" s="1622"/>
      <c r="B959" s="1691">
        <f t="shared" si="77"/>
        <v>955</v>
      </c>
      <c r="C959" s="1731">
        <f t="shared" si="75"/>
        <v>2567.670000000041</v>
      </c>
      <c r="D959" s="1672">
        <f t="shared" si="74"/>
        <v>3594.74</v>
      </c>
      <c r="E959" s="1670"/>
      <c r="F959" s="1732">
        <f t="shared" si="76"/>
        <v>1613.4200000000353</v>
      </c>
      <c r="G959" s="1672">
        <f t="shared" si="73"/>
        <v>2258.79</v>
      </c>
      <c r="H959" s="1670"/>
      <c r="I959" s="1670"/>
    </row>
    <row r="960" spans="1:9" ht="15.75">
      <c r="A960" s="1622"/>
      <c r="B960" s="1691">
        <f t="shared" si="77"/>
        <v>956</v>
      </c>
      <c r="C960" s="1731">
        <f t="shared" si="75"/>
        <v>2570.3600000000411</v>
      </c>
      <c r="D960" s="1672">
        <f t="shared" si="74"/>
        <v>3598.5</v>
      </c>
      <c r="E960" s="1670"/>
      <c r="F960" s="1732">
        <f t="shared" si="76"/>
        <v>1615.1100000000354</v>
      </c>
      <c r="G960" s="1672">
        <f t="shared" si="73"/>
        <v>2261.15</v>
      </c>
      <c r="H960" s="1670"/>
      <c r="I960" s="1670"/>
    </row>
    <row r="961" spans="1:9" ht="15.75">
      <c r="A961" s="1622"/>
      <c r="B961" s="1691">
        <f t="shared" si="77"/>
        <v>957</v>
      </c>
      <c r="C961" s="1731">
        <f t="shared" si="75"/>
        <v>2573.0500000000411</v>
      </c>
      <c r="D961" s="1672">
        <f t="shared" si="74"/>
        <v>3602.27</v>
      </c>
      <c r="E961" s="1670"/>
      <c r="F961" s="1732">
        <f t="shared" si="76"/>
        <v>1616.8000000000354</v>
      </c>
      <c r="G961" s="1672">
        <f t="shared" si="73"/>
        <v>2263.52</v>
      </c>
      <c r="H961" s="1670"/>
      <c r="I961" s="1670"/>
    </row>
    <row r="962" spans="1:9" ht="15.75">
      <c r="A962" s="1622"/>
      <c r="B962" s="1691">
        <f t="shared" si="77"/>
        <v>958</v>
      </c>
      <c r="C962" s="1731">
        <f t="shared" si="75"/>
        <v>2575.7400000000412</v>
      </c>
      <c r="D962" s="1672">
        <f t="shared" si="74"/>
        <v>3606.04</v>
      </c>
      <c r="E962" s="1670"/>
      <c r="F962" s="1732">
        <f t="shared" si="76"/>
        <v>1618.4900000000355</v>
      </c>
      <c r="G962" s="1672">
        <f t="shared" si="73"/>
        <v>2265.89</v>
      </c>
      <c r="H962" s="1670"/>
      <c r="I962" s="1670"/>
    </row>
    <row r="963" spans="1:9" ht="15.75">
      <c r="A963" s="1622"/>
      <c r="B963" s="1691">
        <f t="shared" si="77"/>
        <v>959</v>
      </c>
      <c r="C963" s="1731">
        <f t="shared" si="75"/>
        <v>2578.4300000000412</v>
      </c>
      <c r="D963" s="1672">
        <f t="shared" si="74"/>
        <v>3609.8</v>
      </c>
      <c r="E963" s="1670"/>
      <c r="F963" s="1732">
        <f t="shared" si="76"/>
        <v>1620.1800000000355</v>
      </c>
      <c r="G963" s="1672">
        <f t="shared" si="73"/>
        <v>2268.25</v>
      </c>
      <c r="H963" s="1670"/>
      <c r="I963" s="1670"/>
    </row>
    <row r="964" spans="1:9" ht="15.75">
      <c r="A964" s="1622"/>
      <c r="B964" s="1691">
        <f t="shared" si="77"/>
        <v>960</v>
      </c>
      <c r="C964" s="1731">
        <f t="shared" si="75"/>
        <v>2581.1200000000413</v>
      </c>
      <c r="D964" s="1672">
        <f t="shared" si="74"/>
        <v>3613.57</v>
      </c>
      <c r="E964" s="1670"/>
      <c r="F964" s="1732">
        <f t="shared" si="76"/>
        <v>1621.8700000000356</v>
      </c>
      <c r="G964" s="1672">
        <f t="shared" si="73"/>
        <v>2270.62</v>
      </c>
      <c r="H964" s="1670"/>
      <c r="I964" s="1670"/>
    </row>
    <row r="965" spans="1:9" ht="15.75">
      <c r="A965" s="1622"/>
      <c r="B965" s="1691">
        <f t="shared" si="77"/>
        <v>961</v>
      </c>
      <c r="C965" s="1731">
        <f t="shared" si="75"/>
        <v>2583.8100000000413</v>
      </c>
      <c r="D965" s="1672">
        <f t="shared" si="74"/>
        <v>3617.33</v>
      </c>
      <c r="E965" s="1670"/>
      <c r="F965" s="1732">
        <f t="shared" si="76"/>
        <v>1623.5600000000356</v>
      </c>
      <c r="G965" s="1672">
        <f t="shared" ref="G965:G1004" si="78">ROUND(F965*1.4,2)</f>
        <v>2272.98</v>
      </c>
      <c r="H965" s="1670"/>
      <c r="I965" s="1670"/>
    </row>
    <row r="966" spans="1:9" ht="15.75">
      <c r="A966" s="1622"/>
      <c r="B966" s="1691">
        <f t="shared" si="77"/>
        <v>962</v>
      </c>
      <c r="C966" s="1731">
        <f t="shared" si="75"/>
        <v>2586.5000000000414</v>
      </c>
      <c r="D966" s="1672">
        <f t="shared" ref="D966:D1004" si="79">ROUND(C966*1.4,2)</f>
        <v>3621.1</v>
      </c>
      <c r="E966" s="1670"/>
      <c r="F966" s="1732">
        <f t="shared" si="76"/>
        <v>1625.2500000000357</v>
      </c>
      <c r="G966" s="1672">
        <f t="shared" si="78"/>
        <v>2275.35</v>
      </c>
      <c r="H966" s="1670"/>
      <c r="I966" s="1670"/>
    </row>
    <row r="967" spans="1:9" ht="15.75">
      <c r="A967" s="1622"/>
      <c r="B967" s="1691">
        <f t="shared" si="77"/>
        <v>963</v>
      </c>
      <c r="C967" s="1731">
        <f t="shared" si="75"/>
        <v>2589.1900000000414</v>
      </c>
      <c r="D967" s="1672">
        <f t="shared" si="79"/>
        <v>3624.87</v>
      </c>
      <c r="E967" s="1670"/>
      <c r="F967" s="1732">
        <f t="shared" si="76"/>
        <v>1626.9400000000358</v>
      </c>
      <c r="G967" s="1672">
        <f t="shared" si="78"/>
        <v>2277.7199999999998</v>
      </c>
      <c r="H967" s="1670"/>
      <c r="I967" s="1670"/>
    </row>
    <row r="968" spans="1:9" ht="15.75">
      <c r="A968" s="1622"/>
      <c r="B968" s="1691">
        <f t="shared" si="77"/>
        <v>964</v>
      </c>
      <c r="C968" s="1731">
        <f t="shared" si="75"/>
        <v>2591.8800000000415</v>
      </c>
      <c r="D968" s="1672">
        <f t="shared" si="79"/>
        <v>3628.63</v>
      </c>
      <c r="E968" s="1670"/>
      <c r="F968" s="1732">
        <f t="shared" si="76"/>
        <v>1628.6300000000358</v>
      </c>
      <c r="G968" s="1672">
        <f t="shared" si="78"/>
        <v>2280.08</v>
      </c>
      <c r="H968" s="1670"/>
      <c r="I968" s="1670"/>
    </row>
    <row r="969" spans="1:9" ht="15.75">
      <c r="A969" s="1622"/>
      <c r="B969" s="1691">
        <f t="shared" si="77"/>
        <v>965</v>
      </c>
      <c r="C969" s="1731">
        <f t="shared" si="75"/>
        <v>2594.5700000000415</v>
      </c>
      <c r="D969" s="1672">
        <f t="shared" si="79"/>
        <v>3632.4</v>
      </c>
      <c r="E969" s="1670"/>
      <c r="F969" s="1732">
        <f t="shared" si="76"/>
        <v>1630.3200000000359</v>
      </c>
      <c r="G969" s="1672">
        <f t="shared" si="78"/>
        <v>2282.4499999999998</v>
      </c>
      <c r="H969" s="1670"/>
      <c r="I969" s="1670"/>
    </row>
    <row r="970" spans="1:9" ht="15.75">
      <c r="A970" s="1622"/>
      <c r="B970" s="1691">
        <f t="shared" si="77"/>
        <v>966</v>
      </c>
      <c r="C970" s="1731">
        <f t="shared" si="75"/>
        <v>2597.2600000000416</v>
      </c>
      <c r="D970" s="1672">
        <f t="shared" si="79"/>
        <v>3636.16</v>
      </c>
      <c r="E970" s="1670"/>
      <c r="F970" s="1732">
        <f t="shared" si="76"/>
        <v>1632.0100000000359</v>
      </c>
      <c r="G970" s="1672">
        <f t="shared" si="78"/>
        <v>2284.81</v>
      </c>
      <c r="H970" s="1670"/>
      <c r="I970" s="1670"/>
    </row>
    <row r="971" spans="1:9" ht="15.75">
      <c r="A971" s="1622"/>
      <c r="B971" s="1691">
        <f t="shared" si="77"/>
        <v>967</v>
      </c>
      <c r="C971" s="1731">
        <f t="shared" si="75"/>
        <v>2599.9500000000417</v>
      </c>
      <c r="D971" s="1672">
        <f t="shared" si="79"/>
        <v>3639.93</v>
      </c>
      <c r="E971" s="1670"/>
      <c r="F971" s="1732">
        <f t="shared" si="76"/>
        <v>1633.700000000036</v>
      </c>
      <c r="G971" s="1672">
        <f t="shared" si="78"/>
        <v>2287.1799999999998</v>
      </c>
      <c r="H971" s="1670"/>
      <c r="I971" s="1670"/>
    </row>
    <row r="972" spans="1:9" ht="15.75">
      <c r="A972" s="1622"/>
      <c r="B972" s="1691">
        <f t="shared" si="77"/>
        <v>968</v>
      </c>
      <c r="C972" s="1731">
        <f t="shared" si="75"/>
        <v>2602.6400000000417</v>
      </c>
      <c r="D972" s="1672">
        <f t="shared" si="79"/>
        <v>3643.7</v>
      </c>
      <c r="E972" s="1670"/>
      <c r="F972" s="1732">
        <f t="shared" si="76"/>
        <v>1635.390000000036</v>
      </c>
      <c r="G972" s="1672">
        <f t="shared" si="78"/>
        <v>2289.5500000000002</v>
      </c>
      <c r="H972" s="1670"/>
      <c r="I972" s="1670"/>
    </row>
    <row r="973" spans="1:9" ht="15.75">
      <c r="A973" s="1622"/>
      <c r="B973" s="1691">
        <f t="shared" si="77"/>
        <v>969</v>
      </c>
      <c r="C973" s="1731">
        <f t="shared" ref="C973:C1004" si="80">C972+$C$1006</f>
        <v>2605.3300000000418</v>
      </c>
      <c r="D973" s="1672">
        <f t="shared" si="79"/>
        <v>3647.46</v>
      </c>
      <c r="E973" s="1670"/>
      <c r="F973" s="1732">
        <f t="shared" ref="F973:F1004" si="81">F972+$F$1006</f>
        <v>1637.0800000000361</v>
      </c>
      <c r="G973" s="1672">
        <f t="shared" si="78"/>
        <v>2291.91</v>
      </c>
      <c r="H973" s="1670"/>
      <c r="I973" s="1670"/>
    </row>
    <row r="974" spans="1:9" ht="15.75">
      <c r="A974" s="1622"/>
      <c r="B974" s="1691">
        <f t="shared" ref="B974:B1004" si="82">B973+1</f>
        <v>970</v>
      </c>
      <c r="C974" s="1731">
        <f t="shared" si="80"/>
        <v>2608.0200000000418</v>
      </c>
      <c r="D974" s="1672">
        <f t="shared" si="79"/>
        <v>3651.23</v>
      </c>
      <c r="E974" s="1670"/>
      <c r="F974" s="1732">
        <f t="shared" si="81"/>
        <v>1638.7700000000361</v>
      </c>
      <c r="G974" s="1672">
        <f t="shared" si="78"/>
        <v>2294.2800000000002</v>
      </c>
      <c r="H974" s="1670"/>
      <c r="I974" s="1670"/>
    </row>
    <row r="975" spans="1:9" ht="15.75">
      <c r="A975" s="1622"/>
      <c r="B975" s="1691">
        <f t="shared" si="82"/>
        <v>971</v>
      </c>
      <c r="C975" s="1731">
        <f t="shared" si="80"/>
        <v>2610.7100000000419</v>
      </c>
      <c r="D975" s="1672">
        <f t="shared" si="79"/>
        <v>3654.99</v>
      </c>
      <c r="E975" s="1670"/>
      <c r="F975" s="1732">
        <f t="shared" si="81"/>
        <v>1640.4600000000362</v>
      </c>
      <c r="G975" s="1672">
        <f t="shared" si="78"/>
        <v>2296.64</v>
      </c>
      <c r="H975" s="1670"/>
      <c r="I975" s="1670"/>
    </row>
    <row r="976" spans="1:9" ht="15.75">
      <c r="A976" s="1622"/>
      <c r="B976" s="1691">
        <f t="shared" si="82"/>
        <v>972</v>
      </c>
      <c r="C976" s="1731">
        <f t="shared" si="80"/>
        <v>2613.4000000000419</v>
      </c>
      <c r="D976" s="1672">
        <f t="shared" si="79"/>
        <v>3658.76</v>
      </c>
      <c r="E976" s="1670"/>
      <c r="F976" s="1732">
        <f t="shared" si="81"/>
        <v>1642.1500000000362</v>
      </c>
      <c r="G976" s="1672">
        <f t="shared" si="78"/>
        <v>2299.0100000000002</v>
      </c>
      <c r="H976" s="1670"/>
      <c r="I976" s="1670"/>
    </row>
    <row r="977" spans="1:9" ht="15.75">
      <c r="A977" s="1622"/>
      <c r="B977" s="1691">
        <f t="shared" si="82"/>
        <v>973</v>
      </c>
      <c r="C977" s="1731">
        <f t="shared" si="80"/>
        <v>2616.090000000042</v>
      </c>
      <c r="D977" s="1672">
        <f t="shared" si="79"/>
        <v>3662.53</v>
      </c>
      <c r="E977" s="1670"/>
      <c r="F977" s="1732">
        <f t="shared" si="81"/>
        <v>1643.8400000000363</v>
      </c>
      <c r="G977" s="1672">
        <f t="shared" si="78"/>
        <v>2301.38</v>
      </c>
      <c r="H977" s="1670"/>
      <c r="I977" s="1670"/>
    </row>
    <row r="978" spans="1:9" ht="15.75">
      <c r="A978" s="1622"/>
      <c r="B978" s="1691">
        <f t="shared" si="82"/>
        <v>974</v>
      </c>
      <c r="C978" s="1731">
        <f t="shared" si="80"/>
        <v>2618.780000000042</v>
      </c>
      <c r="D978" s="1672">
        <f t="shared" si="79"/>
        <v>3666.29</v>
      </c>
      <c r="E978" s="1670"/>
      <c r="F978" s="1732">
        <f t="shared" si="81"/>
        <v>1645.5300000000364</v>
      </c>
      <c r="G978" s="1672">
        <f t="shared" si="78"/>
        <v>2303.7399999999998</v>
      </c>
      <c r="H978" s="1670"/>
      <c r="I978" s="1670"/>
    </row>
    <row r="979" spans="1:9" ht="15.75">
      <c r="A979" s="1622"/>
      <c r="B979" s="1691">
        <f t="shared" si="82"/>
        <v>975</v>
      </c>
      <c r="C979" s="1731">
        <f t="shared" si="80"/>
        <v>2621.4700000000421</v>
      </c>
      <c r="D979" s="1672">
        <f t="shared" si="79"/>
        <v>3670.06</v>
      </c>
      <c r="E979" s="1670"/>
      <c r="F979" s="1732">
        <f t="shared" si="81"/>
        <v>1647.2200000000364</v>
      </c>
      <c r="G979" s="1672">
        <f t="shared" si="78"/>
        <v>2306.11</v>
      </c>
      <c r="H979" s="1670"/>
      <c r="I979" s="1670"/>
    </row>
    <row r="980" spans="1:9" ht="15.75">
      <c r="A980" s="1622"/>
      <c r="B980" s="1691">
        <f t="shared" si="82"/>
        <v>976</v>
      </c>
      <c r="C980" s="1731">
        <f t="shared" si="80"/>
        <v>2624.1600000000421</v>
      </c>
      <c r="D980" s="1672">
        <f t="shared" si="79"/>
        <v>3673.82</v>
      </c>
      <c r="E980" s="1670"/>
      <c r="F980" s="1732">
        <f t="shared" si="81"/>
        <v>1648.9100000000365</v>
      </c>
      <c r="G980" s="1672">
        <f t="shared" si="78"/>
        <v>2308.4699999999998</v>
      </c>
      <c r="H980" s="1670"/>
      <c r="I980" s="1670"/>
    </row>
    <row r="981" spans="1:9" ht="15.75">
      <c r="A981" s="1622"/>
      <c r="B981" s="1691">
        <f t="shared" si="82"/>
        <v>977</v>
      </c>
      <c r="C981" s="1731">
        <f t="shared" si="80"/>
        <v>2626.8500000000422</v>
      </c>
      <c r="D981" s="1672">
        <f t="shared" si="79"/>
        <v>3677.59</v>
      </c>
      <c r="E981" s="1670"/>
      <c r="F981" s="1732">
        <f t="shared" si="81"/>
        <v>1650.6000000000365</v>
      </c>
      <c r="G981" s="1672">
        <f t="shared" si="78"/>
        <v>2310.84</v>
      </c>
      <c r="H981" s="1670"/>
      <c r="I981" s="1670"/>
    </row>
    <row r="982" spans="1:9" ht="15.75">
      <c r="A982" s="1622"/>
      <c r="B982" s="1691">
        <f t="shared" si="82"/>
        <v>978</v>
      </c>
      <c r="C982" s="1731">
        <f t="shared" si="80"/>
        <v>2629.5400000000423</v>
      </c>
      <c r="D982" s="1672">
        <f t="shared" si="79"/>
        <v>3681.36</v>
      </c>
      <c r="E982" s="1670"/>
      <c r="F982" s="1732">
        <f t="shared" si="81"/>
        <v>1652.2900000000366</v>
      </c>
      <c r="G982" s="1672">
        <f t="shared" si="78"/>
        <v>2313.21</v>
      </c>
      <c r="H982" s="1670"/>
      <c r="I982" s="1670"/>
    </row>
    <row r="983" spans="1:9" ht="15.75">
      <c r="A983" s="1622"/>
      <c r="B983" s="1691">
        <f t="shared" si="82"/>
        <v>979</v>
      </c>
      <c r="C983" s="1731">
        <f t="shared" si="80"/>
        <v>2632.2300000000423</v>
      </c>
      <c r="D983" s="1672">
        <f t="shared" si="79"/>
        <v>3685.12</v>
      </c>
      <c r="E983" s="1670"/>
      <c r="F983" s="1732">
        <f t="shared" si="81"/>
        <v>1653.9800000000366</v>
      </c>
      <c r="G983" s="1672">
        <f t="shared" si="78"/>
        <v>2315.5700000000002</v>
      </c>
      <c r="H983" s="1670"/>
      <c r="I983" s="1670"/>
    </row>
    <row r="984" spans="1:9" ht="15.75">
      <c r="A984" s="1622"/>
      <c r="B984" s="1691">
        <f t="shared" si="82"/>
        <v>980</v>
      </c>
      <c r="C984" s="1731">
        <f t="shared" si="80"/>
        <v>2634.9200000000424</v>
      </c>
      <c r="D984" s="1672">
        <f t="shared" si="79"/>
        <v>3688.89</v>
      </c>
      <c r="E984" s="1670"/>
      <c r="F984" s="1732">
        <f t="shared" si="81"/>
        <v>1655.6700000000367</v>
      </c>
      <c r="G984" s="1672">
        <f t="shared" si="78"/>
        <v>2317.94</v>
      </c>
      <c r="H984" s="1670"/>
      <c r="I984" s="1670"/>
    </row>
    <row r="985" spans="1:9" ht="15.75">
      <c r="A985" s="1622"/>
      <c r="B985" s="1691">
        <f t="shared" si="82"/>
        <v>981</v>
      </c>
      <c r="C985" s="1731">
        <f t="shared" si="80"/>
        <v>2637.6100000000424</v>
      </c>
      <c r="D985" s="1672">
        <f t="shared" si="79"/>
        <v>3692.65</v>
      </c>
      <c r="E985" s="1670"/>
      <c r="F985" s="1732">
        <f t="shared" si="81"/>
        <v>1657.3600000000367</v>
      </c>
      <c r="G985" s="1672">
        <f t="shared" si="78"/>
        <v>2320.3000000000002</v>
      </c>
      <c r="H985" s="1670"/>
      <c r="I985" s="1670"/>
    </row>
    <row r="986" spans="1:9" ht="15.75">
      <c r="A986" s="1622"/>
      <c r="B986" s="1691">
        <f t="shared" si="82"/>
        <v>982</v>
      </c>
      <c r="C986" s="1731">
        <f t="shared" si="80"/>
        <v>2640.3000000000425</v>
      </c>
      <c r="D986" s="1672">
        <f t="shared" si="79"/>
        <v>3696.42</v>
      </c>
      <c r="E986" s="1670"/>
      <c r="F986" s="1732">
        <f t="shared" si="81"/>
        <v>1659.0500000000368</v>
      </c>
      <c r="G986" s="1672">
        <f t="shared" si="78"/>
        <v>2322.67</v>
      </c>
      <c r="H986" s="1670"/>
      <c r="I986" s="1670"/>
    </row>
    <row r="987" spans="1:9" ht="15.75">
      <c r="A987" s="1622"/>
      <c r="B987" s="1691">
        <f t="shared" si="82"/>
        <v>983</v>
      </c>
      <c r="C987" s="1731">
        <f t="shared" si="80"/>
        <v>2642.9900000000425</v>
      </c>
      <c r="D987" s="1672">
        <f t="shared" si="79"/>
        <v>3700.19</v>
      </c>
      <c r="E987" s="1670"/>
      <c r="F987" s="1732">
        <f t="shared" si="81"/>
        <v>1660.7400000000368</v>
      </c>
      <c r="G987" s="1672">
        <f t="shared" si="78"/>
        <v>2325.04</v>
      </c>
      <c r="H987" s="1670"/>
      <c r="I987" s="1670"/>
    </row>
    <row r="988" spans="1:9" ht="15.75">
      <c r="A988" s="1622"/>
      <c r="B988" s="1691">
        <f t="shared" si="82"/>
        <v>984</v>
      </c>
      <c r="C988" s="1731">
        <f t="shared" si="80"/>
        <v>2645.6800000000426</v>
      </c>
      <c r="D988" s="1672">
        <f t="shared" si="79"/>
        <v>3703.95</v>
      </c>
      <c r="E988" s="1670"/>
      <c r="F988" s="1732">
        <f t="shared" si="81"/>
        <v>1662.4300000000369</v>
      </c>
      <c r="G988" s="1672">
        <f t="shared" si="78"/>
        <v>2327.4</v>
      </c>
      <c r="H988" s="1670"/>
      <c r="I988" s="1670"/>
    </row>
    <row r="989" spans="1:9" ht="15.75">
      <c r="A989" s="1622"/>
      <c r="B989" s="1691">
        <f t="shared" si="82"/>
        <v>985</v>
      </c>
      <c r="C989" s="1731">
        <f t="shared" si="80"/>
        <v>2648.3700000000426</v>
      </c>
      <c r="D989" s="1672">
        <f t="shared" si="79"/>
        <v>3707.72</v>
      </c>
      <c r="E989" s="1670"/>
      <c r="F989" s="1732">
        <f t="shared" si="81"/>
        <v>1664.120000000037</v>
      </c>
      <c r="G989" s="1672">
        <f t="shared" si="78"/>
        <v>2329.77</v>
      </c>
      <c r="H989" s="1670"/>
      <c r="I989" s="1670"/>
    </row>
    <row r="990" spans="1:9" ht="15.75">
      <c r="A990" s="1622"/>
      <c r="B990" s="1691">
        <f t="shared" si="82"/>
        <v>986</v>
      </c>
      <c r="C990" s="1731">
        <f t="shared" si="80"/>
        <v>2651.0600000000427</v>
      </c>
      <c r="D990" s="1672">
        <f t="shared" si="79"/>
        <v>3711.48</v>
      </c>
      <c r="E990" s="1670"/>
      <c r="F990" s="1732">
        <f t="shared" si="81"/>
        <v>1665.810000000037</v>
      </c>
      <c r="G990" s="1672">
        <f t="shared" si="78"/>
        <v>2332.13</v>
      </c>
      <c r="H990" s="1670"/>
      <c r="I990" s="1670"/>
    </row>
    <row r="991" spans="1:9" ht="15.75">
      <c r="A991" s="1622"/>
      <c r="B991" s="1691">
        <f t="shared" si="82"/>
        <v>987</v>
      </c>
      <c r="C991" s="1731">
        <f t="shared" si="80"/>
        <v>2653.7500000000427</v>
      </c>
      <c r="D991" s="1672">
        <f t="shared" si="79"/>
        <v>3715.25</v>
      </c>
      <c r="E991" s="1670"/>
      <c r="F991" s="1732">
        <f t="shared" si="81"/>
        <v>1667.5000000000371</v>
      </c>
      <c r="G991" s="1672">
        <f t="shared" si="78"/>
        <v>2334.5</v>
      </c>
      <c r="H991" s="1670"/>
      <c r="I991" s="1670"/>
    </row>
    <row r="992" spans="1:9" ht="15.75">
      <c r="A992" s="1622"/>
      <c r="B992" s="1691">
        <f t="shared" si="82"/>
        <v>988</v>
      </c>
      <c r="C992" s="1731">
        <f t="shared" si="80"/>
        <v>2656.4400000000428</v>
      </c>
      <c r="D992" s="1672">
        <f t="shared" si="79"/>
        <v>3719.02</v>
      </c>
      <c r="E992" s="1670"/>
      <c r="F992" s="1732">
        <f t="shared" si="81"/>
        <v>1669.1900000000371</v>
      </c>
      <c r="G992" s="1672">
        <f t="shared" si="78"/>
        <v>2336.87</v>
      </c>
      <c r="H992" s="1670"/>
      <c r="I992" s="1670"/>
    </row>
    <row r="993" spans="1:9" ht="15.75">
      <c r="A993" s="1622"/>
      <c r="B993" s="1691">
        <f t="shared" si="82"/>
        <v>989</v>
      </c>
      <c r="C993" s="1731">
        <f t="shared" si="80"/>
        <v>2659.1300000000429</v>
      </c>
      <c r="D993" s="1672">
        <f t="shared" si="79"/>
        <v>3722.78</v>
      </c>
      <c r="E993" s="1670"/>
      <c r="F993" s="1732">
        <f t="shared" si="81"/>
        <v>1670.8800000000372</v>
      </c>
      <c r="G993" s="1672">
        <f t="shared" si="78"/>
        <v>2339.23</v>
      </c>
      <c r="H993" s="1670"/>
      <c r="I993" s="1670"/>
    </row>
    <row r="994" spans="1:9" ht="15.75">
      <c r="A994" s="1622"/>
      <c r="B994" s="1691">
        <f t="shared" si="82"/>
        <v>990</v>
      </c>
      <c r="C994" s="1731">
        <f t="shared" si="80"/>
        <v>2661.8200000000429</v>
      </c>
      <c r="D994" s="1672">
        <f t="shared" si="79"/>
        <v>3726.55</v>
      </c>
      <c r="E994" s="1670"/>
      <c r="F994" s="1732">
        <f t="shared" si="81"/>
        <v>1672.5700000000372</v>
      </c>
      <c r="G994" s="1672">
        <f t="shared" si="78"/>
        <v>2341.6</v>
      </c>
      <c r="H994" s="1670"/>
      <c r="I994" s="1670"/>
    </row>
    <row r="995" spans="1:9" ht="15.75">
      <c r="A995" s="1622"/>
      <c r="B995" s="1691">
        <f t="shared" si="82"/>
        <v>991</v>
      </c>
      <c r="C995" s="1731">
        <f t="shared" si="80"/>
        <v>2664.510000000043</v>
      </c>
      <c r="D995" s="1672">
        <f t="shared" si="79"/>
        <v>3730.31</v>
      </c>
      <c r="E995" s="1670"/>
      <c r="F995" s="1732">
        <f t="shared" si="81"/>
        <v>1674.2600000000373</v>
      </c>
      <c r="G995" s="1672">
        <f t="shared" si="78"/>
        <v>2343.96</v>
      </c>
      <c r="H995" s="1670"/>
      <c r="I995" s="1670"/>
    </row>
    <row r="996" spans="1:9" ht="15.75">
      <c r="A996" s="1622"/>
      <c r="B996" s="1691">
        <f t="shared" si="82"/>
        <v>992</v>
      </c>
      <c r="C996" s="1731">
        <f t="shared" si="80"/>
        <v>2667.200000000043</v>
      </c>
      <c r="D996" s="1672">
        <f t="shared" si="79"/>
        <v>3734.08</v>
      </c>
      <c r="E996" s="1670"/>
      <c r="F996" s="1732">
        <f t="shared" si="81"/>
        <v>1675.9500000000373</v>
      </c>
      <c r="G996" s="1672">
        <f t="shared" si="78"/>
        <v>2346.33</v>
      </c>
      <c r="H996" s="1670"/>
      <c r="I996" s="1670"/>
    </row>
    <row r="997" spans="1:9" ht="15.75">
      <c r="A997" s="1622"/>
      <c r="B997" s="1691">
        <f t="shared" si="82"/>
        <v>993</v>
      </c>
      <c r="C997" s="1731">
        <f t="shared" si="80"/>
        <v>2669.8900000000431</v>
      </c>
      <c r="D997" s="1672">
        <f t="shared" si="79"/>
        <v>3737.85</v>
      </c>
      <c r="E997" s="1670"/>
      <c r="F997" s="1732">
        <f t="shared" si="81"/>
        <v>1677.6400000000374</v>
      </c>
      <c r="G997" s="1672">
        <f t="shared" si="78"/>
        <v>2348.6999999999998</v>
      </c>
      <c r="H997" s="1670"/>
      <c r="I997" s="1670"/>
    </row>
    <row r="998" spans="1:9" ht="15.75">
      <c r="A998" s="1622"/>
      <c r="B998" s="1691">
        <f t="shared" si="82"/>
        <v>994</v>
      </c>
      <c r="C998" s="1731">
        <f t="shared" si="80"/>
        <v>2672.5800000000431</v>
      </c>
      <c r="D998" s="1672">
        <f t="shared" si="79"/>
        <v>3741.61</v>
      </c>
      <c r="E998" s="1670"/>
      <c r="F998" s="1732">
        <f t="shared" si="81"/>
        <v>1679.3300000000374</v>
      </c>
      <c r="G998" s="1672">
        <f t="shared" si="78"/>
        <v>2351.06</v>
      </c>
      <c r="H998" s="1670"/>
      <c r="I998" s="1670"/>
    </row>
    <row r="999" spans="1:9" ht="15.75">
      <c r="A999" s="1622"/>
      <c r="B999" s="1691">
        <f t="shared" si="82"/>
        <v>995</v>
      </c>
      <c r="C999" s="1731">
        <f t="shared" si="80"/>
        <v>2675.2700000000432</v>
      </c>
      <c r="D999" s="1672">
        <f t="shared" si="79"/>
        <v>3745.38</v>
      </c>
      <c r="E999" s="1670"/>
      <c r="F999" s="1732">
        <f t="shared" si="81"/>
        <v>1681.0200000000375</v>
      </c>
      <c r="G999" s="1672">
        <f t="shared" si="78"/>
        <v>2353.4299999999998</v>
      </c>
      <c r="H999" s="1670"/>
      <c r="I999" s="1670"/>
    </row>
    <row r="1000" spans="1:9" ht="15.75">
      <c r="A1000" s="1622"/>
      <c r="B1000" s="1691">
        <f t="shared" si="82"/>
        <v>996</v>
      </c>
      <c r="C1000" s="1731">
        <f t="shared" si="80"/>
        <v>2677.9600000000432</v>
      </c>
      <c r="D1000" s="1672">
        <f t="shared" si="79"/>
        <v>3749.14</v>
      </c>
      <c r="E1000" s="1670"/>
      <c r="F1000" s="1732">
        <f t="shared" si="81"/>
        <v>1682.7100000000376</v>
      </c>
      <c r="G1000" s="1672">
        <f t="shared" si="78"/>
        <v>2355.79</v>
      </c>
      <c r="H1000" s="1670"/>
      <c r="I1000" s="1670"/>
    </row>
    <row r="1001" spans="1:9" ht="15.75">
      <c r="A1001" s="1622"/>
      <c r="B1001" s="1691">
        <f t="shared" si="82"/>
        <v>997</v>
      </c>
      <c r="C1001" s="1731">
        <f t="shared" si="80"/>
        <v>2680.6500000000433</v>
      </c>
      <c r="D1001" s="1672">
        <f t="shared" si="79"/>
        <v>3752.91</v>
      </c>
      <c r="E1001" s="1670"/>
      <c r="F1001" s="1732">
        <f t="shared" si="81"/>
        <v>1684.4000000000376</v>
      </c>
      <c r="G1001" s="1672">
        <f t="shared" si="78"/>
        <v>2358.16</v>
      </c>
      <c r="H1001" s="1670"/>
      <c r="I1001" s="1670"/>
    </row>
    <row r="1002" spans="1:9" ht="15.75">
      <c r="A1002" s="1622"/>
      <c r="B1002" s="1691">
        <f t="shared" si="82"/>
        <v>998</v>
      </c>
      <c r="C1002" s="1731">
        <f t="shared" si="80"/>
        <v>2683.3400000000433</v>
      </c>
      <c r="D1002" s="1672">
        <f t="shared" si="79"/>
        <v>3756.68</v>
      </c>
      <c r="E1002" s="1670"/>
      <c r="F1002" s="1732">
        <f t="shared" si="81"/>
        <v>1686.0900000000377</v>
      </c>
      <c r="G1002" s="1672">
        <f t="shared" si="78"/>
        <v>2360.5300000000002</v>
      </c>
      <c r="H1002" s="1670"/>
      <c r="I1002" s="1670"/>
    </row>
    <row r="1003" spans="1:9" ht="15.75">
      <c r="A1003" s="1622"/>
      <c r="B1003" s="1691">
        <f t="shared" si="82"/>
        <v>999</v>
      </c>
      <c r="C1003" s="1731">
        <f t="shared" si="80"/>
        <v>2686.0300000000434</v>
      </c>
      <c r="D1003" s="1672">
        <f t="shared" si="79"/>
        <v>3760.44</v>
      </c>
      <c r="E1003" s="1670"/>
      <c r="F1003" s="1732">
        <f t="shared" si="81"/>
        <v>1687.7800000000377</v>
      </c>
      <c r="G1003" s="1672">
        <f t="shared" si="78"/>
        <v>2362.89</v>
      </c>
      <c r="H1003" s="1670"/>
      <c r="I1003" s="1670"/>
    </row>
    <row r="1004" spans="1:9" ht="15.75">
      <c r="A1004" s="1622"/>
      <c r="B1004" s="1691">
        <f t="shared" si="82"/>
        <v>1000</v>
      </c>
      <c r="C1004" s="1731">
        <f t="shared" si="80"/>
        <v>2688.7200000000435</v>
      </c>
      <c r="D1004" s="1672">
        <f t="shared" si="79"/>
        <v>3764.21</v>
      </c>
      <c r="E1004" s="1670"/>
      <c r="F1004" s="1732">
        <f t="shared" si="81"/>
        <v>1689.4700000000378</v>
      </c>
      <c r="G1004" s="1672">
        <f t="shared" si="78"/>
        <v>2365.2600000000002</v>
      </c>
      <c r="H1004" s="1670"/>
      <c r="I1004" s="1670"/>
    </row>
    <row r="1005" spans="1:9">
      <c r="B1005" s="1746"/>
      <c r="C1005" s="1747"/>
      <c r="D1005" s="1748"/>
      <c r="E1005" s="1749"/>
      <c r="F1005" s="1750"/>
      <c r="G1005" s="1748"/>
      <c r="H1005" s="1749"/>
      <c r="I1005" s="1749"/>
    </row>
    <row r="1006" spans="1:9">
      <c r="B1006" s="1751"/>
      <c r="C1006" s="1668" t="str">
        <f>IF($C$1=40.5,AJ205,IF($C$1=41.5,AK205,IF($C$1=42.5,AL205,IF($C$1=43.5,AN205,IF($C$1=44.5,AN205,IF($C$1=45.5,AO205,IF($C$1=46.5,AP205,)))))))&amp;
IF($C$1=47.5,AQ205,IF($C$1=48.5,AR205,IF($C$1=49.5,AS205,IF($C$1=50.5,AT205,IF($C$1=51.5,AU205,IF($C$1=52.5,AV205,IF($C$1=53.5,AW205,)))))))&amp;
IF($C$1=54.5,AX205,IF($C$1=55.5,AY205,IF($C$1=56.5,AZ205,IF($C$1=57.5,BA205,IF($C$1=15.5,K205,IF($C$1=16.5,L205,IF($C$1=17.5,M205,)))))))&amp;
IF($C$1=18.5,N205,IF($C$1=19.5,O205,IF($C$1=20.5,P205,IF($C$1=21.5,Q205,IF($C$1=22.5,R205,IF($C$1=23.5,S205,IF($C$1=24.5,T205,)))))))&amp;IF($C$1=25.5,U205,IF($C$1=26.5,V205,IF($C$1=39.5,AI205,)))&amp;IF($C$1=31.5,AA205,IF($C$1=32.5,AB205,IF($C$1=33.5,AC205,IF($C$1=34.5,AD205,IF($C$1=35.5,AE205,)))))&amp;IF($C$1=36.5,AF205,IF($C$1=37.5,AG205,IF($C$1=38.5,AH205,)))&amp;IF($C$1=27.5,W205,IF($C$1=28.5,X205,IF($C$1=29.5,Y205,IF($C$1=30.5,Z205,))))</f>
        <v>2.69</v>
      </c>
      <c r="D1006" s="1752"/>
      <c r="E1006" s="1753"/>
      <c r="F1006" s="1671" t="str">
        <f>IF($C$1=40.5,CO205,IF($C$1=41.5,CP205,IF($C$1=42.5,CQ205,IF($C$1=43.5,CS205,IF($C$1=44.5,CS205,IF($C$1=45.5,CT205,IF($C$1=46.5,CU205,)))))))&amp;
IF($C$1=47.5,CV205,IF($C$1=48.5,CW205,IF($C$1=49.5,CX205,IF($C$1=50.5,CY205,IF($C$1=51.5,CZ205,IF($C$1=52.5,DA205,IF($C$1=53.5,DB205,)))))))&amp;
IF($C$1=54.5,DC205,IF($C$1=55.5,DD205,IF($C$1=56.5,DE205,IF($C$1=57.5,DF205,IF($C$1=15.5,BP205,IF($C$1=16.5,BQ205,IF($C$1=17.5,BR205,)))))))&amp;
IF($C$1=18.5,BS205,IF($C$1=19.5,BT205,IF($C$1=20.5,BU205,IF($C$1=21.5,BV205,IF($C$1=22.5,BW205,IF($C$1=23.5,BX205,IF($C$1=24.5,BY205,)))))))&amp;IF($C$1=25.5,BZ205,IF($C$1=26.5,CA205,IF($C$1=39.5,CN205,)))&amp;IF($C$1=31.5,CF205,IF($C$1=32.5,CG205,IF($C$1=33.5,CH205,IF($C$1=34.5,CI205,IF($C$1=35.5,CJ205,)))))&amp;IF($C$1=36.5,CK205,IF($C$1=37.5,CL205,IF($C$1=38.5,CM205,)))&amp;IF($C$1=27.5,CB205,IF($C$1=28.5,CC205,IF($C$1=29.5,CD205,IF($C$1=30.5,CE205,))))</f>
        <v>1.69</v>
      </c>
      <c r="G1006" s="1752"/>
      <c r="H1006" s="1749"/>
      <c r="I1006" s="1749"/>
    </row>
  </sheetData>
  <mergeCells count="7">
    <mergeCell ref="BP2:CJ3"/>
    <mergeCell ref="BO2:BO4"/>
    <mergeCell ref="K1:AJ1"/>
    <mergeCell ref="C2:D2"/>
    <mergeCell ref="F2:G2"/>
    <mergeCell ref="J2:J4"/>
    <mergeCell ref="K2:AE3"/>
  </mergeCells>
  <phoneticPr fontId="31" type="noConversion"/>
  <printOptions horizontalCentered="1"/>
  <pageMargins left="0.19685039370078741" right="0.19685039370078741" top="0.59055118110236227" bottom="0.59055118110236227" header="0.51181102362204722" footer="0.51181102362204722"/>
  <pageSetup paperSize="9" scale="95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7">
    <tabColor rgb="FF7030A0"/>
  </sheetPr>
  <dimension ref="A1:AE48"/>
  <sheetViews>
    <sheetView showGridLines="0" view="pageBreakPreview" zoomScale="60" zoomScaleNormal="75" workbookViewId="0">
      <selection activeCell="K4" sqref="K4"/>
    </sheetView>
  </sheetViews>
  <sheetFormatPr defaultColWidth="9.33203125" defaultRowHeight="24.75" customHeight="1"/>
  <cols>
    <col min="1" max="1" width="7.1640625" style="769" customWidth="1"/>
    <col min="2" max="2" width="7.33203125" style="769" customWidth="1"/>
    <col min="3" max="3" width="9.33203125" style="769"/>
    <col min="4" max="4" width="17.83203125" style="769" customWidth="1"/>
    <col min="5" max="8" width="9.33203125" style="769"/>
    <col min="9" max="10" width="10" style="769" customWidth="1"/>
    <col min="11" max="11" width="17.1640625" style="769" customWidth="1"/>
    <col min="12" max="12" width="18" style="769" customWidth="1"/>
    <col min="13" max="13" width="28.1640625" style="768" customWidth="1"/>
    <col min="14" max="14" width="31.33203125" style="769" customWidth="1"/>
    <col min="15" max="15" width="20.83203125" style="770" customWidth="1"/>
    <col min="16" max="16" width="21.6640625" style="770" customWidth="1"/>
    <col min="17" max="17" width="23.5" style="771" customWidth="1"/>
    <col min="18" max="29" width="15.83203125" style="769" customWidth="1"/>
    <col min="30" max="30" width="27.33203125" style="771" customWidth="1"/>
    <col min="31" max="31" width="19.6640625" style="769" customWidth="1"/>
    <col min="32" max="16384" width="9.33203125" style="769"/>
  </cols>
  <sheetData>
    <row r="1" spans="1:31" ht="24.75" customHeight="1">
      <c r="A1" s="766" t="s">
        <v>1272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7"/>
      <c r="R1" s="772"/>
      <c r="S1" s="772"/>
    </row>
    <row r="2" spans="1:31" ht="24.75" customHeight="1">
      <c r="A2" s="773" t="s">
        <v>143</v>
      </c>
      <c r="B2" s="773"/>
      <c r="C2" s="773"/>
      <c r="D2" s="773" t="str">
        <f>'ปร.5 road'!C4</f>
        <v>ก่อสร้างถนนคอนกรีตเสริมเหล็ก</v>
      </c>
      <c r="E2" s="773"/>
      <c r="F2" s="773"/>
      <c r="G2" s="773"/>
      <c r="H2" s="773"/>
      <c r="I2" s="773"/>
      <c r="J2" s="773"/>
      <c r="K2" s="773"/>
      <c r="L2" s="773"/>
      <c r="M2" s="774"/>
      <c r="Q2" s="775"/>
      <c r="S2" s="776"/>
    </row>
    <row r="3" spans="1:31" ht="24.75" customHeight="1">
      <c r="A3" s="2533" t="s">
        <v>468</v>
      </c>
      <c r="B3" s="2533"/>
      <c r="C3" s="2533"/>
      <c r="D3" s="777" t="str">
        <f>'ปร.4 road'!C2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E3" s="773"/>
      <c r="F3" s="773"/>
      <c r="G3" s="773"/>
      <c r="H3" s="773"/>
      <c r="I3" s="777"/>
      <c r="J3" s="773"/>
      <c r="K3" s="773"/>
      <c r="L3" s="773"/>
      <c r="M3" s="774"/>
    </row>
    <row r="4" spans="1:31" ht="24.75" customHeight="1">
      <c r="A4" s="2536" t="s">
        <v>783</v>
      </c>
      <c r="B4" s="2536"/>
      <c r="C4" s="2536"/>
      <c r="D4" s="778" t="str">
        <f>'ปร.4 road'!C3</f>
        <v>1.400</v>
      </c>
      <c r="E4" s="773" t="s">
        <v>784</v>
      </c>
      <c r="G4" s="773" t="s">
        <v>1273</v>
      </c>
      <c r="I4" s="773"/>
      <c r="J4" s="773"/>
      <c r="K4" s="774">
        <v>300</v>
      </c>
      <c r="L4" s="779" t="s">
        <v>760</v>
      </c>
    </row>
    <row r="5" spans="1:31" ht="24.75" customHeight="1">
      <c r="A5" s="780" t="s">
        <v>1274</v>
      </c>
      <c r="B5" s="780"/>
      <c r="C5" s="780"/>
      <c r="D5" s="778"/>
      <c r="E5" s="773"/>
      <c r="F5" s="773"/>
      <c r="G5" s="773"/>
      <c r="H5" s="773"/>
      <c r="I5" s="773"/>
      <c r="J5" s="773"/>
      <c r="K5" s="773"/>
      <c r="L5" s="773"/>
      <c r="M5" s="774"/>
    </row>
    <row r="6" spans="1:31" ht="24.75" customHeight="1">
      <c r="A6" s="780" t="s">
        <v>1275</v>
      </c>
      <c r="B6" s="780"/>
      <c r="C6" s="780"/>
      <c r="D6" s="778"/>
      <c r="E6" s="773"/>
      <c r="F6" s="773"/>
      <c r="G6" s="773"/>
      <c r="H6" s="773"/>
      <c r="I6" s="773"/>
      <c r="J6" s="773"/>
      <c r="K6" s="773"/>
      <c r="L6" s="773"/>
      <c r="M6" s="774"/>
    </row>
    <row r="7" spans="1:31" ht="24.75" customHeight="1">
      <c r="A7" s="773" t="s">
        <v>1276</v>
      </c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4"/>
    </row>
    <row r="8" spans="1:31" ht="24.75" customHeight="1">
      <c r="A8" s="773" t="s">
        <v>1277</v>
      </c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4"/>
    </row>
    <row r="9" spans="1:31" s="788" customFormat="1" ht="45" customHeight="1">
      <c r="A9" s="781">
        <v>1</v>
      </c>
      <c r="B9" s="782" t="s">
        <v>1278</v>
      </c>
      <c r="C9" s="782"/>
      <c r="D9" s="782"/>
      <c r="E9" s="782"/>
      <c r="F9" s="782"/>
      <c r="G9" s="782"/>
      <c r="H9" s="782"/>
      <c r="I9" s="782"/>
      <c r="J9" s="782"/>
      <c r="K9" s="782"/>
      <c r="L9" s="782"/>
      <c r="M9" s="783"/>
      <c r="N9" s="784"/>
      <c r="O9" s="785"/>
      <c r="P9" s="786"/>
      <c r="Q9" s="787"/>
      <c r="AD9" s="789"/>
    </row>
    <row r="10" spans="1:31" ht="24.75" customHeight="1">
      <c r="A10" s="790"/>
      <c r="B10" s="834" t="s">
        <v>1352</v>
      </c>
      <c r="C10" s="835"/>
      <c r="D10" s="835"/>
      <c r="E10" s="835"/>
      <c r="F10" s="835"/>
      <c r="G10" s="835"/>
      <c r="H10" s="835"/>
      <c r="I10" s="835"/>
      <c r="J10" s="835"/>
      <c r="K10" s="792" t="s">
        <v>183</v>
      </c>
      <c r="L10" s="793" t="s">
        <v>184</v>
      </c>
      <c r="M10" s="794" t="s">
        <v>464</v>
      </c>
      <c r="N10" s="793" t="s">
        <v>222</v>
      </c>
      <c r="O10" s="795" t="s">
        <v>464</v>
      </c>
      <c r="P10" s="795" t="s">
        <v>1279</v>
      </c>
      <c r="Q10" s="796" t="s">
        <v>222</v>
      </c>
      <c r="R10" s="2537" t="s">
        <v>1280</v>
      </c>
      <c r="S10" s="2537"/>
      <c r="T10" s="2537"/>
      <c r="U10" s="2537"/>
      <c r="V10" s="2537"/>
      <c r="W10" s="2537"/>
      <c r="X10" s="2537"/>
      <c r="Y10" s="2537"/>
      <c r="Z10" s="2537"/>
      <c r="AA10" s="2537"/>
      <c r="AB10" s="2537"/>
      <c r="AC10" s="2537"/>
      <c r="AD10" s="2538" t="s">
        <v>186</v>
      </c>
      <c r="AE10" s="2534" t="s">
        <v>186</v>
      </c>
    </row>
    <row r="11" spans="1:31" ht="24.75" customHeight="1">
      <c r="A11" s="797"/>
      <c r="B11" s="839"/>
      <c r="C11" s="799" t="s">
        <v>1281</v>
      </c>
      <c r="D11" s="840"/>
      <c r="E11" s="840"/>
      <c r="F11" s="840"/>
      <c r="G11" s="840"/>
      <c r="H11" s="840"/>
      <c r="I11" s="840"/>
      <c r="J11" s="840"/>
      <c r="K11" s="801"/>
      <c r="L11" s="802"/>
      <c r="M11" s="803" t="s">
        <v>1282</v>
      </c>
      <c r="N11" s="801" t="s">
        <v>327</v>
      </c>
      <c r="O11" s="804" t="s">
        <v>326</v>
      </c>
      <c r="P11" s="804" t="s">
        <v>326</v>
      </c>
      <c r="Q11" s="805" t="s">
        <v>326</v>
      </c>
      <c r="R11" s="806">
        <v>1</v>
      </c>
      <c r="S11" s="806">
        <v>2</v>
      </c>
      <c r="T11" s="806">
        <v>3</v>
      </c>
      <c r="U11" s="806">
        <v>4</v>
      </c>
      <c r="V11" s="806">
        <v>5</v>
      </c>
      <c r="W11" s="806">
        <v>6</v>
      </c>
      <c r="X11" s="806">
        <v>7</v>
      </c>
      <c r="Y11" s="806">
        <v>8</v>
      </c>
      <c r="Z11" s="806">
        <v>9</v>
      </c>
      <c r="AA11" s="806">
        <v>10</v>
      </c>
      <c r="AB11" s="806">
        <v>11</v>
      </c>
      <c r="AC11" s="806">
        <v>12</v>
      </c>
      <c r="AD11" s="2539"/>
      <c r="AE11" s="2535"/>
    </row>
    <row r="12" spans="1:31" ht="24.75" customHeight="1">
      <c r="A12" s="797"/>
      <c r="B12" s="841" t="s">
        <v>1353</v>
      </c>
      <c r="C12" s="840"/>
      <c r="D12" s="840"/>
      <c r="E12" s="840"/>
      <c r="F12" s="840"/>
      <c r="G12" s="840"/>
      <c r="H12" s="840"/>
      <c r="I12" s="840"/>
      <c r="J12" s="842"/>
      <c r="K12" s="843">
        <v>6</v>
      </c>
      <c r="L12" s="844" t="s">
        <v>379</v>
      </c>
      <c r="M12" s="845">
        <v>5656</v>
      </c>
      <c r="N12" s="810">
        <f>K12*M12</f>
        <v>33936</v>
      </c>
      <c r="O12" s="770">
        <f>ROUNDDOWN(M12/12,2)</f>
        <v>471.33</v>
      </c>
      <c r="P12" s="770">
        <f>K12*O12</f>
        <v>2827.98</v>
      </c>
      <c r="Q12" s="771">
        <f>P12*N$43</f>
        <v>0</v>
      </c>
      <c r="R12" s="811">
        <v>1006</v>
      </c>
      <c r="S12" s="811">
        <v>1006</v>
      </c>
      <c r="T12" s="811">
        <v>1006</v>
      </c>
      <c r="U12" s="811">
        <v>1006</v>
      </c>
      <c r="V12" s="811">
        <v>1006</v>
      </c>
      <c r="W12" s="811">
        <v>1006</v>
      </c>
      <c r="X12" s="811">
        <v>1006</v>
      </c>
      <c r="Y12" s="811">
        <v>1006</v>
      </c>
      <c r="Z12" s="811">
        <v>1006</v>
      </c>
      <c r="AA12" s="811">
        <v>1006</v>
      </c>
      <c r="AB12" s="811">
        <v>1000</v>
      </c>
      <c r="AC12" s="811">
        <v>1000</v>
      </c>
      <c r="AD12" s="812">
        <f>SUM(R12:AC12)</f>
        <v>12060</v>
      </c>
      <c r="AE12" s="769">
        <f>N12*N$43</f>
        <v>0</v>
      </c>
    </row>
    <row r="13" spans="1:31" ht="24.75" customHeight="1">
      <c r="A13" s="797"/>
      <c r="B13" s="841" t="s">
        <v>1354</v>
      </c>
      <c r="C13" s="846"/>
      <c r="D13" s="840"/>
      <c r="E13" s="840"/>
      <c r="F13" s="840"/>
      <c r="G13" s="840"/>
      <c r="H13" s="840"/>
      <c r="I13" s="840"/>
      <c r="J13" s="842"/>
      <c r="K13" s="847">
        <v>6</v>
      </c>
      <c r="L13" s="848" t="s">
        <v>379</v>
      </c>
      <c r="M13" s="849">
        <v>4648</v>
      </c>
      <c r="N13" s="810">
        <f t="shared" ref="N13" si="0">K13*M13</f>
        <v>27888</v>
      </c>
      <c r="O13" s="770">
        <f t="shared" ref="O13:O24" si="1">ROUNDDOWN(M13/12,2)</f>
        <v>387.33</v>
      </c>
      <c r="P13" s="770">
        <f t="shared" ref="P13:P38" si="2">K13*O13</f>
        <v>2323.98</v>
      </c>
      <c r="Q13" s="771">
        <f t="shared" ref="Q13:Q39" si="3">P13*N$43</f>
        <v>0</v>
      </c>
      <c r="R13" s="811">
        <v>828</v>
      </c>
      <c r="S13" s="811">
        <v>828</v>
      </c>
      <c r="T13" s="811">
        <v>828</v>
      </c>
      <c r="U13" s="811">
        <v>828</v>
      </c>
      <c r="V13" s="811">
        <v>828</v>
      </c>
      <c r="W13" s="811">
        <v>828</v>
      </c>
      <c r="X13" s="811">
        <v>828</v>
      </c>
      <c r="Y13" s="811">
        <v>828</v>
      </c>
      <c r="Z13" s="811">
        <v>828</v>
      </c>
      <c r="AA13" s="811">
        <v>828</v>
      </c>
      <c r="AB13" s="811">
        <v>820</v>
      </c>
      <c r="AC13" s="811">
        <v>820</v>
      </c>
      <c r="AD13" s="817">
        <f t="shared" ref="AD13:AD39" si="4">SUM(R13:AC13)</f>
        <v>9920</v>
      </c>
      <c r="AE13" s="769">
        <f t="shared" ref="AE13:AE39" si="5">N13*N$43</f>
        <v>0</v>
      </c>
    </row>
    <row r="14" spans="1:31" ht="24.75" customHeight="1">
      <c r="A14" s="797"/>
      <c r="B14" s="841" t="s">
        <v>1355</v>
      </c>
      <c r="C14" s="846"/>
      <c r="D14" s="840"/>
      <c r="E14" s="840"/>
      <c r="F14" s="840"/>
      <c r="G14" s="840"/>
      <c r="H14" s="840"/>
      <c r="I14" s="840"/>
      <c r="J14" s="842"/>
      <c r="K14" s="847">
        <v>6</v>
      </c>
      <c r="L14" s="848" t="s">
        <v>379</v>
      </c>
      <c r="M14" s="849">
        <v>1241</v>
      </c>
      <c r="N14" s="810">
        <f>K14*M14</f>
        <v>7446</v>
      </c>
      <c r="O14" s="770">
        <f t="shared" si="1"/>
        <v>103.41</v>
      </c>
      <c r="P14" s="770">
        <f t="shared" si="2"/>
        <v>620.46</v>
      </c>
      <c r="Q14" s="771">
        <f t="shared" si="3"/>
        <v>0</v>
      </c>
      <c r="R14" s="811">
        <v>647</v>
      </c>
      <c r="S14" s="811">
        <v>647</v>
      </c>
      <c r="T14" s="811">
        <v>647</v>
      </c>
      <c r="U14" s="811">
        <v>647</v>
      </c>
      <c r="V14" s="811">
        <v>647</v>
      </c>
      <c r="W14" s="811">
        <v>647</v>
      </c>
      <c r="X14" s="811">
        <v>647</v>
      </c>
      <c r="Y14" s="811">
        <v>647</v>
      </c>
      <c r="Z14" s="811">
        <v>647</v>
      </c>
      <c r="AA14" s="811">
        <v>647</v>
      </c>
      <c r="AB14" s="811">
        <v>640</v>
      </c>
      <c r="AC14" s="811">
        <v>640</v>
      </c>
      <c r="AD14" s="817">
        <f t="shared" si="4"/>
        <v>7750</v>
      </c>
      <c r="AE14" s="769">
        <f t="shared" si="5"/>
        <v>0</v>
      </c>
    </row>
    <row r="15" spans="1:31" ht="24.75" customHeight="1">
      <c r="A15" s="797"/>
      <c r="B15" s="841" t="s">
        <v>1356</v>
      </c>
      <c r="C15" s="846"/>
      <c r="D15" s="840"/>
      <c r="E15" s="840"/>
      <c r="F15" s="840"/>
      <c r="G15" s="840"/>
      <c r="H15" s="840"/>
      <c r="I15" s="840"/>
      <c r="J15" s="842"/>
      <c r="K15" s="847">
        <v>3</v>
      </c>
      <c r="L15" s="848" t="s">
        <v>379</v>
      </c>
      <c r="M15" s="849">
        <v>1145</v>
      </c>
      <c r="N15" s="810">
        <f>K15*M15</f>
        <v>3435</v>
      </c>
      <c r="O15" s="770">
        <f t="shared" si="1"/>
        <v>95.41</v>
      </c>
      <c r="P15" s="770">
        <f t="shared" si="2"/>
        <v>286.23</v>
      </c>
      <c r="Q15" s="771">
        <f t="shared" si="3"/>
        <v>0</v>
      </c>
      <c r="R15" s="811">
        <v>322</v>
      </c>
      <c r="S15" s="811">
        <v>322</v>
      </c>
      <c r="T15" s="811">
        <v>322</v>
      </c>
      <c r="U15" s="811">
        <v>322</v>
      </c>
      <c r="V15" s="811">
        <v>322</v>
      </c>
      <c r="W15" s="811">
        <v>322</v>
      </c>
      <c r="X15" s="811">
        <v>322</v>
      </c>
      <c r="Y15" s="811">
        <v>322</v>
      </c>
      <c r="Z15" s="811">
        <v>322</v>
      </c>
      <c r="AA15" s="811">
        <v>322</v>
      </c>
      <c r="AB15" s="811">
        <v>320</v>
      </c>
      <c r="AC15" s="811">
        <v>320</v>
      </c>
      <c r="AD15" s="817">
        <f t="shared" si="4"/>
        <v>3860</v>
      </c>
      <c r="AE15" s="769">
        <f t="shared" si="5"/>
        <v>0</v>
      </c>
    </row>
    <row r="16" spans="1:31" ht="24.75" customHeight="1">
      <c r="A16" s="797"/>
      <c r="B16" s="841" t="s">
        <v>1357</v>
      </c>
      <c r="C16" s="850"/>
      <c r="D16" s="851"/>
      <c r="E16" s="851"/>
      <c r="F16" s="851"/>
      <c r="G16" s="851"/>
      <c r="H16" s="851"/>
      <c r="I16" s="851"/>
      <c r="J16" s="842"/>
      <c r="K16" s="847">
        <v>3</v>
      </c>
      <c r="L16" s="848" t="s">
        <v>379</v>
      </c>
      <c r="M16" s="849">
        <v>1241</v>
      </c>
      <c r="N16" s="810">
        <f>K16*M16</f>
        <v>3723</v>
      </c>
      <c r="O16" s="770">
        <f t="shared" si="1"/>
        <v>103.41</v>
      </c>
      <c r="P16" s="770">
        <f t="shared" si="2"/>
        <v>310.23</v>
      </c>
      <c r="Q16" s="771">
        <f t="shared" si="3"/>
        <v>0</v>
      </c>
      <c r="R16" s="811">
        <v>324</v>
      </c>
      <c r="S16" s="811">
        <v>324</v>
      </c>
      <c r="T16" s="811">
        <v>324</v>
      </c>
      <c r="U16" s="811">
        <v>324</v>
      </c>
      <c r="V16" s="811">
        <v>324</v>
      </c>
      <c r="W16" s="811">
        <v>324</v>
      </c>
      <c r="X16" s="811">
        <v>324</v>
      </c>
      <c r="Y16" s="811">
        <v>324</v>
      </c>
      <c r="Z16" s="811">
        <v>324</v>
      </c>
      <c r="AA16" s="811">
        <v>324</v>
      </c>
      <c r="AB16" s="811">
        <v>320</v>
      </c>
      <c r="AC16" s="811">
        <v>320</v>
      </c>
      <c r="AD16" s="817">
        <f t="shared" si="4"/>
        <v>3880</v>
      </c>
      <c r="AE16" s="769">
        <f t="shared" si="5"/>
        <v>0</v>
      </c>
    </row>
    <row r="17" spans="1:31" ht="24.75" customHeight="1">
      <c r="A17" s="797"/>
      <c r="B17" s="841" t="s">
        <v>1358</v>
      </c>
      <c r="C17" s="850"/>
      <c r="D17" s="851"/>
      <c r="E17" s="851"/>
      <c r="F17" s="851"/>
      <c r="G17" s="851"/>
      <c r="H17" s="851"/>
      <c r="I17" s="851"/>
      <c r="J17" s="842"/>
      <c r="K17" s="847">
        <v>3</v>
      </c>
      <c r="L17" s="848" t="s">
        <v>379</v>
      </c>
      <c r="M17" s="849">
        <v>1241</v>
      </c>
      <c r="N17" s="810">
        <f>K17*M17</f>
        <v>3723</v>
      </c>
      <c r="O17" s="770">
        <f t="shared" si="1"/>
        <v>103.41</v>
      </c>
      <c r="P17" s="770">
        <f t="shared" si="2"/>
        <v>310.23</v>
      </c>
      <c r="Q17" s="771">
        <f t="shared" si="3"/>
        <v>0</v>
      </c>
      <c r="R17" s="811">
        <v>220</v>
      </c>
      <c r="S17" s="811">
        <v>220</v>
      </c>
      <c r="T17" s="811">
        <v>220</v>
      </c>
      <c r="U17" s="811">
        <v>220</v>
      </c>
      <c r="V17" s="811">
        <v>220</v>
      </c>
      <c r="W17" s="811">
        <v>220</v>
      </c>
      <c r="X17" s="811">
        <v>220</v>
      </c>
      <c r="Y17" s="811">
        <v>220</v>
      </c>
      <c r="Z17" s="811">
        <v>220</v>
      </c>
      <c r="AA17" s="811">
        <v>220</v>
      </c>
      <c r="AB17" s="811">
        <v>220</v>
      </c>
      <c r="AC17" s="811">
        <v>220</v>
      </c>
      <c r="AD17" s="817">
        <f t="shared" si="4"/>
        <v>2640</v>
      </c>
      <c r="AE17" s="769">
        <f t="shared" si="5"/>
        <v>0</v>
      </c>
    </row>
    <row r="18" spans="1:31" ht="24.75" customHeight="1">
      <c r="A18" s="797"/>
      <c r="B18" s="841" t="s">
        <v>1359</v>
      </c>
      <c r="C18" s="846"/>
      <c r="D18" s="840"/>
      <c r="E18" s="840"/>
      <c r="F18" s="840"/>
      <c r="G18" s="840"/>
      <c r="H18" s="840"/>
      <c r="I18" s="840"/>
      <c r="J18" s="842"/>
      <c r="K18" s="847">
        <v>6</v>
      </c>
      <c r="L18" s="848" t="s">
        <v>379</v>
      </c>
      <c r="M18" s="849">
        <v>1145</v>
      </c>
      <c r="N18" s="810">
        <f t="shared" ref="N18:N24" si="6">K18*M18</f>
        <v>6870</v>
      </c>
      <c r="O18" s="770">
        <f t="shared" si="1"/>
        <v>95.41</v>
      </c>
      <c r="P18" s="770">
        <f t="shared" si="2"/>
        <v>572.46</v>
      </c>
      <c r="Q18" s="771">
        <f t="shared" si="3"/>
        <v>0</v>
      </c>
      <c r="R18" s="811">
        <v>440</v>
      </c>
      <c r="S18" s="811">
        <v>440</v>
      </c>
      <c r="T18" s="811">
        <v>440</v>
      </c>
      <c r="U18" s="811">
        <v>440</v>
      </c>
      <c r="V18" s="811">
        <v>440</v>
      </c>
      <c r="W18" s="811">
        <v>440</v>
      </c>
      <c r="X18" s="811">
        <v>440</v>
      </c>
      <c r="Y18" s="811">
        <v>440</v>
      </c>
      <c r="Z18" s="811">
        <v>440</v>
      </c>
      <c r="AA18" s="811">
        <v>440</v>
      </c>
      <c r="AB18" s="811">
        <v>440</v>
      </c>
      <c r="AC18" s="811">
        <v>440</v>
      </c>
      <c r="AD18" s="817">
        <f t="shared" si="4"/>
        <v>5280</v>
      </c>
      <c r="AE18" s="769">
        <f t="shared" si="5"/>
        <v>0</v>
      </c>
    </row>
    <row r="19" spans="1:31" ht="24.75" customHeight="1">
      <c r="A19" s="797"/>
      <c r="B19" s="841" t="s">
        <v>1360</v>
      </c>
      <c r="C19" s="846"/>
      <c r="D19" s="840"/>
      <c r="E19" s="840"/>
      <c r="F19" s="840"/>
      <c r="G19" s="840"/>
      <c r="H19" s="840"/>
      <c r="I19" s="840"/>
      <c r="J19" s="842"/>
      <c r="K19" s="847">
        <v>3</v>
      </c>
      <c r="L19" s="848" t="s">
        <v>379</v>
      </c>
      <c r="M19" s="849">
        <v>2800</v>
      </c>
      <c r="N19" s="810">
        <f t="shared" si="6"/>
        <v>8400</v>
      </c>
      <c r="O19" s="770">
        <f t="shared" si="1"/>
        <v>233.33</v>
      </c>
      <c r="P19" s="770">
        <f t="shared" si="2"/>
        <v>699.99</v>
      </c>
      <c r="Q19" s="771">
        <f t="shared" si="3"/>
        <v>0</v>
      </c>
      <c r="R19" s="811">
        <v>220</v>
      </c>
      <c r="S19" s="811">
        <v>220</v>
      </c>
      <c r="T19" s="811">
        <v>220</v>
      </c>
      <c r="U19" s="811">
        <v>220</v>
      </c>
      <c r="V19" s="811">
        <v>220</v>
      </c>
      <c r="W19" s="811">
        <v>220</v>
      </c>
      <c r="X19" s="811">
        <v>220</v>
      </c>
      <c r="Y19" s="811">
        <v>220</v>
      </c>
      <c r="Z19" s="811">
        <v>220</v>
      </c>
      <c r="AA19" s="811">
        <v>220</v>
      </c>
      <c r="AB19" s="811">
        <v>220</v>
      </c>
      <c r="AC19" s="811">
        <v>220</v>
      </c>
      <c r="AD19" s="817">
        <f t="shared" si="4"/>
        <v>2640</v>
      </c>
      <c r="AE19" s="769">
        <f t="shared" si="5"/>
        <v>0</v>
      </c>
    </row>
    <row r="20" spans="1:31" ht="24.75" customHeight="1">
      <c r="A20" s="797"/>
      <c r="B20" s="841" t="s">
        <v>1361</v>
      </c>
      <c r="C20" s="846"/>
      <c r="D20" s="840"/>
      <c r="E20" s="840"/>
      <c r="F20" s="840"/>
      <c r="G20" s="840"/>
      <c r="H20" s="840"/>
      <c r="I20" s="840"/>
      <c r="J20" s="842"/>
      <c r="K20" s="847">
        <v>3</v>
      </c>
      <c r="L20" s="848" t="s">
        <v>379</v>
      </c>
      <c r="M20" s="849">
        <v>350</v>
      </c>
      <c r="N20" s="810">
        <f t="shared" si="6"/>
        <v>1050</v>
      </c>
      <c r="O20" s="770">
        <f t="shared" si="1"/>
        <v>29.16</v>
      </c>
      <c r="P20" s="770">
        <f t="shared" si="2"/>
        <v>87.48</v>
      </c>
      <c r="Q20" s="771">
        <f t="shared" si="3"/>
        <v>0</v>
      </c>
      <c r="R20" s="811">
        <v>200</v>
      </c>
      <c r="S20" s="811">
        <v>200</v>
      </c>
      <c r="T20" s="811">
        <v>200</v>
      </c>
      <c r="U20" s="811">
        <v>200</v>
      </c>
      <c r="V20" s="811">
        <v>200</v>
      </c>
      <c r="W20" s="811">
        <v>200</v>
      </c>
      <c r="X20" s="811">
        <v>200</v>
      </c>
      <c r="Y20" s="811">
        <v>200</v>
      </c>
      <c r="Z20" s="811">
        <v>200</v>
      </c>
      <c r="AA20" s="811">
        <v>200</v>
      </c>
      <c r="AB20" s="811">
        <v>200</v>
      </c>
      <c r="AC20" s="811">
        <v>200</v>
      </c>
      <c r="AD20" s="817">
        <f t="shared" si="4"/>
        <v>2400</v>
      </c>
      <c r="AE20" s="769">
        <f t="shared" si="5"/>
        <v>0</v>
      </c>
    </row>
    <row r="21" spans="1:31" ht="24.75" customHeight="1">
      <c r="A21" s="818"/>
      <c r="B21" s="841" t="s">
        <v>1362</v>
      </c>
      <c r="C21" s="846"/>
      <c r="D21" s="840"/>
      <c r="E21" s="840"/>
      <c r="F21" s="840"/>
      <c r="G21" s="840"/>
      <c r="H21" s="840"/>
      <c r="I21" s="840"/>
      <c r="J21" s="842"/>
      <c r="K21" s="847">
        <v>3</v>
      </c>
      <c r="L21" s="848" t="s">
        <v>379</v>
      </c>
      <c r="M21" s="849">
        <v>1500</v>
      </c>
      <c r="N21" s="810">
        <f t="shared" si="6"/>
        <v>4500</v>
      </c>
      <c r="O21" s="770">
        <f t="shared" si="1"/>
        <v>125</v>
      </c>
      <c r="P21" s="770">
        <f t="shared" si="2"/>
        <v>375</v>
      </c>
      <c r="Q21" s="771">
        <f t="shared" si="3"/>
        <v>0</v>
      </c>
      <c r="R21" s="811">
        <v>998</v>
      </c>
      <c r="S21" s="811">
        <v>998</v>
      </c>
      <c r="T21" s="811">
        <v>998</v>
      </c>
      <c r="U21" s="811">
        <v>998</v>
      </c>
      <c r="V21" s="811">
        <v>998</v>
      </c>
      <c r="W21" s="811">
        <v>998</v>
      </c>
      <c r="X21" s="811">
        <v>998</v>
      </c>
      <c r="Y21" s="811">
        <v>998</v>
      </c>
      <c r="Z21" s="811">
        <v>998</v>
      </c>
      <c r="AA21" s="811">
        <v>998</v>
      </c>
      <c r="AB21" s="811">
        <v>990</v>
      </c>
      <c r="AC21" s="811">
        <v>990</v>
      </c>
      <c r="AD21" s="817">
        <f t="shared" si="4"/>
        <v>11960</v>
      </c>
      <c r="AE21" s="769">
        <f t="shared" si="5"/>
        <v>0</v>
      </c>
    </row>
    <row r="22" spans="1:31" ht="24.75" customHeight="1">
      <c r="A22" s="797"/>
      <c r="B22" s="841" t="s">
        <v>1363</v>
      </c>
      <c r="C22" s="853"/>
      <c r="D22" s="854"/>
      <c r="E22" s="854"/>
      <c r="F22" s="854"/>
      <c r="G22" s="854"/>
      <c r="H22" s="854"/>
      <c r="I22" s="854"/>
      <c r="J22" s="842"/>
      <c r="K22" s="847">
        <v>240</v>
      </c>
      <c r="L22" s="848" t="s">
        <v>379</v>
      </c>
      <c r="M22" s="855">
        <v>117</v>
      </c>
      <c r="N22" s="810">
        <f t="shared" si="6"/>
        <v>28080</v>
      </c>
      <c r="O22" s="770">
        <f t="shared" si="1"/>
        <v>9.75</v>
      </c>
      <c r="P22" s="770">
        <f t="shared" si="2"/>
        <v>2340</v>
      </c>
      <c r="Q22" s="771">
        <f t="shared" si="3"/>
        <v>0</v>
      </c>
      <c r="R22" s="811">
        <v>122</v>
      </c>
      <c r="S22" s="811">
        <v>122</v>
      </c>
      <c r="T22" s="811">
        <v>122</v>
      </c>
      <c r="U22" s="811">
        <v>122</v>
      </c>
      <c r="V22" s="811">
        <v>122</v>
      </c>
      <c r="W22" s="811">
        <v>122</v>
      </c>
      <c r="X22" s="811">
        <v>122</v>
      </c>
      <c r="Y22" s="811">
        <v>122</v>
      </c>
      <c r="Z22" s="811">
        <v>122</v>
      </c>
      <c r="AA22" s="811">
        <v>122</v>
      </c>
      <c r="AB22" s="811">
        <v>120</v>
      </c>
      <c r="AC22" s="811">
        <v>120</v>
      </c>
      <c r="AD22" s="817">
        <f t="shared" si="4"/>
        <v>1460</v>
      </c>
      <c r="AE22" s="769">
        <f t="shared" si="5"/>
        <v>0</v>
      </c>
    </row>
    <row r="23" spans="1:31" ht="24.75" customHeight="1">
      <c r="A23" s="797"/>
      <c r="B23" s="807"/>
      <c r="C23" s="813"/>
      <c r="D23" s="800"/>
      <c r="E23" s="800"/>
      <c r="F23" s="800"/>
      <c r="G23" s="800"/>
      <c r="H23" s="800"/>
      <c r="I23" s="800"/>
      <c r="J23" s="808"/>
      <c r="K23" s="814"/>
      <c r="L23" s="815"/>
      <c r="M23" s="816"/>
      <c r="N23" s="810">
        <f t="shared" si="6"/>
        <v>0</v>
      </c>
      <c r="O23" s="770">
        <f t="shared" si="1"/>
        <v>0</v>
      </c>
      <c r="P23" s="770">
        <f t="shared" si="2"/>
        <v>0</v>
      </c>
      <c r="Q23" s="771">
        <f t="shared" si="3"/>
        <v>0</v>
      </c>
      <c r="R23" s="811">
        <v>535</v>
      </c>
      <c r="S23" s="811">
        <v>535</v>
      </c>
      <c r="T23" s="811">
        <v>535</v>
      </c>
      <c r="U23" s="811">
        <v>535</v>
      </c>
      <c r="V23" s="811">
        <v>535</v>
      </c>
      <c r="W23" s="811">
        <v>535</v>
      </c>
      <c r="X23" s="811">
        <v>535</v>
      </c>
      <c r="Y23" s="811">
        <v>535</v>
      </c>
      <c r="Z23" s="811">
        <v>535</v>
      </c>
      <c r="AA23" s="811">
        <v>535</v>
      </c>
      <c r="AB23" s="811">
        <v>530</v>
      </c>
      <c r="AC23" s="811">
        <v>530</v>
      </c>
      <c r="AD23" s="817">
        <f t="shared" si="4"/>
        <v>6410</v>
      </c>
      <c r="AE23" s="769">
        <f t="shared" si="5"/>
        <v>0</v>
      </c>
    </row>
    <row r="24" spans="1:31" ht="24.75" customHeight="1">
      <c r="A24" s="821"/>
      <c r="B24" s="807"/>
      <c r="C24" s="813"/>
      <c r="D24" s="800"/>
      <c r="E24" s="800"/>
      <c r="F24" s="800"/>
      <c r="G24" s="800"/>
      <c r="H24" s="800"/>
      <c r="I24" s="800"/>
      <c r="J24" s="808"/>
      <c r="K24" s="814"/>
      <c r="L24" s="815"/>
      <c r="M24" s="816"/>
      <c r="N24" s="810">
        <f t="shared" si="6"/>
        <v>0</v>
      </c>
      <c r="O24" s="770">
        <f t="shared" si="1"/>
        <v>0</v>
      </c>
      <c r="P24" s="770">
        <f t="shared" si="2"/>
        <v>0</v>
      </c>
      <c r="Q24" s="771">
        <f t="shared" si="3"/>
        <v>0</v>
      </c>
      <c r="R24" s="811">
        <v>415</v>
      </c>
      <c r="S24" s="811">
        <v>415</v>
      </c>
      <c r="T24" s="811">
        <v>415</v>
      </c>
      <c r="U24" s="811">
        <v>415</v>
      </c>
      <c r="V24" s="811">
        <v>415</v>
      </c>
      <c r="W24" s="811">
        <v>415</v>
      </c>
      <c r="X24" s="811">
        <v>415</v>
      </c>
      <c r="Y24" s="811">
        <v>415</v>
      </c>
      <c r="Z24" s="811">
        <v>415</v>
      </c>
      <c r="AA24" s="811">
        <v>415</v>
      </c>
      <c r="AB24" s="811">
        <v>410</v>
      </c>
      <c r="AC24" s="811">
        <v>410</v>
      </c>
      <c r="AD24" s="817">
        <f t="shared" si="4"/>
        <v>4970</v>
      </c>
      <c r="AE24" s="769">
        <f t="shared" si="5"/>
        <v>0</v>
      </c>
    </row>
    <row r="25" spans="1:31" ht="24.75" customHeight="1">
      <c r="A25" s="822"/>
      <c r="B25" s="823"/>
      <c r="C25" s="824"/>
      <c r="D25" s="825"/>
      <c r="E25" s="825"/>
      <c r="F25" s="825"/>
      <c r="G25" s="825"/>
      <c r="H25" s="825"/>
      <c r="I25" s="825"/>
      <c r="J25" s="825"/>
      <c r="K25" s="801"/>
      <c r="L25" s="802"/>
      <c r="M25" s="826"/>
      <c r="N25" s="827"/>
      <c r="R25" s="811"/>
      <c r="AD25" s="817"/>
    </row>
    <row r="26" spans="1:31" s="773" customFormat="1" ht="24.75" customHeight="1">
      <c r="A26" s="828"/>
      <c r="B26" s="2528" t="s">
        <v>1283</v>
      </c>
      <c r="C26" s="2529"/>
      <c r="D26" s="2529"/>
      <c r="E26" s="2529"/>
      <c r="F26" s="2529"/>
      <c r="G26" s="2529"/>
      <c r="H26" s="2529"/>
      <c r="I26" s="2529"/>
      <c r="J26" s="2529"/>
      <c r="K26" s="2529"/>
      <c r="L26" s="2529"/>
      <c r="M26" s="2529"/>
      <c r="N26" s="829">
        <f>SUM(N12:N25)</f>
        <v>129051</v>
      </c>
      <c r="O26" s="770">
        <f>SUM(O12:O25)</f>
        <v>1756.9500000000003</v>
      </c>
      <c r="P26" s="770">
        <f>SUM(P12:P25)</f>
        <v>10754.039999999997</v>
      </c>
      <c r="Q26" s="771"/>
      <c r="R26" s="830"/>
      <c r="AB26" s="831"/>
      <c r="AC26" s="831"/>
      <c r="AD26" s="832"/>
      <c r="AE26" s="769"/>
    </row>
    <row r="27" spans="1:31" s="773" customFormat="1" ht="24.75" customHeight="1">
      <c r="A27" s="833"/>
      <c r="B27" s="2528" t="s">
        <v>1235</v>
      </c>
      <c r="C27" s="2529"/>
      <c r="D27" s="2529"/>
      <c r="E27" s="2529"/>
      <c r="F27" s="2529"/>
      <c r="G27" s="2529"/>
      <c r="H27" s="2529"/>
      <c r="I27" s="2529"/>
      <c r="J27" s="2529"/>
      <c r="K27" s="2529"/>
      <c r="L27" s="2529"/>
      <c r="M27" s="2529"/>
      <c r="N27" s="865">
        <v>1.07</v>
      </c>
      <c r="O27" s="836"/>
      <c r="P27" s="837"/>
      <c r="Q27" s="771"/>
      <c r="R27" s="830"/>
      <c r="AB27" s="831"/>
      <c r="AC27" s="831"/>
      <c r="AD27" s="832"/>
      <c r="AE27" s="769"/>
    </row>
    <row r="28" spans="1:31" s="773" customFormat="1" ht="24.75" customHeight="1">
      <c r="A28" s="838"/>
      <c r="B28" s="2528" t="s">
        <v>1284</v>
      </c>
      <c r="C28" s="2529"/>
      <c r="D28" s="2529"/>
      <c r="E28" s="2529"/>
      <c r="F28" s="2529"/>
      <c r="G28" s="2529"/>
      <c r="H28" s="2529"/>
      <c r="I28" s="2529"/>
      <c r="J28" s="2529"/>
      <c r="K28" s="2529"/>
      <c r="L28" s="2529"/>
      <c r="M28" s="2529"/>
      <c r="N28" s="829">
        <f>N26*N27</f>
        <v>138084.57</v>
      </c>
      <c r="O28" s="837"/>
      <c r="P28" s="837"/>
      <c r="Q28" s="771"/>
      <c r="R28" s="830"/>
      <c r="AB28" s="831"/>
      <c r="AC28" s="831"/>
      <c r="AD28" s="832"/>
      <c r="AE28" s="769"/>
    </row>
    <row r="29" spans="1:31" s="773" customFormat="1" ht="24.75" customHeight="1">
      <c r="A29" s="838"/>
      <c r="B29" s="2528" t="s">
        <v>1364</v>
      </c>
      <c r="C29" s="2529"/>
      <c r="D29" s="2529"/>
      <c r="E29" s="2529"/>
      <c r="F29" s="2529"/>
      <c r="G29" s="2529"/>
      <c r="H29" s="2529"/>
      <c r="I29" s="2529"/>
      <c r="J29" s="2529"/>
      <c r="K29" s="2529"/>
      <c r="L29" s="2529"/>
      <c r="M29" s="2529"/>
      <c r="N29" s="829">
        <f>N26*10/12</f>
        <v>107542.5</v>
      </c>
      <c r="O29" s="770">
        <f t="shared" ref="O29:O39" si="7">ROUNDDOWN(M29/12,2)</f>
        <v>0</v>
      </c>
      <c r="P29" s="770">
        <f t="shared" si="2"/>
        <v>0</v>
      </c>
      <c r="Q29" s="771">
        <f t="shared" si="3"/>
        <v>0</v>
      </c>
      <c r="R29" s="830">
        <v>1006</v>
      </c>
      <c r="S29" s="830">
        <v>1006</v>
      </c>
      <c r="T29" s="830">
        <v>1006</v>
      </c>
      <c r="U29" s="830">
        <v>1006</v>
      </c>
      <c r="V29" s="830">
        <v>1006</v>
      </c>
      <c r="W29" s="830">
        <v>1006</v>
      </c>
      <c r="X29" s="830">
        <v>1006</v>
      </c>
      <c r="Y29" s="830">
        <v>1006</v>
      </c>
      <c r="Z29" s="830">
        <v>1006</v>
      </c>
      <c r="AA29" s="830">
        <v>1006</v>
      </c>
      <c r="AB29" s="830">
        <v>1000</v>
      </c>
      <c r="AC29" s="830">
        <v>1000</v>
      </c>
      <c r="AD29" s="817">
        <f t="shared" si="4"/>
        <v>12060</v>
      </c>
      <c r="AE29" s="769">
        <f t="shared" si="5"/>
        <v>0</v>
      </c>
    </row>
    <row r="30" spans="1:31" s="773" customFormat="1" ht="24.75" customHeight="1">
      <c r="A30" s="852"/>
      <c r="B30" s="2530" t="s">
        <v>1124</v>
      </c>
      <c r="C30" s="2531"/>
      <c r="D30" s="2531"/>
      <c r="E30" s="2531"/>
      <c r="F30" s="2531"/>
      <c r="G30" s="2531"/>
      <c r="H30" s="2531"/>
      <c r="I30" s="2531"/>
      <c r="J30" s="2531"/>
      <c r="K30" s="2531"/>
      <c r="L30" s="2531"/>
      <c r="M30" s="2531"/>
      <c r="N30" s="913">
        <f>IF(N29&lt;10000000,ROUNDDOWN(N29,-3),ROUNDDOWN(N29,-3))</f>
        <v>107000</v>
      </c>
      <c r="O30" s="770">
        <f t="shared" si="7"/>
        <v>0</v>
      </c>
      <c r="P30" s="770">
        <f t="shared" si="2"/>
        <v>0</v>
      </c>
      <c r="Q30" s="771">
        <f t="shared" si="3"/>
        <v>0</v>
      </c>
      <c r="R30" s="830">
        <v>828</v>
      </c>
      <c r="S30" s="830">
        <v>828</v>
      </c>
      <c r="T30" s="830">
        <v>828</v>
      </c>
      <c r="U30" s="830">
        <v>828</v>
      </c>
      <c r="V30" s="830">
        <v>828</v>
      </c>
      <c r="W30" s="830">
        <v>828</v>
      </c>
      <c r="X30" s="830">
        <v>828</v>
      </c>
      <c r="Y30" s="830">
        <v>828</v>
      </c>
      <c r="Z30" s="830">
        <v>828</v>
      </c>
      <c r="AA30" s="830">
        <v>828</v>
      </c>
      <c r="AB30" s="830">
        <v>820</v>
      </c>
      <c r="AC30" s="830">
        <v>820</v>
      </c>
      <c r="AD30" s="817">
        <f t="shared" si="4"/>
        <v>9920</v>
      </c>
      <c r="AE30" s="769">
        <f t="shared" si="5"/>
        <v>0</v>
      </c>
    </row>
    <row r="31" spans="1:31" s="773" customFormat="1" ht="24.75" customHeight="1">
      <c r="A31" s="914"/>
      <c r="B31" s="921"/>
      <c r="C31" s="922"/>
      <c r="D31" s="921"/>
      <c r="E31" s="921"/>
      <c r="F31" s="921"/>
      <c r="G31" s="921"/>
      <c r="H31" s="921"/>
      <c r="I31" s="921"/>
      <c r="J31" s="923"/>
      <c r="K31" s="923"/>
      <c r="L31" s="923"/>
      <c r="M31" s="924"/>
      <c r="N31" s="915"/>
      <c r="O31" s="770">
        <f t="shared" si="7"/>
        <v>0</v>
      </c>
      <c r="P31" s="770">
        <f t="shared" si="2"/>
        <v>0</v>
      </c>
      <c r="Q31" s="771">
        <f t="shared" si="3"/>
        <v>0</v>
      </c>
      <c r="R31" s="830">
        <v>220</v>
      </c>
      <c r="S31" s="830">
        <v>220</v>
      </c>
      <c r="T31" s="830">
        <v>220</v>
      </c>
      <c r="U31" s="830">
        <v>220</v>
      </c>
      <c r="V31" s="830">
        <v>220</v>
      </c>
      <c r="W31" s="830">
        <v>220</v>
      </c>
      <c r="X31" s="830">
        <v>220</v>
      </c>
      <c r="Y31" s="830">
        <v>220</v>
      </c>
      <c r="Z31" s="830">
        <v>220</v>
      </c>
      <c r="AA31" s="830">
        <v>220</v>
      </c>
      <c r="AB31" s="830">
        <v>200</v>
      </c>
      <c r="AC31" s="830">
        <v>200</v>
      </c>
      <c r="AD31" s="817">
        <f t="shared" si="4"/>
        <v>2600</v>
      </c>
      <c r="AE31" s="769">
        <f t="shared" si="5"/>
        <v>0</v>
      </c>
    </row>
    <row r="32" spans="1:31" s="773" customFormat="1" ht="24.75" customHeight="1">
      <c r="B32" s="917"/>
      <c r="C32" s="925"/>
      <c r="D32" s="917"/>
      <c r="E32" s="917"/>
      <c r="F32" s="917"/>
      <c r="G32" s="917"/>
      <c r="H32" s="917"/>
      <c r="I32" s="917"/>
      <c r="J32" s="926"/>
      <c r="K32" s="926"/>
      <c r="L32" s="926"/>
      <c r="M32" s="927"/>
      <c r="N32" s="916"/>
      <c r="O32" s="770">
        <f t="shared" si="7"/>
        <v>0</v>
      </c>
      <c r="P32" s="770">
        <f t="shared" si="2"/>
        <v>0</v>
      </c>
      <c r="Q32" s="771">
        <f t="shared" si="3"/>
        <v>0</v>
      </c>
      <c r="R32" s="830">
        <v>100</v>
      </c>
      <c r="S32" s="830">
        <v>100</v>
      </c>
      <c r="T32" s="830">
        <v>100</v>
      </c>
      <c r="U32" s="830">
        <v>100</v>
      </c>
      <c r="V32" s="830">
        <v>100</v>
      </c>
      <c r="W32" s="830">
        <v>100</v>
      </c>
      <c r="X32" s="830">
        <v>100</v>
      </c>
      <c r="Y32" s="830">
        <v>100</v>
      </c>
      <c r="Z32" s="830">
        <v>100</v>
      </c>
      <c r="AA32" s="830">
        <v>100</v>
      </c>
      <c r="AB32" s="830">
        <v>100</v>
      </c>
      <c r="AC32" s="830">
        <v>100</v>
      </c>
      <c r="AD32" s="817">
        <f t="shared" si="4"/>
        <v>1200</v>
      </c>
      <c r="AE32" s="769">
        <f t="shared" si="5"/>
        <v>0</v>
      </c>
    </row>
    <row r="33" spans="1:31" s="773" customFormat="1" ht="24.75" customHeight="1">
      <c r="A33" s="917"/>
      <c r="B33" s="917"/>
      <c r="C33" s="918"/>
      <c r="D33" s="917"/>
      <c r="E33" s="917"/>
      <c r="F33" s="917"/>
      <c r="G33" s="917"/>
      <c r="H33" s="917"/>
      <c r="I33" s="917"/>
      <c r="J33" s="926"/>
      <c r="K33" s="926"/>
      <c r="L33" s="926"/>
      <c r="M33" s="927"/>
      <c r="N33" s="916"/>
      <c r="O33" s="770">
        <f t="shared" si="7"/>
        <v>0</v>
      </c>
      <c r="P33" s="770">
        <f t="shared" si="2"/>
        <v>0</v>
      </c>
      <c r="Q33" s="771">
        <f t="shared" si="3"/>
        <v>0</v>
      </c>
      <c r="R33" s="830">
        <v>110</v>
      </c>
      <c r="S33" s="830">
        <v>110</v>
      </c>
      <c r="T33" s="830">
        <v>110</v>
      </c>
      <c r="U33" s="830">
        <v>110</v>
      </c>
      <c r="V33" s="830">
        <v>110</v>
      </c>
      <c r="W33" s="830">
        <v>110</v>
      </c>
      <c r="X33" s="830">
        <v>110</v>
      </c>
      <c r="Y33" s="830">
        <v>110</v>
      </c>
      <c r="Z33" s="830">
        <v>110</v>
      </c>
      <c r="AA33" s="830">
        <v>110</v>
      </c>
      <c r="AB33" s="830">
        <v>110</v>
      </c>
      <c r="AC33" s="830">
        <v>110</v>
      </c>
      <c r="AD33" s="817">
        <f t="shared" si="4"/>
        <v>1320</v>
      </c>
      <c r="AE33" s="769">
        <f t="shared" si="5"/>
        <v>0</v>
      </c>
    </row>
    <row r="34" spans="1:31" s="773" customFormat="1" ht="24.75" customHeight="1">
      <c r="A34" s="917"/>
      <c r="B34" s="917"/>
      <c r="C34" s="918"/>
      <c r="D34" s="917"/>
      <c r="E34" s="917"/>
      <c r="F34" s="917"/>
      <c r="G34" s="917"/>
      <c r="H34" s="917"/>
      <c r="I34" s="917"/>
      <c r="J34" s="926"/>
      <c r="K34" s="926"/>
      <c r="L34" s="926"/>
      <c r="M34" s="927"/>
      <c r="N34" s="916"/>
      <c r="O34" s="770">
        <f t="shared" si="7"/>
        <v>0</v>
      </c>
      <c r="P34" s="770">
        <f t="shared" si="2"/>
        <v>0</v>
      </c>
      <c r="Q34" s="771">
        <f t="shared" si="3"/>
        <v>0</v>
      </c>
      <c r="R34" s="830">
        <v>110</v>
      </c>
      <c r="S34" s="830">
        <v>110</v>
      </c>
      <c r="T34" s="830">
        <v>110</v>
      </c>
      <c r="U34" s="830">
        <v>110</v>
      </c>
      <c r="V34" s="830">
        <v>110</v>
      </c>
      <c r="W34" s="830">
        <v>110</v>
      </c>
      <c r="X34" s="830">
        <v>110</v>
      </c>
      <c r="Y34" s="830">
        <v>110</v>
      </c>
      <c r="Z34" s="830">
        <v>110</v>
      </c>
      <c r="AA34" s="830">
        <v>110</v>
      </c>
      <c r="AB34" s="830">
        <v>110</v>
      </c>
      <c r="AC34" s="830">
        <v>110</v>
      </c>
      <c r="AD34" s="817">
        <f t="shared" si="4"/>
        <v>1320</v>
      </c>
      <c r="AE34" s="769">
        <f t="shared" si="5"/>
        <v>0</v>
      </c>
    </row>
    <row r="35" spans="1:31" s="773" customFormat="1" ht="24.75" customHeight="1">
      <c r="B35" s="917"/>
      <c r="C35" s="925"/>
      <c r="D35" s="917"/>
      <c r="E35" s="917"/>
      <c r="F35" s="917"/>
      <c r="G35" s="917"/>
      <c r="H35" s="917"/>
      <c r="I35" s="917"/>
      <c r="J35" s="926"/>
      <c r="K35" s="926"/>
      <c r="L35" s="926"/>
      <c r="M35" s="927"/>
      <c r="N35" s="916"/>
      <c r="O35" s="770">
        <f t="shared" si="7"/>
        <v>0</v>
      </c>
      <c r="P35" s="770">
        <f t="shared" si="2"/>
        <v>0</v>
      </c>
      <c r="Q35" s="771">
        <f t="shared" si="3"/>
        <v>0</v>
      </c>
      <c r="R35" s="830">
        <v>204</v>
      </c>
      <c r="S35" s="830">
        <v>204</v>
      </c>
      <c r="T35" s="830">
        <v>204</v>
      </c>
      <c r="U35" s="830">
        <v>204</v>
      </c>
      <c r="V35" s="830">
        <v>204</v>
      </c>
      <c r="W35" s="830">
        <v>204</v>
      </c>
      <c r="X35" s="830">
        <v>204</v>
      </c>
      <c r="Y35" s="830">
        <v>204</v>
      </c>
      <c r="Z35" s="830">
        <v>204</v>
      </c>
      <c r="AA35" s="830">
        <v>204</v>
      </c>
      <c r="AB35" s="830">
        <v>200</v>
      </c>
      <c r="AC35" s="830">
        <v>200</v>
      </c>
      <c r="AD35" s="817">
        <f t="shared" si="4"/>
        <v>2440</v>
      </c>
      <c r="AE35" s="769">
        <f t="shared" si="5"/>
        <v>0</v>
      </c>
    </row>
    <row r="36" spans="1:31" s="773" customFormat="1" ht="24.75" customHeight="1">
      <c r="B36" s="917"/>
      <c r="C36" s="925"/>
      <c r="D36" s="917"/>
      <c r="E36" s="917"/>
      <c r="F36" s="917"/>
      <c r="G36" s="917"/>
      <c r="H36" s="917"/>
      <c r="I36" s="917"/>
      <c r="J36" s="926"/>
      <c r="K36" s="926"/>
      <c r="L36" s="926"/>
      <c r="M36" s="927"/>
      <c r="N36" s="916"/>
      <c r="O36" s="770">
        <f t="shared" si="7"/>
        <v>0</v>
      </c>
      <c r="P36" s="770">
        <f t="shared" si="2"/>
        <v>0</v>
      </c>
      <c r="Q36" s="771">
        <f t="shared" si="3"/>
        <v>0</v>
      </c>
      <c r="R36" s="830">
        <v>249</v>
      </c>
      <c r="S36" s="830">
        <v>249</v>
      </c>
      <c r="T36" s="830">
        <v>249</v>
      </c>
      <c r="U36" s="830">
        <v>249</v>
      </c>
      <c r="V36" s="830">
        <v>249</v>
      </c>
      <c r="W36" s="830">
        <v>249</v>
      </c>
      <c r="X36" s="830">
        <v>249</v>
      </c>
      <c r="Y36" s="830">
        <v>249</v>
      </c>
      <c r="Z36" s="830">
        <v>249</v>
      </c>
      <c r="AA36" s="830">
        <v>249</v>
      </c>
      <c r="AB36" s="830">
        <v>240</v>
      </c>
      <c r="AC36" s="830">
        <v>240</v>
      </c>
      <c r="AD36" s="817">
        <f t="shared" si="4"/>
        <v>2970</v>
      </c>
      <c r="AE36" s="769">
        <f t="shared" si="5"/>
        <v>0</v>
      </c>
    </row>
    <row r="37" spans="1:31" s="773" customFormat="1" ht="24.75" customHeight="1">
      <c r="B37" s="917"/>
      <c r="C37" s="925"/>
      <c r="D37" s="917"/>
      <c r="E37" s="917"/>
      <c r="F37" s="917"/>
      <c r="G37" s="917"/>
      <c r="H37" s="917"/>
      <c r="I37" s="917"/>
      <c r="J37" s="926"/>
      <c r="K37" s="926"/>
      <c r="L37" s="926"/>
      <c r="M37" s="927"/>
      <c r="N37" s="916"/>
      <c r="O37" s="770">
        <f t="shared" si="7"/>
        <v>0</v>
      </c>
      <c r="P37" s="770">
        <f t="shared" si="2"/>
        <v>0</v>
      </c>
      <c r="Q37" s="771">
        <f t="shared" si="3"/>
        <v>0</v>
      </c>
      <c r="R37" s="830">
        <v>30</v>
      </c>
      <c r="S37" s="830">
        <v>30</v>
      </c>
      <c r="T37" s="830">
        <v>30</v>
      </c>
      <c r="U37" s="830">
        <v>30</v>
      </c>
      <c r="V37" s="830">
        <v>30</v>
      </c>
      <c r="W37" s="830">
        <v>30</v>
      </c>
      <c r="X37" s="830">
        <v>30</v>
      </c>
      <c r="Y37" s="830">
        <v>30</v>
      </c>
      <c r="Z37" s="830">
        <v>30</v>
      </c>
      <c r="AA37" s="830">
        <v>30</v>
      </c>
      <c r="AB37" s="830">
        <v>30</v>
      </c>
      <c r="AC37" s="830">
        <v>30</v>
      </c>
      <c r="AD37" s="817">
        <f t="shared" si="4"/>
        <v>360</v>
      </c>
      <c r="AE37" s="769">
        <f t="shared" si="5"/>
        <v>0</v>
      </c>
    </row>
    <row r="38" spans="1:31" s="773" customFormat="1" ht="24.75" customHeight="1">
      <c r="B38" s="917"/>
      <c r="C38" s="925"/>
      <c r="D38" s="917"/>
      <c r="E38" s="917"/>
      <c r="F38" s="917"/>
      <c r="G38" s="917"/>
      <c r="H38" s="917"/>
      <c r="I38" s="917"/>
      <c r="J38" s="926"/>
      <c r="K38" s="926"/>
      <c r="L38" s="926"/>
      <c r="M38" s="927"/>
      <c r="N38" s="916"/>
      <c r="O38" s="770">
        <f t="shared" si="7"/>
        <v>0</v>
      </c>
      <c r="P38" s="770">
        <f t="shared" si="2"/>
        <v>0</v>
      </c>
      <c r="Q38" s="771">
        <f t="shared" si="3"/>
        <v>0</v>
      </c>
      <c r="R38" s="830">
        <v>132</v>
      </c>
      <c r="S38" s="830">
        <v>132</v>
      </c>
      <c r="T38" s="830">
        <v>132</v>
      </c>
      <c r="U38" s="830">
        <v>132</v>
      </c>
      <c r="V38" s="830">
        <v>132</v>
      </c>
      <c r="W38" s="830">
        <v>132</v>
      </c>
      <c r="X38" s="830">
        <v>132</v>
      </c>
      <c r="Y38" s="830">
        <v>132</v>
      </c>
      <c r="Z38" s="830">
        <v>132</v>
      </c>
      <c r="AA38" s="830">
        <v>132</v>
      </c>
      <c r="AB38" s="830">
        <v>130</v>
      </c>
      <c r="AC38" s="830">
        <v>130</v>
      </c>
      <c r="AD38" s="817">
        <f t="shared" si="4"/>
        <v>1580</v>
      </c>
      <c r="AE38" s="769">
        <f t="shared" si="5"/>
        <v>0</v>
      </c>
    </row>
    <row r="39" spans="1:31" s="773" customFormat="1" ht="24.75" customHeight="1">
      <c r="B39" s="917"/>
      <c r="C39" s="925"/>
      <c r="D39" s="917"/>
      <c r="E39" s="917"/>
      <c r="F39" s="917"/>
      <c r="G39" s="917"/>
      <c r="H39" s="917"/>
      <c r="I39" s="917"/>
      <c r="J39" s="926"/>
      <c r="K39" s="926"/>
      <c r="L39" s="926"/>
      <c r="M39" s="927"/>
      <c r="N39" s="916"/>
      <c r="O39" s="770">
        <f t="shared" si="7"/>
        <v>0</v>
      </c>
      <c r="P39" s="770">
        <f>K39*O39</f>
        <v>0</v>
      </c>
      <c r="Q39" s="771">
        <f t="shared" si="3"/>
        <v>0</v>
      </c>
      <c r="R39" s="830">
        <v>834</v>
      </c>
      <c r="S39" s="830">
        <v>834</v>
      </c>
      <c r="T39" s="830">
        <v>834</v>
      </c>
      <c r="U39" s="830">
        <v>834</v>
      </c>
      <c r="V39" s="830">
        <v>834</v>
      </c>
      <c r="W39" s="830">
        <v>834</v>
      </c>
      <c r="X39" s="830">
        <v>834</v>
      </c>
      <c r="Y39" s="830">
        <v>834</v>
      </c>
      <c r="Z39" s="830">
        <v>834</v>
      </c>
      <c r="AA39" s="830">
        <v>834</v>
      </c>
      <c r="AB39" s="830">
        <v>830</v>
      </c>
      <c r="AC39" s="830">
        <v>830</v>
      </c>
      <c r="AD39" s="817">
        <f t="shared" si="4"/>
        <v>10000</v>
      </c>
      <c r="AE39" s="769">
        <f t="shared" si="5"/>
        <v>0</v>
      </c>
    </row>
    <row r="40" spans="1:31" s="773" customFormat="1" ht="24.75" customHeight="1">
      <c r="B40" s="917"/>
      <c r="C40" s="925"/>
      <c r="D40" s="917"/>
      <c r="E40" s="917"/>
      <c r="F40" s="917"/>
      <c r="G40" s="917"/>
      <c r="H40" s="917"/>
      <c r="I40" s="917"/>
      <c r="J40" s="917"/>
      <c r="K40" s="926"/>
      <c r="L40" s="926"/>
      <c r="M40" s="927"/>
      <c r="N40" s="916"/>
      <c r="O40" s="770"/>
      <c r="P40" s="856"/>
      <c r="Q40" s="857"/>
      <c r="R40" s="858"/>
      <c r="S40" s="859"/>
      <c r="T40" s="859"/>
      <c r="U40" s="859"/>
      <c r="V40" s="859"/>
      <c r="W40" s="859"/>
      <c r="X40" s="859"/>
      <c r="Y40" s="859"/>
      <c r="Z40" s="859"/>
      <c r="AA40" s="859"/>
      <c r="AB40" s="859"/>
      <c r="AC40" s="860"/>
      <c r="AD40" s="861"/>
    </row>
    <row r="41" spans="1:31" s="773" customFormat="1" ht="24.75" customHeight="1">
      <c r="B41" s="2532"/>
      <c r="C41" s="2532"/>
      <c r="D41" s="2532"/>
      <c r="E41" s="2532"/>
      <c r="F41" s="2532"/>
      <c r="G41" s="2532"/>
      <c r="H41" s="2532"/>
      <c r="I41" s="2532"/>
      <c r="J41" s="2532"/>
      <c r="K41" s="2532"/>
      <c r="L41" s="2532"/>
      <c r="M41" s="2532"/>
      <c r="N41" s="916"/>
      <c r="O41" s="837">
        <f>SUM(O29:O40)</f>
        <v>0</v>
      </c>
      <c r="P41" s="837">
        <f>SUM(P29:P40)</f>
        <v>0</v>
      </c>
      <c r="Q41" s="862">
        <f>SUM(Q12:Q39)</f>
        <v>0</v>
      </c>
      <c r="AD41" s="863"/>
    </row>
    <row r="42" spans="1:31" s="773" customFormat="1" ht="24.75" customHeight="1">
      <c r="B42" s="2533"/>
      <c r="C42" s="2533"/>
      <c r="D42" s="2533"/>
      <c r="E42" s="2533"/>
      <c r="F42" s="2533"/>
      <c r="G42" s="2533"/>
      <c r="H42" s="2533"/>
      <c r="I42" s="2533"/>
      <c r="J42" s="2533"/>
      <c r="K42" s="2533"/>
      <c r="L42" s="2533"/>
      <c r="M42" s="2533"/>
      <c r="N42" s="916"/>
      <c r="O42" s="837"/>
      <c r="P42" s="837"/>
      <c r="Q42" s="862"/>
      <c r="AD42" s="864"/>
    </row>
    <row r="43" spans="1:31" s="773" customFormat="1" ht="24.75" customHeight="1">
      <c r="B43" s="2533"/>
      <c r="C43" s="2533"/>
      <c r="D43" s="2533"/>
      <c r="E43" s="2533"/>
      <c r="F43" s="2533"/>
      <c r="G43" s="2533"/>
      <c r="H43" s="2533"/>
      <c r="I43" s="2533"/>
      <c r="J43" s="2533"/>
      <c r="K43" s="2533"/>
      <c r="L43" s="2533"/>
      <c r="M43" s="2533"/>
      <c r="N43" s="919"/>
      <c r="O43" s="837"/>
      <c r="P43" s="837"/>
      <c r="Q43" s="862"/>
      <c r="AD43" s="864"/>
    </row>
    <row r="44" spans="1:31" s="773" customFormat="1" ht="24.75" customHeight="1">
      <c r="B44" s="2533"/>
      <c r="C44" s="2533"/>
      <c r="D44" s="2533"/>
      <c r="E44" s="2533"/>
      <c r="F44" s="2533"/>
      <c r="G44" s="2533"/>
      <c r="H44" s="2533"/>
      <c r="I44" s="2533"/>
      <c r="J44" s="2533"/>
      <c r="K44" s="2533"/>
      <c r="L44" s="2533"/>
      <c r="M44" s="2533"/>
      <c r="N44" s="916"/>
      <c r="O44" s="837"/>
      <c r="P44" s="837"/>
      <c r="Q44" s="862"/>
      <c r="AD44" s="864"/>
    </row>
    <row r="45" spans="1:31" s="773" customFormat="1" ht="24.75" customHeight="1">
      <c r="B45" s="2533"/>
      <c r="C45" s="2533"/>
      <c r="D45" s="2533"/>
      <c r="E45" s="2533"/>
      <c r="F45" s="2533"/>
      <c r="G45" s="2533"/>
      <c r="H45" s="2533"/>
      <c r="I45" s="2533"/>
      <c r="J45" s="2533"/>
      <c r="K45" s="2533"/>
      <c r="L45" s="2533"/>
      <c r="M45" s="2533"/>
      <c r="N45" s="916"/>
      <c r="O45" s="837"/>
      <c r="P45" s="837"/>
      <c r="Q45" s="866">
        <f>Q41*12</f>
        <v>0</v>
      </c>
      <c r="R45" s="773">
        <v>1</v>
      </c>
      <c r="S45" s="773">
        <v>2</v>
      </c>
      <c r="T45" s="773">
        <v>3</v>
      </c>
      <c r="U45" s="773">
        <v>4</v>
      </c>
      <c r="V45" s="773">
        <v>5</v>
      </c>
      <c r="W45" s="773">
        <v>6</v>
      </c>
      <c r="X45" s="773">
        <v>7</v>
      </c>
      <c r="Y45" s="773">
        <v>8</v>
      </c>
      <c r="Z45" s="773">
        <v>9</v>
      </c>
      <c r="AA45" s="773">
        <v>10</v>
      </c>
      <c r="AB45" s="773">
        <v>11</v>
      </c>
      <c r="AC45" s="773">
        <v>12</v>
      </c>
      <c r="AD45" s="864"/>
    </row>
    <row r="46" spans="1:31" s="867" customFormat="1" ht="24.75" customHeight="1">
      <c r="B46" s="2527"/>
      <c r="C46" s="2527"/>
      <c r="D46" s="2527"/>
      <c r="E46" s="2527"/>
      <c r="F46" s="2527"/>
      <c r="G46" s="2527"/>
      <c r="H46" s="2527"/>
      <c r="I46" s="2527"/>
      <c r="J46" s="2527"/>
      <c r="K46" s="2527"/>
      <c r="L46" s="2527"/>
      <c r="M46" s="2527"/>
      <c r="N46" s="920"/>
      <c r="O46" s="869"/>
      <c r="P46" s="869"/>
      <c r="R46" s="870">
        <f t="shared" ref="R46:AC46" si="8">SUM(R12:R39)</f>
        <v>10100</v>
      </c>
      <c r="S46" s="870">
        <f t="shared" si="8"/>
        <v>10100</v>
      </c>
      <c r="T46" s="870">
        <f t="shared" si="8"/>
        <v>10100</v>
      </c>
      <c r="U46" s="870">
        <f t="shared" si="8"/>
        <v>10100</v>
      </c>
      <c r="V46" s="870">
        <f t="shared" si="8"/>
        <v>10100</v>
      </c>
      <c r="W46" s="870">
        <f t="shared" si="8"/>
        <v>10100</v>
      </c>
      <c r="X46" s="870">
        <f t="shared" si="8"/>
        <v>10100</v>
      </c>
      <c r="Y46" s="870">
        <f t="shared" si="8"/>
        <v>10100</v>
      </c>
      <c r="Z46" s="870">
        <f t="shared" si="8"/>
        <v>10100</v>
      </c>
      <c r="AA46" s="870">
        <f t="shared" si="8"/>
        <v>10100</v>
      </c>
      <c r="AB46" s="870">
        <f t="shared" si="8"/>
        <v>10000</v>
      </c>
      <c r="AC46" s="870">
        <f t="shared" si="8"/>
        <v>10000</v>
      </c>
      <c r="AD46" s="871">
        <f>SUM(AD12:AD39)</f>
        <v>121000</v>
      </c>
      <c r="AE46" s="867">
        <f>SUM(AE12:AE39)</f>
        <v>0</v>
      </c>
    </row>
    <row r="47" spans="1:31" ht="24.75" customHeight="1">
      <c r="B47" s="872"/>
      <c r="C47" s="872"/>
      <c r="D47" s="872"/>
      <c r="E47" s="872"/>
      <c r="F47" s="872"/>
      <c r="G47" s="872"/>
      <c r="H47" s="872"/>
      <c r="I47" s="872"/>
      <c r="J47" s="872"/>
      <c r="K47" s="872"/>
      <c r="L47" s="872"/>
      <c r="M47" s="873"/>
      <c r="N47" s="874"/>
      <c r="AD47" s="875">
        <f>R46+S46+T46+U46+V46+W46+X46+Y46+Z46+AA46+AB46+AC46</f>
        <v>121000</v>
      </c>
    </row>
    <row r="48" spans="1:31" ht="24.75" customHeight="1">
      <c r="B48" s="872"/>
      <c r="C48" s="872"/>
      <c r="D48" s="872"/>
      <c r="E48" s="872"/>
      <c r="F48" s="872"/>
      <c r="G48" s="872"/>
      <c r="H48" s="872"/>
      <c r="I48" s="872"/>
      <c r="J48" s="872"/>
      <c r="K48" s="872"/>
      <c r="L48" s="872"/>
      <c r="M48" s="873"/>
      <c r="N48" s="874"/>
      <c r="AD48" s="771">
        <f>AD47/12</f>
        <v>10083.333333333334</v>
      </c>
    </row>
  </sheetData>
  <mergeCells count="16">
    <mergeCell ref="AE10:AE11"/>
    <mergeCell ref="B26:M26"/>
    <mergeCell ref="A3:C3"/>
    <mergeCell ref="A4:C4"/>
    <mergeCell ref="R10:AC10"/>
    <mergeCell ref="AD10:AD11"/>
    <mergeCell ref="B46:M46"/>
    <mergeCell ref="B27:M27"/>
    <mergeCell ref="B28:M28"/>
    <mergeCell ref="B29:M29"/>
    <mergeCell ref="B30:M30"/>
    <mergeCell ref="B41:M41"/>
    <mergeCell ref="B42:M42"/>
    <mergeCell ref="B43:M43"/>
    <mergeCell ref="B44:M44"/>
    <mergeCell ref="B45:M45"/>
  </mergeCells>
  <pageMargins left="0.39370078740157483" right="0.19685039370078741" top="0.74803149606299213" bottom="0.74803149606299213" header="0.31496062992125984" footer="0.31496062992125984"/>
  <pageSetup paperSize="9" scale="6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8">
    <tabColor rgb="FF7030A0"/>
  </sheetPr>
  <dimension ref="A1:Z52"/>
  <sheetViews>
    <sheetView showGridLines="0" view="pageBreakPreview" topLeftCell="A13" zoomScale="60" zoomScaleNormal="75" workbookViewId="0">
      <selection activeCell="M38" sqref="M38"/>
    </sheetView>
  </sheetViews>
  <sheetFormatPr defaultColWidth="9.33203125" defaultRowHeight="24.75" customHeight="1"/>
  <cols>
    <col min="1" max="1" width="7.1640625" style="769" customWidth="1"/>
    <col min="2" max="2" width="7.33203125" style="769" customWidth="1"/>
    <col min="3" max="3" width="9.33203125" style="769"/>
    <col min="4" max="4" width="17.83203125" style="769" customWidth="1"/>
    <col min="5" max="8" width="9.33203125" style="769"/>
    <col min="9" max="9" width="32.5" style="769" customWidth="1"/>
    <col min="10" max="10" width="14.83203125" style="769" customWidth="1"/>
    <col min="11" max="11" width="23.1640625" style="874" customWidth="1"/>
    <col min="12" max="12" width="21.1640625" style="769" customWidth="1"/>
    <col min="13" max="13" width="25.6640625" style="769" customWidth="1"/>
    <col min="14" max="25" width="15.83203125" style="769" customWidth="1"/>
    <col min="26" max="26" width="26.1640625" style="771" customWidth="1"/>
    <col min="27" max="27" width="13.83203125" style="769" customWidth="1"/>
    <col min="28" max="16384" width="9.33203125" style="769"/>
  </cols>
  <sheetData>
    <row r="1" spans="1:26" ht="24.75" customHeight="1">
      <c r="A1" s="766" t="s">
        <v>1272</v>
      </c>
      <c r="B1" s="767"/>
      <c r="C1" s="767"/>
      <c r="D1" s="767"/>
      <c r="E1" s="767"/>
      <c r="F1" s="767"/>
      <c r="G1" s="767"/>
      <c r="H1" s="767"/>
      <c r="I1" s="767"/>
      <c r="J1" s="767"/>
      <c r="K1" s="876"/>
      <c r="L1" s="877" t="s">
        <v>1285</v>
      </c>
    </row>
    <row r="2" spans="1:26" ht="24.75" customHeight="1">
      <c r="A2" s="773" t="str">
        <f>'1.ป้ายจราจร '!A2</f>
        <v>ประเภทงาน</v>
      </c>
      <c r="B2" s="773"/>
      <c r="C2" s="773"/>
      <c r="D2" s="773" t="str">
        <f>'1.ป้ายจราจร '!D2</f>
        <v>ก่อสร้างถนนคอนกรีตเสริมเหล็ก</v>
      </c>
      <c r="E2" s="773"/>
      <c r="F2" s="773"/>
      <c r="G2" s="773"/>
      <c r="H2" s="773"/>
      <c r="I2" s="773"/>
      <c r="J2" s="773"/>
      <c r="K2" s="773"/>
      <c r="L2" s="878" t="s">
        <v>1286</v>
      </c>
    </row>
    <row r="3" spans="1:26" ht="24.75" customHeight="1">
      <c r="A3" s="773" t="str">
        <f>'1.ป้ายจราจร '!A3</f>
        <v>ชื่อโครงการ</v>
      </c>
      <c r="B3" s="773"/>
      <c r="C3" s="773"/>
      <c r="D3" s="777" t="str">
        <f>'1.ป้ายจราจร '!D3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E3" s="773"/>
      <c r="F3" s="773"/>
      <c r="G3" s="773"/>
      <c r="H3" s="773"/>
      <c r="I3" s="777"/>
      <c r="J3" s="773"/>
      <c r="K3" s="773"/>
      <c r="L3" s="773"/>
    </row>
    <row r="4" spans="1:26" ht="24.75" customHeight="1">
      <c r="A4" s="773" t="str">
        <f>'1.ป้ายจราจร '!A4</f>
        <v>ระยะทาง</v>
      </c>
      <c r="B4" s="777"/>
      <c r="C4" s="777"/>
      <c r="D4" s="879" t="str">
        <f>'1.ป้ายจราจร '!D4</f>
        <v>1.400</v>
      </c>
      <c r="E4" s="773" t="str">
        <f>'1.ป้ายจราจร '!E4</f>
        <v>กม.</v>
      </c>
      <c r="G4" s="773"/>
      <c r="H4" s="773" t="s">
        <v>1273</v>
      </c>
      <c r="I4" s="773"/>
      <c r="J4" s="774">
        <f>'1.ป้ายจราจร '!K4</f>
        <v>300</v>
      </c>
      <c r="K4" s="773" t="s">
        <v>760</v>
      </c>
      <c r="L4" s="773"/>
    </row>
    <row r="5" spans="1:26" ht="24.75" customHeight="1">
      <c r="A5" s="780" t="s">
        <v>1274</v>
      </c>
      <c r="B5" s="780"/>
      <c r="C5" s="780"/>
      <c r="D5" s="778"/>
      <c r="E5" s="773"/>
      <c r="F5" s="773"/>
      <c r="G5" s="773"/>
      <c r="H5" s="773"/>
      <c r="I5" s="773"/>
      <c r="J5" s="773"/>
      <c r="K5" s="773"/>
      <c r="L5" s="773"/>
    </row>
    <row r="6" spans="1:26" ht="24.75" customHeight="1">
      <c r="A6" s="773"/>
      <c r="B6" s="773" t="s">
        <v>1287</v>
      </c>
      <c r="C6" s="773"/>
      <c r="D6" s="773"/>
      <c r="E6" s="773"/>
      <c r="F6" s="773"/>
      <c r="G6" s="773"/>
      <c r="H6" s="773"/>
      <c r="I6" s="773"/>
      <c r="J6" s="773"/>
      <c r="K6" s="773"/>
      <c r="L6" s="773"/>
    </row>
    <row r="7" spans="1:26" ht="24.75" customHeight="1">
      <c r="A7" s="880">
        <v>2</v>
      </c>
      <c r="B7" s="881" t="s">
        <v>1288</v>
      </c>
      <c r="C7" s="881"/>
      <c r="D7" s="881"/>
      <c r="E7" s="881"/>
      <c r="F7" s="881"/>
      <c r="G7" s="881"/>
      <c r="H7" s="881"/>
      <c r="I7" s="881"/>
      <c r="J7" s="881"/>
      <c r="K7" s="882" t="s">
        <v>464</v>
      </c>
      <c r="L7" s="792" t="s">
        <v>184</v>
      </c>
      <c r="M7" s="792" t="s">
        <v>222</v>
      </c>
      <c r="N7" s="2537" t="s">
        <v>1280</v>
      </c>
      <c r="O7" s="2537"/>
      <c r="P7" s="2537"/>
      <c r="Q7" s="2537"/>
      <c r="R7" s="2537"/>
      <c r="S7" s="2537"/>
      <c r="T7" s="2537"/>
      <c r="U7" s="2537"/>
      <c r="V7" s="2537"/>
      <c r="W7" s="2537"/>
      <c r="X7" s="2537"/>
      <c r="Y7" s="2537"/>
      <c r="Z7" s="2538" t="s">
        <v>186</v>
      </c>
    </row>
    <row r="8" spans="1:26" ht="24.75" customHeight="1">
      <c r="A8" s="797"/>
      <c r="B8" s="798" t="s">
        <v>1289</v>
      </c>
      <c r="C8" s="799" t="s">
        <v>1365</v>
      </c>
      <c r="D8" s="800"/>
      <c r="E8" s="800"/>
      <c r="F8" s="800"/>
      <c r="G8" s="800"/>
      <c r="H8" s="800"/>
      <c r="I8" s="800"/>
      <c r="J8" s="883"/>
      <c r="K8" s="803" t="s">
        <v>327</v>
      </c>
      <c r="L8" s="822"/>
      <c r="M8" s="801" t="s">
        <v>327</v>
      </c>
      <c r="N8" s="806">
        <v>1</v>
      </c>
      <c r="O8" s="806">
        <v>2</v>
      </c>
      <c r="P8" s="806">
        <v>3</v>
      </c>
      <c r="Q8" s="806">
        <v>4</v>
      </c>
      <c r="R8" s="806">
        <v>5</v>
      </c>
      <c r="S8" s="806">
        <v>6</v>
      </c>
      <c r="T8" s="806">
        <v>7</v>
      </c>
      <c r="U8" s="806">
        <v>8</v>
      </c>
      <c r="V8" s="806">
        <v>9</v>
      </c>
      <c r="W8" s="806">
        <v>10</v>
      </c>
      <c r="X8" s="806">
        <v>11</v>
      </c>
      <c r="Y8" s="806">
        <v>12</v>
      </c>
      <c r="Z8" s="2539"/>
    </row>
    <row r="9" spans="1:26" ht="24.75" customHeight="1">
      <c r="A9" s="797"/>
      <c r="B9" s="798"/>
      <c r="C9" s="813" t="s">
        <v>1290</v>
      </c>
      <c r="D9" s="800"/>
      <c r="E9" s="800"/>
      <c r="F9" s="800"/>
      <c r="G9" s="800"/>
      <c r="H9" s="800"/>
      <c r="I9" s="800"/>
      <c r="J9" s="883"/>
      <c r="K9" s="809">
        <v>5000</v>
      </c>
      <c r="L9" s="794" t="s">
        <v>927</v>
      </c>
      <c r="M9" s="810">
        <f>K9*10</f>
        <v>50000</v>
      </c>
      <c r="N9" s="811">
        <v>5000</v>
      </c>
      <c r="O9" s="769">
        <v>5000</v>
      </c>
      <c r="P9" s="769">
        <v>5000</v>
      </c>
      <c r="Q9" s="769">
        <v>5000</v>
      </c>
      <c r="R9" s="769">
        <v>5000</v>
      </c>
      <c r="S9" s="769">
        <v>5000</v>
      </c>
      <c r="T9" s="769">
        <v>5000</v>
      </c>
      <c r="U9" s="769">
        <v>5000</v>
      </c>
      <c r="V9" s="769">
        <v>5000</v>
      </c>
      <c r="W9" s="769">
        <v>5000</v>
      </c>
      <c r="X9" s="769">
        <v>5000</v>
      </c>
      <c r="Y9" s="884">
        <v>5000</v>
      </c>
      <c r="Z9" s="812">
        <f>SUM(N9:Y9)</f>
        <v>60000</v>
      </c>
    </row>
    <row r="10" spans="1:26" ht="24.75" customHeight="1">
      <c r="A10" s="797"/>
      <c r="B10" s="807"/>
      <c r="C10" s="813" t="s">
        <v>1291</v>
      </c>
      <c r="D10" s="800"/>
      <c r="E10" s="800"/>
      <c r="F10" s="800"/>
      <c r="G10" s="800"/>
      <c r="H10" s="800"/>
      <c r="I10" s="800"/>
      <c r="J10" s="883"/>
      <c r="K10" s="816">
        <v>10000</v>
      </c>
      <c r="L10" s="885" t="s">
        <v>927</v>
      </c>
      <c r="M10" s="810">
        <f>K10*10</f>
        <v>100000</v>
      </c>
      <c r="N10" s="769">
        <v>10000</v>
      </c>
      <c r="O10" s="769">
        <v>10000</v>
      </c>
      <c r="P10" s="769">
        <v>10000</v>
      </c>
      <c r="Q10" s="769">
        <v>10000</v>
      </c>
      <c r="R10" s="769">
        <v>10000</v>
      </c>
      <c r="S10" s="769">
        <v>10000</v>
      </c>
      <c r="T10" s="769">
        <v>10000</v>
      </c>
      <c r="U10" s="769">
        <v>10000</v>
      </c>
      <c r="V10" s="769">
        <v>10000</v>
      </c>
      <c r="W10" s="769">
        <v>10000</v>
      </c>
      <c r="X10" s="769">
        <v>10000</v>
      </c>
      <c r="Y10" s="886">
        <v>10000</v>
      </c>
      <c r="Z10" s="817">
        <f t="shared" ref="Z10:Z36" si="0">SUM(N10:Y10)</f>
        <v>120000</v>
      </c>
    </row>
    <row r="11" spans="1:26" ht="24.75" customHeight="1">
      <c r="A11" s="797"/>
      <c r="B11" s="807"/>
      <c r="C11" s="813" t="s">
        <v>1292</v>
      </c>
      <c r="D11" s="800"/>
      <c r="E11" s="800"/>
      <c r="F11" s="800"/>
      <c r="G11" s="800"/>
      <c r="H11" s="800"/>
      <c r="I11" s="800"/>
      <c r="J11" s="883"/>
      <c r="K11" s="816">
        <v>5000</v>
      </c>
      <c r="L11" s="885" t="s">
        <v>927</v>
      </c>
      <c r="M11" s="810">
        <f>K11*10</f>
        <v>50000</v>
      </c>
      <c r="N11" s="769">
        <v>5000</v>
      </c>
      <c r="O11" s="769">
        <v>5000</v>
      </c>
      <c r="P11" s="769">
        <v>5000</v>
      </c>
      <c r="Q11" s="769">
        <v>5000</v>
      </c>
      <c r="R11" s="769">
        <v>5000</v>
      </c>
      <c r="S11" s="769">
        <v>5000</v>
      </c>
      <c r="T11" s="769">
        <v>5000</v>
      </c>
      <c r="U11" s="769">
        <v>5000</v>
      </c>
      <c r="V11" s="769">
        <v>5000</v>
      </c>
      <c r="W11" s="769">
        <v>5000</v>
      </c>
      <c r="X11" s="769">
        <v>5000</v>
      </c>
      <c r="Y11" s="886">
        <v>5000</v>
      </c>
      <c r="Z11" s="817">
        <f t="shared" si="0"/>
        <v>60000</v>
      </c>
    </row>
    <row r="12" spans="1:26" ht="24.75" customHeight="1">
      <c r="A12" s="797"/>
      <c r="B12" s="807"/>
      <c r="C12" s="813" t="s">
        <v>1293</v>
      </c>
      <c r="D12" s="800"/>
      <c r="E12" s="800"/>
      <c r="F12" s="800"/>
      <c r="G12" s="800"/>
      <c r="H12" s="800"/>
      <c r="I12" s="800"/>
      <c r="J12" s="883"/>
      <c r="K12" s="816">
        <v>5000</v>
      </c>
      <c r="L12" s="885" t="s">
        <v>927</v>
      </c>
      <c r="M12" s="810">
        <f>K12*10</f>
        <v>50000</v>
      </c>
      <c r="N12" s="769">
        <v>5000</v>
      </c>
      <c r="O12" s="769">
        <v>5000</v>
      </c>
      <c r="P12" s="769">
        <v>5000</v>
      </c>
      <c r="Q12" s="769">
        <v>5000</v>
      </c>
      <c r="R12" s="769">
        <v>5000</v>
      </c>
      <c r="S12" s="769">
        <v>5000</v>
      </c>
      <c r="T12" s="769">
        <v>5000</v>
      </c>
      <c r="U12" s="769">
        <v>5000</v>
      </c>
      <c r="V12" s="769">
        <v>5000</v>
      </c>
      <c r="W12" s="769">
        <v>5000</v>
      </c>
      <c r="X12" s="769">
        <v>5000</v>
      </c>
      <c r="Y12" s="886">
        <v>5000</v>
      </c>
      <c r="Z12" s="817">
        <f t="shared" si="0"/>
        <v>60000</v>
      </c>
    </row>
    <row r="13" spans="1:26" ht="24.75" customHeight="1">
      <c r="A13" s="818"/>
      <c r="B13" s="887" t="s">
        <v>1294</v>
      </c>
      <c r="C13" s="819" t="s">
        <v>1295</v>
      </c>
      <c r="D13" s="820"/>
      <c r="E13" s="820"/>
      <c r="F13" s="820"/>
      <c r="G13" s="820"/>
      <c r="H13" s="820"/>
      <c r="I13" s="820"/>
      <c r="J13" s="888"/>
      <c r="K13" s="889"/>
      <c r="L13" s="818"/>
      <c r="M13" s="818"/>
      <c r="Z13" s="817">
        <f t="shared" si="0"/>
        <v>0</v>
      </c>
    </row>
    <row r="14" spans="1:26" ht="24.75" customHeight="1">
      <c r="A14" s="797"/>
      <c r="B14" s="798"/>
      <c r="C14" s="813" t="s">
        <v>1296</v>
      </c>
      <c r="D14" s="800"/>
      <c r="E14" s="800"/>
      <c r="F14" s="800"/>
      <c r="G14" s="800"/>
      <c r="H14" s="800"/>
      <c r="I14" s="800"/>
      <c r="J14" s="883"/>
      <c r="K14" s="816">
        <v>30000</v>
      </c>
      <c r="L14" s="889" t="s">
        <v>793</v>
      </c>
      <c r="M14" s="890">
        <f>K14</f>
        <v>30000</v>
      </c>
      <c r="N14" s="769">
        <v>30000</v>
      </c>
      <c r="Z14" s="817">
        <f t="shared" si="0"/>
        <v>30000</v>
      </c>
    </row>
    <row r="15" spans="1:26" ht="24.75" customHeight="1">
      <c r="A15" s="797"/>
      <c r="B15" s="798"/>
      <c r="C15" s="813" t="s">
        <v>1297</v>
      </c>
      <c r="D15" s="800"/>
      <c r="E15" s="800"/>
      <c r="F15" s="800"/>
      <c r="G15" s="800"/>
      <c r="H15" s="800"/>
      <c r="I15" s="800"/>
      <c r="J15" s="883"/>
      <c r="K15" s="816">
        <v>100000</v>
      </c>
      <c r="L15" s="889" t="s">
        <v>793</v>
      </c>
      <c r="M15" s="890">
        <f>K15</f>
        <v>100000</v>
      </c>
      <c r="N15" s="769">
        <v>100000</v>
      </c>
      <c r="Z15" s="817">
        <f t="shared" si="0"/>
        <v>100000</v>
      </c>
    </row>
    <row r="16" spans="1:26" ht="24.75" customHeight="1">
      <c r="A16" s="797"/>
      <c r="B16" s="807"/>
      <c r="C16" s="813" t="s">
        <v>1298</v>
      </c>
      <c r="D16" s="800"/>
      <c r="E16" s="800"/>
      <c r="F16" s="800"/>
      <c r="G16" s="800"/>
      <c r="H16" s="800"/>
      <c r="I16" s="800"/>
      <c r="J16" s="883"/>
      <c r="K16" s="816">
        <v>19000</v>
      </c>
      <c r="L16" s="889" t="s">
        <v>793</v>
      </c>
      <c r="M16" s="890">
        <f t="shared" ref="M16:M17" si="1">K16</f>
        <v>19000</v>
      </c>
      <c r="N16" s="769">
        <v>19000</v>
      </c>
      <c r="Z16" s="817">
        <f t="shared" si="0"/>
        <v>19000</v>
      </c>
    </row>
    <row r="17" spans="1:26" ht="24.75" customHeight="1">
      <c r="A17" s="822"/>
      <c r="B17" s="823"/>
      <c r="C17" s="824" t="s">
        <v>1299</v>
      </c>
      <c r="D17" s="825"/>
      <c r="E17" s="825"/>
      <c r="F17" s="825"/>
      <c r="G17" s="825"/>
      <c r="H17" s="825"/>
      <c r="I17" s="825"/>
      <c r="J17" s="891"/>
      <c r="K17" s="826">
        <v>0</v>
      </c>
      <c r="L17" s="892" t="s">
        <v>793</v>
      </c>
      <c r="M17" s="827">
        <f t="shared" si="1"/>
        <v>0</v>
      </c>
      <c r="Z17" s="817">
        <f t="shared" si="0"/>
        <v>0</v>
      </c>
    </row>
    <row r="18" spans="1:26" ht="24.75" customHeight="1">
      <c r="A18" s="880"/>
      <c r="B18" s="893" t="s">
        <v>1300</v>
      </c>
      <c r="C18" s="894"/>
      <c r="D18" s="894"/>
      <c r="E18" s="894"/>
      <c r="F18" s="894"/>
      <c r="G18" s="894"/>
      <c r="H18" s="894"/>
      <c r="I18" s="894"/>
      <c r="J18" s="895"/>
      <c r="K18" s="882" t="s">
        <v>464</v>
      </c>
      <c r="L18" s="792" t="s">
        <v>184</v>
      </c>
      <c r="M18" s="792" t="s">
        <v>222</v>
      </c>
      <c r="Z18" s="817">
        <f t="shared" si="0"/>
        <v>0</v>
      </c>
    </row>
    <row r="19" spans="1:26" ht="24.75" customHeight="1">
      <c r="A19" s="797"/>
      <c r="B19" s="798" t="s">
        <v>1301</v>
      </c>
      <c r="C19" s="799" t="s">
        <v>1365</v>
      </c>
      <c r="D19" s="800"/>
      <c r="E19" s="800"/>
      <c r="F19" s="800"/>
      <c r="G19" s="800"/>
      <c r="H19" s="800"/>
      <c r="I19" s="800"/>
      <c r="J19" s="883"/>
      <c r="K19" s="803" t="s">
        <v>327</v>
      </c>
      <c r="L19" s="822"/>
      <c r="M19" s="801" t="s">
        <v>327</v>
      </c>
      <c r="Z19" s="817">
        <f t="shared" si="0"/>
        <v>0</v>
      </c>
    </row>
    <row r="20" spans="1:26" ht="24.75" customHeight="1">
      <c r="A20" s="797"/>
      <c r="B20" s="807"/>
      <c r="C20" s="813" t="s">
        <v>1302</v>
      </c>
      <c r="D20" s="800"/>
      <c r="E20" s="800"/>
      <c r="F20" s="800"/>
      <c r="G20" s="800"/>
      <c r="H20" s="800"/>
      <c r="I20" s="800"/>
      <c r="J20" s="883" t="s">
        <v>1303</v>
      </c>
      <c r="K20" s="809">
        <f>2*960</f>
        <v>1920</v>
      </c>
      <c r="L20" s="896" t="s">
        <v>927</v>
      </c>
      <c r="M20" s="810">
        <f t="shared" ref="M20:M26" si="2">K20*10</f>
        <v>19200</v>
      </c>
      <c r="N20" s="769">
        <v>1920</v>
      </c>
      <c r="O20" s="769">
        <v>1920</v>
      </c>
      <c r="P20" s="769">
        <v>1920</v>
      </c>
      <c r="Q20" s="769">
        <v>1920</v>
      </c>
      <c r="R20" s="769">
        <v>1920</v>
      </c>
      <c r="S20" s="769">
        <v>1920</v>
      </c>
      <c r="T20" s="769">
        <v>1920</v>
      </c>
      <c r="U20" s="769">
        <v>1920</v>
      </c>
      <c r="V20" s="769">
        <v>1920</v>
      </c>
      <c r="W20" s="769">
        <v>1900</v>
      </c>
      <c r="X20" s="769">
        <v>1900</v>
      </c>
      <c r="Y20" s="769">
        <v>1900</v>
      </c>
      <c r="Z20" s="817">
        <f t="shared" si="0"/>
        <v>22980</v>
      </c>
    </row>
    <row r="21" spans="1:26" ht="24.75" customHeight="1">
      <c r="A21" s="797"/>
      <c r="B21" s="807"/>
      <c r="C21" s="813" t="s">
        <v>1304</v>
      </c>
      <c r="D21" s="800"/>
      <c r="E21" s="800"/>
      <c r="F21" s="800"/>
      <c r="G21" s="800"/>
      <c r="H21" s="800"/>
      <c r="I21" s="800"/>
      <c r="J21" s="883" t="s">
        <v>1305</v>
      </c>
      <c r="K21" s="816">
        <v>1230</v>
      </c>
      <c r="L21" s="897" t="s">
        <v>927</v>
      </c>
      <c r="M21" s="810">
        <f t="shared" si="2"/>
        <v>12300</v>
      </c>
      <c r="N21" s="769">
        <v>1230</v>
      </c>
      <c r="O21" s="769">
        <v>1230</v>
      </c>
      <c r="P21" s="769">
        <v>1230</v>
      </c>
      <c r="Q21" s="769">
        <v>1230</v>
      </c>
      <c r="R21" s="769">
        <v>1230</v>
      </c>
      <c r="S21" s="769">
        <v>1230</v>
      </c>
      <c r="T21" s="769">
        <v>1230</v>
      </c>
      <c r="U21" s="769">
        <v>1230</v>
      </c>
      <c r="V21" s="769">
        <v>1230</v>
      </c>
      <c r="W21" s="769">
        <v>1200</v>
      </c>
      <c r="X21" s="769">
        <v>1200</v>
      </c>
      <c r="Y21" s="769">
        <v>1200</v>
      </c>
      <c r="Z21" s="817">
        <f t="shared" si="0"/>
        <v>14670</v>
      </c>
    </row>
    <row r="22" spans="1:26" ht="24.75" customHeight="1">
      <c r="A22" s="797"/>
      <c r="B22" s="807"/>
      <c r="C22" s="813" t="s">
        <v>1306</v>
      </c>
      <c r="D22" s="800"/>
      <c r="E22" s="800"/>
      <c r="F22" s="800"/>
      <c r="G22" s="800"/>
      <c r="H22" s="800"/>
      <c r="I22" s="800"/>
      <c r="J22" s="883" t="s">
        <v>1307</v>
      </c>
      <c r="K22" s="816">
        <v>1080</v>
      </c>
      <c r="L22" s="897" t="s">
        <v>927</v>
      </c>
      <c r="M22" s="810">
        <f t="shared" si="2"/>
        <v>10800</v>
      </c>
      <c r="N22" s="769">
        <v>1080</v>
      </c>
      <c r="O22" s="769">
        <v>1080</v>
      </c>
      <c r="P22" s="769">
        <v>1080</v>
      </c>
      <c r="Q22" s="769">
        <v>1080</v>
      </c>
      <c r="R22" s="769">
        <v>1080</v>
      </c>
      <c r="S22" s="769">
        <v>1080</v>
      </c>
      <c r="T22" s="769">
        <v>1080</v>
      </c>
      <c r="U22" s="769">
        <v>1080</v>
      </c>
      <c r="V22" s="769">
        <v>1080</v>
      </c>
      <c r="W22" s="769">
        <v>1080</v>
      </c>
      <c r="X22" s="769">
        <v>1000</v>
      </c>
      <c r="Y22" s="769">
        <v>1000</v>
      </c>
      <c r="Z22" s="817">
        <f t="shared" si="0"/>
        <v>12800</v>
      </c>
    </row>
    <row r="23" spans="1:26" ht="24.75" customHeight="1">
      <c r="A23" s="797"/>
      <c r="B23" s="807"/>
      <c r="C23" s="813" t="s">
        <v>1308</v>
      </c>
      <c r="D23" s="800"/>
      <c r="E23" s="800"/>
      <c r="F23" s="800"/>
      <c r="G23" s="800"/>
      <c r="H23" s="800"/>
      <c r="I23" s="800"/>
      <c r="J23" s="883" t="s">
        <v>1307</v>
      </c>
      <c r="K23" s="816">
        <v>320</v>
      </c>
      <c r="L23" s="897" t="s">
        <v>927</v>
      </c>
      <c r="M23" s="810">
        <f t="shared" si="2"/>
        <v>3200</v>
      </c>
      <c r="N23" s="769">
        <v>320</v>
      </c>
      <c r="O23" s="769">
        <v>320</v>
      </c>
      <c r="P23" s="769">
        <v>320</v>
      </c>
      <c r="Q23" s="769">
        <v>320</v>
      </c>
      <c r="R23" s="769">
        <v>320</v>
      </c>
      <c r="S23" s="769">
        <v>320</v>
      </c>
      <c r="T23" s="769">
        <v>320</v>
      </c>
      <c r="U23" s="769">
        <v>320</v>
      </c>
      <c r="V23" s="769">
        <v>320</v>
      </c>
      <c r="W23" s="769">
        <v>300</v>
      </c>
      <c r="X23" s="769">
        <v>300</v>
      </c>
      <c r="Y23" s="769">
        <v>300</v>
      </c>
      <c r="Z23" s="817">
        <f t="shared" si="0"/>
        <v>3780</v>
      </c>
    </row>
    <row r="24" spans="1:26" ht="24.75" customHeight="1">
      <c r="A24" s="797"/>
      <c r="B24" s="807"/>
      <c r="C24" s="813" t="s">
        <v>1309</v>
      </c>
      <c r="D24" s="800"/>
      <c r="E24" s="800"/>
      <c r="F24" s="800"/>
      <c r="G24" s="800"/>
      <c r="H24" s="800"/>
      <c r="I24" s="800"/>
      <c r="J24" s="883" t="s">
        <v>1310</v>
      </c>
      <c r="K24" s="816">
        <f>2*330</f>
        <v>660</v>
      </c>
      <c r="L24" s="897" t="s">
        <v>927</v>
      </c>
      <c r="M24" s="810">
        <f t="shared" si="2"/>
        <v>6600</v>
      </c>
      <c r="N24" s="769">
        <v>660</v>
      </c>
      <c r="O24" s="769">
        <v>660</v>
      </c>
      <c r="P24" s="769">
        <v>660</v>
      </c>
      <c r="Q24" s="769">
        <v>660</v>
      </c>
      <c r="R24" s="769">
        <v>660</v>
      </c>
      <c r="S24" s="769">
        <v>660</v>
      </c>
      <c r="T24" s="769">
        <v>660</v>
      </c>
      <c r="U24" s="769">
        <v>660</v>
      </c>
      <c r="V24" s="769">
        <v>660</v>
      </c>
      <c r="W24" s="769">
        <v>630</v>
      </c>
      <c r="X24" s="769">
        <v>600</v>
      </c>
      <c r="Y24" s="769">
        <v>600</v>
      </c>
      <c r="Z24" s="817">
        <f t="shared" si="0"/>
        <v>7770</v>
      </c>
    </row>
    <row r="25" spans="1:26" ht="24.75" customHeight="1">
      <c r="A25" s="797"/>
      <c r="B25" s="807"/>
      <c r="C25" s="813" t="s">
        <v>1311</v>
      </c>
      <c r="D25" s="800"/>
      <c r="E25" s="800"/>
      <c r="F25" s="800"/>
      <c r="G25" s="800"/>
      <c r="H25" s="800"/>
      <c r="I25" s="800"/>
      <c r="J25" s="883" t="s">
        <v>1305</v>
      </c>
      <c r="K25" s="816">
        <v>1500</v>
      </c>
      <c r="L25" s="897" t="s">
        <v>927</v>
      </c>
      <c r="M25" s="810">
        <f t="shared" si="2"/>
        <v>15000</v>
      </c>
      <c r="N25" s="769">
        <v>1500</v>
      </c>
      <c r="O25" s="769">
        <v>1500</v>
      </c>
      <c r="P25" s="769">
        <v>1500</v>
      </c>
      <c r="Q25" s="769">
        <v>1500</v>
      </c>
      <c r="R25" s="769">
        <v>1500</v>
      </c>
      <c r="S25" s="769">
        <v>1500</v>
      </c>
      <c r="T25" s="769">
        <v>1500</v>
      </c>
      <c r="U25" s="769">
        <v>1500</v>
      </c>
      <c r="V25" s="769">
        <v>1500</v>
      </c>
      <c r="W25" s="769">
        <v>1500</v>
      </c>
      <c r="X25" s="769">
        <v>1500</v>
      </c>
      <c r="Y25" s="769">
        <v>1500</v>
      </c>
      <c r="Z25" s="817">
        <f t="shared" si="0"/>
        <v>18000</v>
      </c>
    </row>
    <row r="26" spans="1:26" ht="24.75" customHeight="1">
      <c r="A26" s="797"/>
      <c r="B26" s="807"/>
      <c r="C26" s="813" t="s">
        <v>1312</v>
      </c>
      <c r="D26" s="800"/>
      <c r="E26" s="800"/>
      <c r="F26" s="800"/>
      <c r="G26" s="800"/>
      <c r="H26" s="800"/>
      <c r="I26" s="800"/>
      <c r="J26" s="883" t="s">
        <v>1305</v>
      </c>
      <c r="K26" s="816">
        <v>500</v>
      </c>
      <c r="L26" s="897" t="s">
        <v>927</v>
      </c>
      <c r="M26" s="810">
        <f t="shared" si="2"/>
        <v>5000</v>
      </c>
      <c r="Z26" s="817">
        <f t="shared" si="0"/>
        <v>0</v>
      </c>
    </row>
    <row r="27" spans="1:26" ht="24.75" customHeight="1">
      <c r="A27" s="797"/>
      <c r="B27" s="807"/>
      <c r="C27" s="800" t="s">
        <v>1313</v>
      </c>
      <c r="D27" s="800"/>
      <c r="E27" s="800"/>
      <c r="F27" s="800"/>
      <c r="G27" s="800"/>
      <c r="H27" s="800"/>
      <c r="I27" s="800"/>
      <c r="J27" s="883"/>
      <c r="K27" s="816"/>
      <c r="L27" s="897"/>
      <c r="M27" s="797"/>
      <c r="Z27" s="817">
        <f t="shared" si="0"/>
        <v>0</v>
      </c>
    </row>
    <row r="28" spans="1:26" ht="24.75" customHeight="1">
      <c r="A28" s="797"/>
      <c r="B28" s="807"/>
      <c r="C28" s="800" t="s">
        <v>1314</v>
      </c>
      <c r="D28" s="800"/>
      <c r="E28" s="800"/>
      <c r="F28" s="800"/>
      <c r="G28" s="800"/>
      <c r="H28" s="800"/>
      <c r="I28" s="800"/>
      <c r="J28" s="883"/>
      <c r="K28" s="816"/>
      <c r="L28" s="897"/>
      <c r="M28" s="797"/>
      <c r="Z28" s="817">
        <f t="shared" si="0"/>
        <v>0</v>
      </c>
    </row>
    <row r="29" spans="1:26" ht="24.75" customHeight="1">
      <c r="A29" s="797"/>
      <c r="B29" s="798" t="s">
        <v>1315</v>
      </c>
      <c r="C29" s="799" t="s">
        <v>1295</v>
      </c>
      <c r="D29" s="800"/>
      <c r="E29" s="800" t="s">
        <v>1316</v>
      </c>
      <c r="F29" s="800"/>
      <c r="G29" s="800"/>
      <c r="H29" s="800"/>
      <c r="I29" s="800"/>
      <c r="J29" s="883"/>
      <c r="K29" s="816"/>
      <c r="L29" s="897"/>
      <c r="M29" s="797"/>
      <c r="Z29" s="817">
        <f t="shared" si="0"/>
        <v>0</v>
      </c>
    </row>
    <row r="30" spans="1:26" ht="24.75" customHeight="1">
      <c r="A30" s="797"/>
      <c r="B30" s="807"/>
      <c r="C30" s="813" t="s">
        <v>1317</v>
      </c>
      <c r="D30" s="800"/>
      <c r="E30" s="800"/>
      <c r="F30" s="800"/>
      <c r="G30" s="800"/>
      <c r="H30" s="800"/>
      <c r="I30" s="800"/>
      <c r="J30" s="883" t="s">
        <v>1303</v>
      </c>
      <c r="K30" s="816">
        <v>5500</v>
      </c>
      <c r="L30" s="897" t="s">
        <v>1240</v>
      </c>
      <c r="M30" s="890">
        <f>K30*2</f>
        <v>11000</v>
      </c>
      <c r="N30" s="769">
        <v>11000</v>
      </c>
      <c r="Z30" s="817">
        <f t="shared" si="0"/>
        <v>11000</v>
      </c>
    </row>
    <row r="31" spans="1:26" ht="24.75" customHeight="1">
      <c r="A31" s="797"/>
      <c r="B31" s="807"/>
      <c r="C31" s="813" t="s">
        <v>1318</v>
      </c>
      <c r="D31" s="800"/>
      <c r="E31" s="800"/>
      <c r="F31" s="800"/>
      <c r="G31" s="800"/>
      <c r="H31" s="800"/>
      <c r="I31" s="800"/>
      <c r="J31" s="883" t="s">
        <v>1303</v>
      </c>
      <c r="K31" s="816">
        <v>5300</v>
      </c>
      <c r="L31" s="897" t="s">
        <v>1240</v>
      </c>
      <c r="M31" s="890">
        <f>K31*2</f>
        <v>10600</v>
      </c>
      <c r="N31" s="769">
        <v>10600</v>
      </c>
      <c r="Z31" s="817">
        <f t="shared" si="0"/>
        <v>10600</v>
      </c>
    </row>
    <row r="32" spans="1:26" ht="24.75" customHeight="1">
      <c r="A32" s="797"/>
      <c r="B32" s="807"/>
      <c r="C32" s="813" t="s">
        <v>1319</v>
      </c>
      <c r="D32" s="800"/>
      <c r="E32" s="800"/>
      <c r="F32" s="800"/>
      <c r="G32" s="800"/>
      <c r="H32" s="800"/>
      <c r="I32" s="800"/>
      <c r="J32" s="883" t="s">
        <v>1320</v>
      </c>
      <c r="K32" s="816">
        <v>1250</v>
      </c>
      <c r="L32" s="897" t="s">
        <v>1321</v>
      </c>
      <c r="M32" s="890">
        <f>K32*4</f>
        <v>5000</v>
      </c>
      <c r="N32" s="769">
        <v>5000</v>
      </c>
      <c r="Z32" s="817">
        <f t="shared" si="0"/>
        <v>5000</v>
      </c>
    </row>
    <row r="33" spans="1:26" ht="24.75" customHeight="1">
      <c r="A33" s="797"/>
      <c r="B33" s="807"/>
      <c r="C33" s="813" t="s">
        <v>1322</v>
      </c>
      <c r="D33" s="800"/>
      <c r="E33" s="800"/>
      <c r="F33" s="800"/>
      <c r="G33" s="800"/>
      <c r="H33" s="800"/>
      <c r="I33" s="800"/>
      <c r="J33" s="883" t="s">
        <v>1323</v>
      </c>
      <c r="K33" s="816">
        <v>325</v>
      </c>
      <c r="L33" s="897" t="s">
        <v>1321</v>
      </c>
      <c r="M33" s="890">
        <f>K33*16</f>
        <v>5200</v>
      </c>
      <c r="N33" s="769">
        <v>5200</v>
      </c>
      <c r="Z33" s="817">
        <f t="shared" si="0"/>
        <v>5200</v>
      </c>
    </row>
    <row r="34" spans="1:26" ht="24.75" customHeight="1">
      <c r="A34" s="797"/>
      <c r="B34" s="807"/>
      <c r="C34" s="813" t="s">
        <v>1324</v>
      </c>
      <c r="D34" s="800"/>
      <c r="E34" s="800"/>
      <c r="F34" s="800"/>
      <c r="G34" s="800"/>
      <c r="H34" s="800"/>
      <c r="I34" s="800"/>
      <c r="J34" s="883" t="s">
        <v>1325</v>
      </c>
      <c r="K34" s="816">
        <v>750</v>
      </c>
      <c r="L34" s="897" t="s">
        <v>1326</v>
      </c>
      <c r="M34" s="890">
        <f>K34*2</f>
        <v>1500</v>
      </c>
      <c r="N34" s="769">
        <v>1500</v>
      </c>
      <c r="Z34" s="817">
        <f t="shared" si="0"/>
        <v>1500</v>
      </c>
    </row>
    <row r="35" spans="1:26" ht="24.75" customHeight="1">
      <c r="A35" s="797"/>
      <c r="B35" s="807"/>
      <c r="C35" s="813" t="s">
        <v>1327</v>
      </c>
      <c r="D35" s="800"/>
      <c r="E35" s="800"/>
      <c r="F35" s="800"/>
      <c r="G35" s="800"/>
      <c r="H35" s="800"/>
      <c r="I35" s="800"/>
      <c r="J35" s="883" t="s">
        <v>1328</v>
      </c>
      <c r="K35" s="816">
        <v>600</v>
      </c>
      <c r="L35" s="897" t="s">
        <v>1329</v>
      </c>
      <c r="M35" s="890">
        <f>K35*2</f>
        <v>1200</v>
      </c>
      <c r="N35" s="769">
        <v>1200</v>
      </c>
      <c r="Z35" s="817">
        <f t="shared" si="0"/>
        <v>1200</v>
      </c>
    </row>
    <row r="36" spans="1:26" ht="24.75" customHeight="1">
      <c r="A36" s="822"/>
      <c r="B36" s="823"/>
      <c r="C36" s="824" t="s">
        <v>1330</v>
      </c>
      <c r="D36" s="825"/>
      <c r="E36" s="825"/>
      <c r="F36" s="825"/>
      <c r="G36" s="825"/>
      <c r="H36" s="825"/>
      <c r="I36" s="825"/>
      <c r="J36" s="891" t="s">
        <v>1305</v>
      </c>
      <c r="K36" s="826">
        <v>1500</v>
      </c>
      <c r="L36" s="898" t="s">
        <v>1240</v>
      </c>
      <c r="M36" s="827">
        <f t="shared" ref="M36" si="3">K36</f>
        <v>1500</v>
      </c>
      <c r="N36" s="769">
        <v>1500</v>
      </c>
      <c r="Z36" s="817">
        <f t="shared" si="0"/>
        <v>1500</v>
      </c>
    </row>
    <row r="37" spans="1:26" ht="24.75" customHeight="1">
      <c r="A37" s="806"/>
      <c r="B37" s="2540" t="s">
        <v>1364</v>
      </c>
      <c r="C37" s="2541"/>
      <c r="D37" s="2541"/>
      <c r="E37" s="2541"/>
      <c r="F37" s="2541"/>
      <c r="G37" s="2541"/>
      <c r="H37" s="2541"/>
      <c r="I37" s="2541"/>
      <c r="J37" s="2541"/>
      <c r="K37" s="2541"/>
      <c r="L37" s="2542"/>
      <c r="M37" s="899">
        <f>SUM(M9:M36)</f>
        <v>507100</v>
      </c>
      <c r="N37" s="773">
        <v>1</v>
      </c>
      <c r="O37" s="773">
        <v>2</v>
      </c>
      <c r="P37" s="773">
        <v>3</v>
      </c>
      <c r="Q37" s="773">
        <v>4</v>
      </c>
      <c r="R37" s="773">
        <v>5</v>
      </c>
      <c r="S37" s="773">
        <v>6</v>
      </c>
      <c r="T37" s="773">
        <v>7</v>
      </c>
      <c r="U37" s="773">
        <v>8</v>
      </c>
      <c r="V37" s="773">
        <v>9</v>
      </c>
      <c r="W37" s="773">
        <v>10</v>
      </c>
      <c r="X37" s="773">
        <v>11</v>
      </c>
      <c r="Y37" s="773">
        <v>12</v>
      </c>
    </row>
    <row r="38" spans="1:26" ht="24.75" customHeight="1">
      <c r="A38" s="806"/>
      <c r="B38" s="2543" t="s">
        <v>1124</v>
      </c>
      <c r="C38" s="2544"/>
      <c r="D38" s="2544"/>
      <c r="E38" s="2544"/>
      <c r="F38" s="2544"/>
      <c r="G38" s="2544"/>
      <c r="H38" s="2544"/>
      <c r="I38" s="2544"/>
      <c r="J38" s="2544"/>
      <c r="K38" s="2544"/>
      <c r="L38" s="2545"/>
      <c r="M38" s="868">
        <f>IF(M37&lt;10000000,ROUNDDOWN(M37,-3),ROUNDDOWN(M37,-3))</f>
        <v>507000</v>
      </c>
      <c r="N38" s="870">
        <f>SUM(N9:N36)</f>
        <v>216710</v>
      </c>
      <c r="O38" s="870">
        <f t="shared" ref="O38:Y38" si="4">SUM(O9:O36)</f>
        <v>31710</v>
      </c>
      <c r="P38" s="870">
        <f t="shared" si="4"/>
        <v>31710</v>
      </c>
      <c r="Q38" s="870">
        <f t="shared" si="4"/>
        <v>31710</v>
      </c>
      <c r="R38" s="870">
        <f t="shared" si="4"/>
        <v>31710</v>
      </c>
      <c r="S38" s="870">
        <f t="shared" si="4"/>
        <v>31710</v>
      </c>
      <c r="T38" s="870">
        <f t="shared" si="4"/>
        <v>31710</v>
      </c>
      <c r="U38" s="870">
        <f t="shared" si="4"/>
        <v>31710</v>
      </c>
      <c r="V38" s="870">
        <f t="shared" si="4"/>
        <v>31710</v>
      </c>
      <c r="W38" s="870">
        <f t="shared" si="4"/>
        <v>31610</v>
      </c>
      <c r="X38" s="870">
        <f t="shared" si="4"/>
        <v>31500</v>
      </c>
      <c r="Y38" s="870">
        <f t="shared" si="4"/>
        <v>31500</v>
      </c>
      <c r="Z38" s="900">
        <f>SUM(Z9:Z36)</f>
        <v>565000</v>
      </c>
    </row>
    <row r="39" spans="1:26" ht="24.75" customHeight="1">
      <c r="B39" s="872"/>
      <c r="C39" s="872"/>
      <c r="D39" s="872"/>
      <c r="E39" s="872"/>
      <c r="F39" s="872"/>
      <c r="G39" s="872"/>
      <c r="H39" s="872"/>
      <c r="I39" s="872"/>
      <c r="J39" s="872"/>
      <c r="K39" s="872"/>
      <c r="L39" s="872"/>
      <c r="M39" s="874"/>
      <c r="Z39" s="875">
        <f>N38+O38+P38+Q38+R38+S38+T38+U38+V38+W38+X38+Y38</f>
        <v>565000</v>
      </c>
    </row>
    <row r="40" spans="1:26" ht="24.75" customHeight="1">
      <c r="B40" s="872"/>
      <c r="C40" s="872"/>
      <c r="D40" s="872"/>
      <c r="E40" s="872"/>
      <c r="F40" s="872"/>
      <c r="G40" s="872"/>
      <c r="H40" s="872"/>
      <c r="I40" s="872"/>
      <c r="J40" s="872"/>
      <c r="K40" s="872"/>
      <c r="L40" s="872"/>
      <c r="M40" s="874"/>
    </row>
    <row r="41" spans="1:26" ht="24.75" customHeight="1">
      <c r="B41" s="872"/>
      <c r="C41" s="872"/>
      <c r="D41" s="872"/>
      <c r="E41" s="872"/>
      <c r="F41" s="872"/>
      <c r="G41" s="872"/>
      <c r="H41" s="872"/>
      <c r="I41" s="872"/>
      <c r="J41" s="872"/>
      <c r="K41" s="872"/>
      <c r="L41" s="872"/>
      <c r="M41" s="874"/>
    </row>
    <row r="42" spans="1:26" ht="24.75" customHeight="1">
      <c r="B42" s="872"/>
      <c r="C42" s="872"/>
      <c r="D42" s="872"/>
      <c r="E42" s="872"/>
      <c r="F42" s="872"/>
      <c r="G42" s="872"/>
      <c r="H42" s="872"/>
      <c r="I42" s="872"/>
      <c r="J42" s="872"/>
      <c r="K42" s="872"/>
      <c r="L42" s="872"/>
      <c r="M42" s="874"/>
    </row>
    <row r="43" spans="1:26" ht="24.75" customHeight="1">
      <c r="B43" s="872"/>
      <c r="C43" s="872"/>
      <c r="D43" s="872"/>
      <c r="E43" s="872"/>
      <c r="F43" s="872"/>
      <c r="G43" s="872"/>
      <c r="H43" s="872"/>
      <c r="I43" s="872"/>
      <c r="J43" s="872"/>
      <c r="K43" s="872"/>
      <c r="L43" s="872"/>
      <c r="M43" s="874"/>
    </row>
    <row r="44" spans="1:26" ht="24.75" customHeight="1">
      <c r="B44" s="872"/>
      <c r="C44" s="872"/>
      <c r="D44" s="872"/>
      <c r="E44" s="872"/>
      <c r="F44" s="872"/>
      <c r="G44" s="872"/>
      <c r="H44" s="872"/>
      <c r="I44" s="872"/>
      <c r="J44" s="872"/>
      <c r="K44" s="872"/>
      <c r="L44" s="872"/>
      <c r="M44" s="874"/>
    </row>
    <row r="45" spans="1:26" ht="24.75" customHeight="1">
      <c r="B45" s="872"/>
      <c r="C45" s="872"/>
      <c r="D45" s="872"/>
      <c r="E45" s="872"/>
      <c r="F45" s="872"/>
      <c r="G45" s="872"/>
      <c r="H45" s="872"/>
      <c r="I45" s="872"/>
      <c r="J45" s="872"/>
      <c r="K45" s="872"/>
      <c r="L45" s="872"/>
      <c r="M45" s="874"/>
    </row>
    <row r="46" spans="1:26" ht="24.75" customHeight="1">
      <c r="B46" s="872"/>
      <c r="C46" s="872"/>
      <c r="D46" s="872"/>
      <c r="E46" s="872"/>
      <c r="F46" s="872"/>
      <c r="G46" s="872"/>
      <c r="H46" s="872"/>
      <c r="I46" s="872"/>
      <c r="J46" s="872"/>
      <c r="K46" s="872"/>
      <c r="L46" s="872"/>
      <c r="M46" s="874"/>
    </row>
    <row r="47" spans="1:26" ht="24.75" customHeight="1">
      <c r="B47" s="872"/>
      <c r="C47" s="872"/>
      <c r="D47" s="872"/>
      <c r="E47" s="872"/>
      <c r="F47" s="872"/>
      <c r="G47" s="872"/>
      <c r="H47" s="872"/>
      <c r="I47" s="872"/>
      <c r="J47" s="872"/>
      <c r="K47" s="872"/>
      <c r="L47" s="872"/>
      <c r="M47" s="874"/>
    </row>
    <row r="48" spans="1:26" ht="24.75" customHeight="1">
      <c r="B48" s="872"/>
      <c r="C48" s="872"/>
      <c r="D48" s="872"/>
      <c r="E48" s="872"/>
      <c r="F48" s="872"/>
      <c r="G48" s="872"/>
      <c r="H48" s="872"/>
      <c r="I48" s="872"/>
      <c r="J48" s="872"/>
      <c r="K48" s="872"/>
      <c r="L48" s="872"/>
      <c r="M48" s="874"/>
    </row>
    <row r="49" spans="2:13" ht="24.75" customHeight="1">
      <c r="B49" s="872"/>
      <c r="C49" s="872"/>
      <c r="D49" s="872"/>
      <c r="E49" s="872"/>
      <c r="F49" s="872"/>
      <c r="G49" s="872"/>
      <c r="H49" s="872"/>
      <c r="I49" s="872"/>
      <c r="J49" s="872"/>
      <c r="K49" s="872"/>
      <c r="L49" s="872"/>
      <c r="M49" s="874"/>
    </row>
    <row r="50" spans="2:13" ht="24.75" customHeight="1">
      <c r="B50" s="872"/>
      <c r="C50" s="872"/>
      <c r="D50" s="872"/>
      <c r="E50" s="872"/>
      <c r="F50" s="872"/>
      <c r="G50" s="872"/>
      <c r="H50" s="872"/>
      <c r="I50" s="872"/>
      <c r="J50" s="872"/>
      <c r="K50" s="872"/>
      <c r="L50" s="872"/>
      <c r="M50" s="874"/>
    </row>
    <row r="51" spans="2:13" ht="24.75" customHeight="1">
      <c r="B51" s="872"/>
      <c r="C51" s="872"/>
      <c r="D51" s="872"/>
      <c r="E51" s="872"/>
      <c r="F51" s="872"/>
      <c r="G51" s="872"/>
      <c r="H51" s="872"/>
      <c r="I51" s="872"/>
      <c r="J51" s="872"/>
      <c r="K51" s="872"/>
      <c r="L51" s="872"/>
      <c r="M51" s="874"/>
    </row>
    <row r="52" spans="2:13" ht="24.75" customHeight="1">
      <c r="B52" s="872"/>
      <c r="C52" s="872"/>
      <c r="D52" s="872"/>
      <c r="E52" s="872"/>
      <c r="F52" s="872"/>
      <c r="G52" s="872"/>
      <c r="H52" s="872"/>
      <c r="I52" s="872"/>
      <c r="J52" s="872"/>
      <c r="K52" s="872"/>
      <c r="L52" s="872"/>
      <c r="M52" s="874"/>
    </row>
  </sheetData>
  <mergeCells count="4">
    <mergeCell ref="N7:Y7"/>
    <mergeCell ref="Z7:Z8"/>
    <mergeCell ref="B37:L37"/>
    <mergeCell ref="B38:L38"/>
  </mergeCells>
  <pageMargins left="0.39370078740157483" right="0.19685039370078741" top="0.74803149606299213" bottom="0.74803149606299213" header="0.31496062992125984" footer="0.31496062992125984"/>
  <pageSetup paperSize="9" scale="6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9">
    <tabColor rgb="FF7030A0"/>
  </sheetPr>
  <dimension ref="A1:Z17"/>
  <sheetViews>
    <sheetView showGridLines="0" view="pageBreakPreview" zoomScale="60" zoomScaleNormal="75" workbookViewId="0">
      <selection activeCell="J6" sqref="J6"/>
    </sheetView>
  </sheetViews>
  <sheetFormatPr defaultColWidth="9.33203125" defaultRowHeight="24.75" customHeight="1"/>
  <cols>
    <col min="1" max="1" width="7.1640625" style="769" customWidth="1"/>
    <col min="2" max="2" width="7.33203125" style="769" customWidth="1"/>
    <col min="3" max="3" width="10.6640625" style="769" customWidth="1"/>
    <col min="4" max="4" width="17.83203125" style="769" customWidth="1"/>
    <col min="5" max="8" width="9.33203125" style="769"/>
    <col min="9" max="9" width="27" style="769" customWidth="1"/>
    <col min="10" max="10" width="19.5" style="769" customWidth="1"/>
    <col min="11" max="11" width="23.6640625" style="874" customWidth="1"/>
    <col min="12" max="12" width="19.5" style="769" customWidth="1"/>
    <col min="13" max="13" width="26" style="769" customWidth="1"/>
    <col min="14" max="25" width="12.83203125" style="769" customWidth="1"/>
    <col min="26" max="26" width="27.5" style="769" customWidth="1"/>
    <col min="27" max="16384" width="9.33203125" style="769"/>
  </cols>
  <sheetData>
    <row r="1" spans="1:26" ht="24.75" customHeight="1">
      <c r="A1" s="766" t="s">
        <v>1272</v>
      </c>
      <c r="B1" s="767"/>
      <c r="C1" s="767"/>
      <c r="D1" s="767"/>
      <c r="E1" s="767"/>
      <c r="F1" s="767"/>
      <c r="G1" s="767"/>
      <c r="H1" s="767"/>
      <c r="I1" s="767"/>
      <c r="J1" s="767"/>
      <c r="K1" s="876"/>
      <c r="L1" s="877" t="s">
        <v>1285</v>
      </c>
    </row>
    <row r="2" spans="1:26" ht="24.75" customHeight="1">
      <c r="A2" s="773" t="str">
        <f>'1.ป้ายจราจร '!A2</f>
        <v>ประเภทงาน</v>
      </c>
      <c r="B2" s="773"/>
      <c r="C2" s="773"/>
      <c r="D2" s="773" t="str">
        <f>'1.ป้ายจราจร '!D2</f>
        <v>ก่อสร้างถนนคอนกรีตเสริมเหล็ก</v>
      </c>
      <c r="E2" s="773"/>
      <c r="F2" s="773"/>
      <c r="G2" s="773"/>
      <c r="H2" s="773"/>
      <c r="I2" s="773"/>
      <c r="J2" s="773"/>
      <c r="K2" s="773"/>
      <c r="L2" s="878" t="s">
        <v>1331</v>
      </c>
    </row>
    <row r="3" spans="1:26" ht="24.75" customHeight="1">
      <c r="A3" s="2533" t="s">
        <v>468</v>
      </c>
      <c r="B3" s="2533"/>
      <c r="C3" s="2533"/>
      <c r="D3" s="777" t="str">
        <f>'1.ป้ายจราจร '!D3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E3" s="773"/>
      <c r="F3" s="773"/>
      <c r="G3" s="773"/>
      <c r="H3" s="773"/>
      <c r="I3" s="777"/>
      <c r="J3" s="773"/>
      <c r="K3" s="773"/>
      <c r="L3" s="773"/>
    </row>
    <row r="4" spans="1:26" ht="24.75" customHeight="1">
      <c r="A4" s="2536" t="s">
        <v>783</v>
      </c>
      <c r="B4" s="2536"/>
      <c r="C4" s="2536"/>
      <c r="D4" s="879" t="str">
        <f>'1.ป้ายจราจร '!D4</f>
        <v>1.400</v>
      </c>
      <c r="E4" s="773" t="str">
        <f>'1.ป้ายจราจร '!E4</f>
        <v>กม.</v>
      </c>
      <c r="G4" s="773"/>
      <c r="H4" s="773" t="s">
        <v>1273</v>
      </c>
      <c r="I4" s="773"/>
      <c r="J4" s="774">
        <f>'1.ป้ายจราจร '!K4</f>
        <v>300</v>
      </c>
      <c r="K4" s="773" t="s">
        <v>760</v>
      </c>
      <c r="L4" s="773"/>
    </row>
    <row r="5" spans="1:26" ht="24.75" customHeight="1">
      <c r="A5" s="780" t="s">
        <v>1274</v>
      </c>
      <c r="B5" s="780"/>
      <c r="C5" s="780"/>
      <c r="D5" s="778"/>
      <c r="E5" s="773"/>
      <c r="F5" s="773"/>
      <c r="G5" s="773"/>
      <c r="H5" s="773"/>
      <c r="I5" s="773"/>
      <c r="J5" s="773"/>
      <c r="K5" s="773"/>
      <c r="L5" s="773"/>
    </row>
    <row r="6" spans="1:26" ht="24.75" customHeight="1">
      <c r="A6" s="773"/>
      <c r="B6" s="773" t="s">
        <v>1287</v>
      </c>
      <c r="C6" s="780"/>
      <c r="D6" s="778"/>
      <c r="E6" s="773"/>
      <c r="F6" s="773"/>
      <c r="G6" s="773"/>
      <c r="H6" s="773"/>
      <c r="I6" s="773"/>
      <c r="J6" s="773"/>
      <c r="K6" s="773"/>
      <c r="L6" s="773"/>
    </row>
    <row r="7" spans="1:26" ht="24.75" customHeight="1">
      <c r="A7" s="880">
        <v>3</v>
      </c>
      <c r="B7" s="881" t="s">
        <v>1332</v>
      </c>
      <c r="C7" s="881"/>
      <c r="D7" s="881"/>
      <c r="E7" s="881"/>
      <c r="F7" s="881"/>
      <c r="G7" s="881"/>
      <c r="H7" s="881"/>
      <c r="I7" s="881"/>
      <c r="J7" s="881"/>
      <c r="K7" s="901" t="s">
        <v>464</v>
      </c>
      <c r="L7" s="792" t="s">
        <v>184</v>
      </c>
      <c r="M7" s="792" t="s">
        <v>222</v>
      </c>
      <c r="N7" s="2537" t="s">
        <v>1280</v>
      </c>
      <c r="O7" s="2537"/>
      <c r="P7" s="2537"/>
      <c r="Q7" s="2537"/>
      <c r="R7" s="2537"/>
      <c r="S7" s="2537"/>
      <c r="T7" s="2537"/>
      <c r="U7" s="2537"/>
      <c r="V7" s="2537"/>
      <c r="W7" s="2537"/>
      <c r="X7" s="2537"/>
      <c r="Y7" s="2537"/>
      <c r="Z7" s="2538" t="s">
        <v>186</v>
      </c>
    </row>
    <row r="8" spans="1:26" ht="24.75" customHeight="1">
      <c r="A8" s="797"/>
      <c r="B8" s="798"/>
      <c r="C8" s="799"/>
      <c r="D8" s="800"/>
      <c r="E8" s="800"/>
      <c r="F8" s="800"/>
      <c r="G8" s="800"/>
      <c r="H8" s="800"/>
      <c r="I8" s="800"/>
      <c r="J8" s="883"/>
      <c r="K8" s="803" t="s">
        <v>327</v>
      </c>
      <c r="L8" s="822"/>
      <c r="M8" s="801" t="s">
        <v>327</v>
      </c>
      <c r="N8" s="806">
        <v>1</v>
      </c>
      <c r="O8" s="806">
        <v>2</v>
      </c>
      <c r="P8" s="806">
        <v>3</v>
      </c>
      <c r="Q8" s="806">
        <v>4</v>
      </c>
      <c r="R8" s="806">
        <v>5</v>
      </c>
      <c r="S8" s="806">
        <v>6</v>
      </c>
      <c r="T8" s="806">
        <v>7</v>
      </c>
      <c r="U8" s="806">
        <v>8</v>
      </c>
      <c r="V8" s="806">
        <v>9</v>
      </c>
      <c r="W8" s="806">
        <v>10</v>
      </c>
      <c r="X8" s="806">
        <v>11</v>
      </c>
      <c r="Y8" s="806">
        <v>12</v>
      </c>
      <c r="Z8" s="2539"/>
    </row>
    <row r="9" spans="1:26" ht="24.75" customHeight="1">
      <c r="A9" s="790"/>
      <c r="B9" s="902" t="s">
        <v>424</v>
      </c>
      <c r="C9" s="791"/>
      <c r="D9" s="791" t="s">
        <v>1367</v>
      </c>
      <c r="E9" s="791"/>
      <c r="F9" s="791"/>
      <c r="G9" s="791"/>
      <c r="H9" s="791"/>
      <c r="I9" s="791"/>
      <c r="J9" s="903"/>
      <c r="K9" s="810"/>
      <c r="L9" s="904"/>
      <c r="M9" s="904"/>
      <c r="N9" s="811"/>
      <c r="Y9" s="884"/>
      <c r="Z9" s="812"/>
    </row>
    <row r="10" spans="1:26" ht="24.75" customHeight="1">
      <c r="A10" s="797"/>
      <c r="B10" s="905" t="s">
        <v>1333</v>
      </c>
      <c r="C10" s="800"/>
      <c r="D10" s="800"/>
      <c r="E10" s="800"/>
      <c r="F10" s="800"/>
      <c r="G10" s="800"/>
      <c r="H10" s="800"/>
      <c r="I10" s="800"/>
      <c r="J10" s="883"/>
      <c r="K10" s="906">
        <v>15000</v>
      </c>
      <c r="L10" s="907" t="s">
        <v>927</v>
      </c>
      <c r="M10" s="890">
        <f>K10*10</f>
        <v>150000</v>
      </c>
      <c r="N10" s="769">
        <v>15000</v>
      </c>
      <c r="O10" s="769">
        <v>15000</v>
      </c>
      <c r="P10" s="769">
        <v>15000</v>
      </c>
      <c r="Q10" s="769">
        <v>15000</v>
      </c>
      <c r="R10" s="769">
        <v>15000</v>
      </c>
      <c r="S10" s="769">
        <v>15000</v>
      </c>
      <c r="T10" s="769">
        <v>15000</v>
      </c>
      <c r="U10" s="769">
        <v>15000</v>
      </c>
      <c r="V10" s="769">
        <v>15000</v>
      </c>
      <c r="W10" s="769">
        <v>15000</v>
      </c>
      <c r="X10" s="769">
        <v>15000</v>
      </c>
      <c r="Y10" s="769">
        <v>15000</v>
      </c>
      <c r="Z10" s="817">
        <f t="shared" ref="Z10:Z13" si="0">SUM(N10:Y10)</f>
        <v>180000</v>
      </c>
    </row>
    <row r="11" spans="1:26" ht="24.75" customHeight="1">
      <c r="A11" s="797"/>
      <c r="B11" s="905" t="s">
        <v>1334</v>
      </c>
      <c r="C11" s="800"/>
      <c r="D11" s="800"/>
      <c r="E11" s="800"/>
      <c r="F11" s="800"/>
      <c r="G11" s="800"/>
      <c r="H11" s="800"/>
      <c r="I11" s="800"/>
      <c r="J11" s="883"/>
      <c r="K11" s="906">
        <f>23*8*30*1</f>
        <v>5520</v>
      </c>
      <c r="L11" s="907" t="s">
        <v>927</v>
      </c>
      <c r="M11" s="890">
        <f>K11*10</f>
        <v>55200</v>
      </c>
      <c r="N11" s="769">
        <v>5500</v>
      </c>
      <c r="O11" s="769">
        <v>5500</v>
      </c>
      <c r="P11" s="769">
        <v>5500</v>
      </c>
      <c r="Q11" s="769">
        <v>5500</v>
      </c>
      <c r="R11" s="769">
        <v>5500</v>
      </c>
      <c r="S11" s="769">
        <v>5500</v>
      </c>
      <c r="T11" s="769">
        <v>5500</v>
      </c>
      <c r="U11" s="769">
        <v>5500</v>
      </c>
      <c r="V11" s="769">
        <v>5500</v>
      </c>
      <c r="W11" s="769">
        <v>5500</v>
      </c>
      <c r="X11" s="769">
        <v>5500</v>
      </c>
      <c r="Y11" s="769">
        <v>5500</v>
      </c>
      <c r="Z11" s="817">
        <f t="shared" si="0"/>
        <v>66000</v>
      </c>
    </row>
    <row r="12" spans="1:26" ht="24.75" customHeight="1">
      <c r="A12" s="797"/>
      <c r="B12" s="905" t="s">
        <v>1335</v>
      </c>
      <c r="C12" s="800"/>
      <c r="D12" s="800"/>
      <c r="E12" s="800"/>
      <c r="F12" s="800"/>
      <c r="G12" s="800"/>
      <c r="H12" s="800"/>
      <c r="I12" s="800"/>
      <c r="J12" s="883"/>
      <c r="K12" s="906">
        <v>2792</v>
      </c>
      <c r="L12" s="907" t="s">
        <v>927</v>
      </c>
      <c r="M12" s="890">
        <f>K12*10</f>
        <v>27920</v>
      </c>
      <c r="N12" s="769">
        <v>2750</v>
      </c>
      <c r="O12" s="769">
        <v>2750</v>
      </c>
      <c r="P12" s="769">
        <v>2750</v>
      </c>
      <c r="Q12" s="769">
        <v>2750</v>
      </c>
      <c r="R12" s="769">
        <v>2750</v>
      </c>
      <c r="S12" s="769">
        <v>2750</v>
      </c>
      <c r="T12" s="769">
        <v>2750</v>
      </c>
      <c r="U12" s="769">
        <v>2750</v>
      </c>
      <c r="V12" s="769">
        <v>2750</v>
      </c>
      <c r="W12" s="769">
        <v>2750</v>
      </c>
      <c r="X12" s="769">
        <v>2750</v>
      </c>
      <c r="Y12" s="769">
        <v>2750</v>
      </c>
      <c r="Z12" s="817">
        <f t="shared" si="0"/>
        <v>33000</v>
      </c>
    </row>
    <row r="13" spans="1:26" ht="24.75" customHeight="1">
      <c r="A13" s="822"/>
      <c r="B13" s="905" t="s">
        <v>1336</v>
      </c>
      <c r="C13" s="800"/>
      <c r="D13" s="800"/>
      <c r="E13" s="800"/>
      <c r="F13" s="800"/>
      <c r="G13" s="800"/>
      <c r="H13" s="800"/>
      <c r="I13" s="800"/>
      <c r="J13" s="883"/>
      <c r="K13" s="906">
        <v>1000</v>
      </c>
      <c r="L13" s="907" t="s">
        <v>927</v>
      </c>
      <c r="M13" s="827">
        <f>K13*10</f>
        <v>10000</v>
      </c>
      <c r="N13" s="769">
        <v>1000</v>
      </c>
      <c r="O13" s="769">
        <v>1000</v>
      </c>
      <c r="P13" s="769">
        <v>1000</v>
      </c>
      <c r="Q13" s="769">
        <v>1000</v>
      </c>
      <c r="R13" s="769">
        <v>1000</v>
      </c>
      <c r="S13" s="769">
        <v>1000</v>
      </c>
      <c r="T13" s="769">
        <v>1000</v>
      </c>
      <c r="U13" s="769">
        <v>1000</v>
      </c>
      <c r="V13" s="769">
        <v>1000</v>
      </c>
      <c r="W13" s="769">
        <v>1000</v>
      </c>
      <c r="X13" s="769">
        <v>1000</v>
      </c>
      <c r="Y13" s="769">
        <v>1000</v>
      </c>
      <c r="Z13" s="817">
        <f t="shared" si="0"/>
        <v>12000</v>
      </c>
    </row>
    <row r="14" spans="1:26" ht="24.75" customHeight="1">
      <c r="A14" s="806"/>
      <c r="B14" s="2540" t="s">
        <v>1364</v>
      </c>
      <c r="C14" s="2541"/>
      <c r="D14" s="2541"/>
      <c r="E14" s="2541"/>
      <c r="F14" s="2541"/>
      <c r="G14" s="2541"/>
      <c r="H14" s="2541"/>
      <c r="I14" s="2541"/>
      <c r="J14" s="2541"/>
      <c r="K14" s="2541"/>
      <c r="L14" s="2542"/>
      <c r="M14" s="908">
        <f>SUM(M10:M13)</f>
        <v>243120</v>
      </c>
    </row>
    <row r="15" spans="1:26" ht="24.75" customHeight="1">
      <c r="A15" s="909"/>
      <c r="B15" s="2543" t="s">
        <v>1124</v>
      </c>
      <c r="C15" s="2544"/>
      <c r="D15" s="2544"/>
      <c r="E15" s="2544"/>
      <c r="F15" s="2544"/>
      <c r="G15" s="2544"/>
      <c r="H15" s="2544"/>
      <c r="I15" s="2544"/>
      <c r="J15" s="2544"/>
      <c r="K15" s="2544"/>
      <c r="L15" s="2545"/>
      <c r="M15" s="868">
        <f>IF(M14&lt;10000000,ROUNDDOWN(M14,-3),ROUNDDOWN(M14,-3))</f>
        <v>243000</v>
      </c>
      <c r="N15" s="773">
        <v>1</v>
      </c>
      <c r="O15" s="773">
        <v>2</v>
      </c>
      <c r="P15" s="773">
        <v>3</v>
      </c>
      <c r="Q15" s="773">
        <v>4</v>
      </c>
      <c r="R15" s="773">
        <v>5</v>
      </c>
      <c r="S15" s="773">
        <v>6</v>
      </c>
      <c r="T15" s="773">
        <v>7</v>
      </c>
      <c r="U15" s="773">
        <v>8</v>
      </c>
      <c r="V15" s="773">
        <v>9</v>
      </c>
      <c r="W15" s="773">
        <v>10</v>
      </c>
      <c r="X15" s="773">
        <v>11</v>
      </c>
      <c r="Y15" s="773">
        <v>12</v>
      </c>
      <c r="Z15" s="771"/>
    </row>
    <row r="16" spans="1:26" ht="24.75" customHeight="1">
      <c r="N16" s="870">
        <f>SUM(N9:N14)</f>
        <v>24250</v>
      </c>
      <c r="O16" s="870">
        <f t="shared" ref="O16:Y16" si="1">SUM(O9:O14)</f>
        <v>24250</v>
      </c>
      <c r="P16" s="870">
        <f t="shared" si="1"/>
        <v>24250</v>
      </c>
      <c r="Q16" s="870">
        <f t="shared" si="1"/>
        <v>24250</v>
      </c>
      <c r="R16" s="870">
        <f t="shared" si="1"/>
        <v>24250</v>
      </c>
      <c r="S16" s="870">
        <f t="shared" si="1"/>
        <v>24250</v>
      </c>
      <c r="T16" s="870">
        <f t="shared" si="1"/>
        <v>24250</v>
      </c>
      <c r="U16" s="870">
        <f t="shared" si="1"/>
        <v>24250</v>
      </c>
      <c r="V16" s="870">
        <f t="shared" si="1"/>
        <v>24250</v>
      </c>
      <c r="W16" s="870">
        <f t="shared" si="1"/>
        <v>24250</v>
      </c>
      <c r="X16" s="870">
        <f t="shared" si="1"/>
        <v>24250</v>
      </c>
      <c r="Y16" s="870">
        <f t="shared" si="1"/>
        <v>24250</v>
      </c>
      <c r="Z16" s="900">
        <f>SUM(Z9:Z14)</f>
        <v>291000</v>
      </c>
    </row>
    <row r="17" spans="9:26" ht="24.75" customHeight="1">
      <c r="I17" s="910"/>
      <c r="K17" s="911"/>
      <c r="L17" s="910"/>
      <c r="Z17" s="875">
        <f>N16+O16+P16+Q16+R16+S16+T16+U16+V16+W16+X16+Y16</f>
        <v>291000</v>
      </c>
    </row>
  </sheetData>
  <mergeCells count="6">
    <mergeCell ref="B15:L15"/>
    <mergeCell ref="A3:C3"/>
    <mergeCell ref="A4:C4"/>
    <mergeCell ref="N7:Y7"/>
    <mergeCell ref="Z7:Z8"/>
    <mergeCell ref="B14:L14"/>
  </mergeCells>
  <pageMargins left="0.39370078740157483" right="0.19685039370078741" top="0.74803149606299213" bottom="0.74803149606299213" header="0.31496062992125984" footer="0.31496062992125984"/>
  <pageSetup paperSize="9" scale="6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0">
    <tabColor rgb="FF7030A0"/>
  </sheetPr>
  <dimension ref="A1:Z23"/>
  <sheetViews>
    <sheetView showGridLines="0" view="pageBreakPreview" zoomScale="60" zoomScaleNormal="75" workbookViewId="0">
      <selection activeCell="J6" sqref="J6"/>
    </sheetView>
  </sheetViews>
  <sheetFormatPr defaultColWidth="9.33203125" defaultRowHeight="24.75" customHeight="1"/>
  <cols>
    <col min="1" max="1" width="7.1640625" style="769" customWidth="1"/>
    <col min="2" max="2" width="7.33203125" style="769" customWidth="1"/>
    <col min="3" max="3" width="9.33203125" style="769"/>
    <col min="4" max="4" width="17.83203125" style="769" customWidth="1"/>
    <col min="5" max="8" width="9.33203125" style="769"/>
    <col min="9" max="9" width="27" style="769" customWidth="1"/>
    <col min="10" max="10" width="22" style="769" customWidth="1"/>
    <col min="11" max="11" width="22.6640625" style="874" customWidth="1"/>
    <col min="12" max="12" width="19" style="769" customWidth="1"/>
    <col min="13" max="13" width="25.83203125" style="769" customWidth="1"/>
    <col min="14" max="14" width="15.5" style="769" customWidth="1"/>
    <col min="15" max="15" width="9.5" style="769" customWidth="1"/>
    <col min="16" max="16" width="9.1640625" style="769" customWidth="1"/>
    <col min="17" max="17" width="10" style="769" customWidth="1"/>
    <col min="18" max="18" width="8.33203125" style="769" customWidth="1"/>
    <col min="19" max="19" width="15.5" style="769" customWidth="1"/>
    <col min="20" max="21" width="9.6640625" style="769" customWidth="1"/>
    <col min="22" max="23" width="9.5" style="769" customWidth="1"/>
    <col min="24" max="24" width="10" style="769" customWidth="1"/>
    <col min="25" max="25" width="16.1640625" style="769" customWidth="1"/>
    <col min="26" max="26" width="23.33203125" style="769" customWidth="1"/>
    <col min="27" max="16384" width="9.33203125" style="769"/>
  </cols>
  <sheetData>
    <row r="1" spans="1:26" ht="24.75" customHeight="1">
      <c r="A1" s="766" t="s">
        <v>1272</v>
      </c>
      <c r="B1" s="767"/>
      <c r="C1" s="767"/>
      <c r="D1" s="767"/>
      <c r="E1" s="767"/>
      <c r="F1" s="767"/>
      <c r="G1" s="767"/>
      <c r="H1" s="767"/>
      <c r="I1" s="767"/>
      <c r="J1" s="767"/>
      <c r="K1" s="876"/>
      <c r="L1" s="877" t="s">
        <v>1285</v>
      </c>
    </row>
    <row r="2" spans="1:26" ht="24.75" customHeight="1">
      <c r="A2" s="773" t="str">
        <f>'1.ป้ายจราจร '!A2</f>
        <v>ประเภทงาน</v>
      </c>
      <c r="B2" s="773"/>
      <c r="C2" s="773"/>
      <c r="D2" s="773" t="str">
        <f>'1.ป้ายจราจร '!D2</f>
        <v>ก่อสร้างถนนคอนกรีตเสริมเหล็ก</v>
      </c>
      <c r="E2" s="773"/>
      <c r="F2" s="773"/>
      <c r="G2" s="773"/>
      <c r="H2" s="773"/>
      <c r="I2" s="773"/>
      <c r="J2" s="773"/>
      <c r="K2" s="773"/>
      <c r="L2" s="878" t="s">
        <v>1337</v>
      </c>
    </row>
    <row r="3" spans="1:26" ht="24.75" customHeight="1">
      <c r="A3" s="2533" t="s">
        <v>468</v>
      </c>
      <c r="B3" s="2533"/>
      <c r="C3" s="2533"/>
      <c r="D3" s="777" t="str">
        <f>'1.ป้ายจราจร '!D3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E3" s="773"/>
      <c r="F3" s="773"/>
      <c r="G3" s="773"/>
      <c r="H3" s="773"/>
      <c r="I3" s="777"/>
      <c r="J3" s="773"/>
      <c r="K3" s="773"/>
      <c r="L3" s="773"/>
    </row>
    <row r="4" spans="1:26" ht="24.75" customHeight="1">
      <c r="A4" s="2536" t="s">
        <v>783</v>
      </c>
      <c r="B4" s="2536"/>
      <c r="C4" s="2536"/>
      <c r="D4" s="879" t="str">
        <f>'1.ป้ายจราจร '!D4</f>
        <v>1.400</v>
      </c>
      <c r="E4" s="773" t="str">
        <f>'1.ป้ายจราจร '!E4</f>
        <v>กม.</v>
      </c>
      <c r="H4" s="773" t="s">
        <v>1273</v>
      </c>
      <c r="I4" s="773"/>
      <c r="J4" s="774">
        <f>'1.ป้ายจราจร '!K4</f>
        <v>300</v>
      </c>
      <c r="K4" s="773" t="s">
        <v>760</v>
      </c>
      <c r="L4" s="773"/>
    </row>
    <row r="5" spans="1:26" ht="24.75" customHeight="1">
      <c r="A5" s="780" t="s">
        <v>1274</v>
      </c>
      <c r="B5" s="780"/>
      <c r="C5" s="780"/>
      <c r="D5" s="778"/>
      <c r="E5" s="773"/>
      <c r="F5" s="773"/>
      <c r="G5" s="773"/>
      <c r="H5" s="773"/>
      <c r="I5" s="773"/>
      <c r="J5" s="773"/>
      <c r="K5" s="773"/>
      <c r="L5" s="773"/>
    </row>
    <row r="6" spans="1:26" ht="24.75" customHeight="1">
      <c r="A6" s="773"/>
      <c r="B6" s="773" t="s">
        <v>1338</v>
      </c>
      <c r="C6" s="780"/>
      <c r="D6" s="778"/>
      <c r="E6" s="773"/>
      <c r="F6" s="773"/>
      <c r="G6" s="773"/>
      <c r="H6" s="773"/>
      <c r="I6" s="773"/>
      <c r="J6" s="773"/>
      <c r="K6" s="773"/>
      <c r="L6" s="773"/>
    </row>
    <row r="7" spans="1:26" ht="24.75" customHeight="1">
      <c r="A7" s="773" t="s">
        <v>1339</v>
      </c>
      <c r="B7" s="773"/>
      <c r="C7" s="780"/>
      <c r="D7" s="778"/>
      <c r="E7" s="773"/>
      <c r="F7" s="773"/>
      <c r="G7" s="773"/>
      <c r="H7" s="773"/>
      <c r="I7" s="773"/>
      <c r="J7" s="773"/>
      <c r="K7" s="773"/>
      <c r="L7" s="773"/>
    </row>
    <row r="8" spans="1:26" ht="24.75" customHeight="1">
      <c r="A8" s="773" t="s">
        <v>1340</v>
      </c>
      <c r="B8" s="773"/>
      <c r="C8" s="780"/>
      <c r="D8" s="778"/>
      <c r="E8" s="773"/>
      <c r="F8" s="773"/>
      <c r="G8" s="773"/>
      <c r="H8" s="773"/>
      <c r="I8" s="773"/>
      <c r="J8" s="773"/>
      <c r="K8" s="773"/>
      <c r="L8" s="773"/>
    </row>
    <row r="9" spans="1:26" ht="24.75" customHeight="1">
      <c r="A9" s="773" t="s">
        <v>1341</v>
      </c>
      <c r="B9" s="773"/>
      <c r="C9" s="780"/>
      <c r="D9" s="778"/>
      <c r="E9" s="773"/>
      <c r="F9" s="773"/>
      <c r="G9" s="773"/>
      <c r="H9" s="773"/>
      <c r="I9" s="773"/>
      <c r="J9" s="773"/>
      <c r="K9" s="773"/>
      <c r="L9" s="773"/>
    </row>
    <row r="10" spans="1:26" ht="24.75" customHeight="1">
      <c r="A10" s="773" t="s">
        <v>1342</v>
      </c>
      <c r="B10" s="773"/>
      <c r="C10" s="780"/>
      <c r="D10" s="778"/>
      <c r="E10" s="773"/>
      <c r="F10" s="773"/>
      <c r="G10" s="773"/>
      <c r="H10" s="773"/>
      <c r="I10" s="773"/>
      <c r="J10" s="773"/>
      <c r="K10" s="773"/>
      <c r="L10" s="773"/>
    </row>
    <row r="11" spans="1:26" ht="24.75" customHeight="1">
      <c r="A11" s="773" t="s">
        <v>1343</v>
      </c>
      <c r="B11" s="773"/>
      <c r="C11" s="780"/>
      <c r="D11" s="778"/>
      <c r="E11" s="773"/>
      <c r="F11" s="773"/>
      <c r="G11" s="773"/>
      <c r="H11" s="773"/>
      <c r="I11" s="773"/>
      <c r="J11" s="773"/>
      <c r="K11" s="773"/>
      <c r="L11" s="773"/>
    </row>
    <row r="12" spans="1:26" ht="24.75" customHeight="1">
      <c r="A12" s="880">
        <v>5</v>
      </c>
      <c r="B12" s="912" t="s">
        <v>1344</v>
      </c>
      <c r="C12" s="881"/>
      <c r="D12" s="881"/>
      <c r="E12" s="881"/>
      <c r="F12" s="881"/>
      <c r="G12" s="881"/>
      <c r="H12" s="881"/>
      <c r="I12" s="881"/>
      <c r="J12" s="881"/>
      <c r="K12" s="901" t="s">
        <v>464</v>
      </c>
      <c r="L12" s="792" t="s">
        <v>184</v>
      </c>
      <c r="M12" s="792" t="s">
        <v>222</v>
      </c>
      <c r="N12" s="2537" t="s">
        <v>1280</v>
      </c>
      <c r="O12" s="2537"/>
      <c r="P12" s="2537"/>
      <c r="Q12" s="2537"/>
      <c r="R12" s="2537"/>
      <c r="S12" s="2537"/>
      <c r="T12" s="2537"/>
      <c r="U12" s="2537"/>
      <c r="V12" s="2537"/>
      <c r="W12" s="2537"/>
      <c r="X12" s="2537"/>
      <c r="Y12" s="2537"/>
      <c r="Z12" s="2538" t="s">
        <v>186</v>
      </c>
    </row>
    <row r="13" spans="1:26" ht="24.75" customHeight="1">
      <c r="A13" s="797"/>
      <c r="B13" s="2546" t="s">
        <v>1345</v>
      </c>
      <c r="C13" s="2547"/>
      <c r="D13" s="2547"/>
      <c r="E13" s="2547"/>
      <c r="F13" s="2547"/>
      <c r="G13" s="2547"/>
      <c r="H13" s="2547"/>
      <c r="I13" s="2547"/>
      <c r="J13" s="2548"/>
      <c r="K13" s="803" t="s">
        <v>327</v>
      </c>
      <c r="L13" s="822"/>
      <c r="M13" s="801" t="s">
        <v>327</v>
      </c>
      <c r="N13" s="806">
        <v>1</v>
      </c>
      <c r="O13" s="806">
        <v>2</v>
      </c>
      <c r="P13" s="806">
        <v>3</v>
      </c>
      <c r="Q13" s="806">
        <v>4</v>
      </c>
      <c r="R13" s="806">
        <v>5</v>
      </c>
      <c r="S13" s="806">
        <v>6</v>
      </c>
      <c r="T13" s="806">
        <v>7</v>
      </c>
      <c r="U13" s="806">
        <v>8</v>
      </c>
      <c r="V13" s="806">
        <v>9</v>
      </c>
      <c r="W13" s="806">
        <v>10</v>
      </c>
      <c r="X13" s="806">
        <v>11</v>
      </c>
      <c r="Y13" s="806">
        <v>12</v>
      </c>
      <c r="Z13" s="2539"/>
    </row>
    <row r="14" spans="1:26" ht="24.75" customHeight="1">
      <c r="A14" s="797"/>
      <c r="B14" s="905" t="s">
        <v>1346</v>
      </c>
      <c r="C14" s="800"/>
      <c r="D14" s="800"/>
      <c r="E14" s="800"/>
      <c r="F14" s="800"/>
      <c r="G14" s="800"/>
      <c r="H14" s="800"/>
      <c r="I14" s="800"/>
      <c r="J14" s="883"/>
      <c r="K14" s="906">
        <v>2000</v>
      </c>
      <c r="L14" s="907" t="s">
        <v>1347</v>
      </c>
      <c r="M14" s="890">
        <f>K14</f>
        <v>2000</v>
      </c>
      <c r="N14" s="811">
        <v>2000</v>
      </c>
      <c r="S14" s="811">
        <v>2000</v>
      </c>
      <c r="Y14" s="811">
        <v>2000</v>
      </c>
      <c r="Z14" s="817">
        <f t="shared" ref="Z14:Z18" si="0">SUM(N14:Y14)</f>
        <v>6000</v>
      </c>
    </row>
    <row r="15" spans="1:26" ht="24.75" customHeight="1">
      <c r="A15" s="797"/>
      <c r="B15" s="905" t="s">
        <v>1348</v>
      </c>
      <c r="C15" s="800"/>
      <c r="D15" s="800"/>
      <c r="E15" s="800"/>
      <c r="F15" s="800"/>
      <c r="G15" s="800"/>
      <c r="H15" s="800"/>
      <c r="I15" s="800"/>
      <c r="J15" s="883"/>
      <c r="K15" s="906">
        <v>3000</v>
      </c>
      <c r="L15" s="907" t="s">
        <v>1347</v>
      </c>
      <c r="M15" s="890">
        <f>K15</f>
        <v>3000</v>
      </c>
      <c r="N15" s="769">
        <v>500</v>
      </c>
      <c r="S15" s="769">
        <v>500</v>
      </c>
      <c r="Y15" s="769">
        <v>500</v>
      </c>
      <c r="Z15" s="817">
        <f t="shared" si="0"/>
        <v>1500</v>
      </c>
    </row>
    <row r="16" spans="1:26" ht="24.75" customHeight="1">
      <c r="A16" s="797"/>
      <c r="B16" s="905" t="s">
        <v>1368</v>
      </c>
      <c r="C16" s="800"/>
      <c r="D16" s="800"/>
      <c r="E16" s="800"/>
      <c r="F16" s="800"/>
      <c r="G16" s="800"/>
      <c r="H16" s="800"/>
      <c r="I16" s="800"/>
      <c r="J16" s="883"/>
      <c r="K16" s="906">
        <v>5000</v>
      </c>
      <c r="L16" s="907" t="s">
        <v>1347</v>
      </c>
      <c r="M16" s="890">
        <f>K16</f>
        <v>5000</v>
      </c>
      <c r="N16" s="769">
        <v>4000</v>
      </c>
      <c r="S16" s="769">
        <v>4000</v>
      </c>
      <c r="Y16" s="769">
        <v>4000</v>
      </c>
      <c r="Z16" s="817">
        <f t="shared" si="0"/>
        <v>12000</v>
      </c>
    </row>
    <row r="17" spans="1:26" ht="24.75" customHeight="1">
      <c r="A17" s="797"/>
      <c r="B17" s="905" t="s">
        <v>1369</v>
      </c>
      <c r="C17" s="800"/>
      <c r="D17" s="800"/>
      <c r="E17" s="800"/>
      <c r="F17" s="800"/>
      <c r="G17" s="800"/>
      <c r="H17" s="800"/>
      <c r="I17" s="800"/>
      <c r="J17" s="883"/>
      <c r="K17" s="906">
        <v>15000</v>
      </c>
      <c r="L17" s="907" t="s">
        <v>1347</v>
      </c>
      <c r="M17" s="890">
        <f>K17</f>
        <v>15000</v>
      </c>
      <c r="N17" s="769">
        <v>12000</v>
      </c>
      <c r="S17" s="769">
        <v>12000</v>
      </c>
      <c r="Y17" s="769">
        <v>12000</v>
      </c>
      <c r="Z17" s="817">
        <f t="shared" si="0"/>
        <v>36000</v>
      </c>
    </row>
    <row r="18" spans="1:26" ht="24.75" customHeight="1">
      <c r="A18" s="797"/>
      <c r="B18" s="905" t="s">
        <v>1349</v>
      </c>
      <c r="C18" s="800"/>
      <c r="D18" s="800"/>
      <c r="E18" s="800"/>
      <c r="F18" s="800"/>
      <c r="G18" s="800"/>
      <c r="H18" s="800"/>
      <c r="I18" s="800"/>
      <c r="J18" s="883"/>
      <c r="K18" s="906">
        <v>5000</v>
      </c>
      <c r="L18" s="907" t="s">
        <v>1347</v>
      </c>
      <c r="M18" s="827">
        <f>K18</f>
        <v>5000</v>
      </c>
      <c r="N18" s="769">
        <v>500</v>
      </c>
      <c r="S18" s="769">
        <v>500</v>
      </c>
      <c r="Y18" s="769">
        <v>500</v>
      </c>
      <c r="Z18" s="817">
        <f t="shared" si="0"/>
        <v>1500</v>
      </c>
    </row>
    <row r="19" spans="1:26" ht="24.75" customHeight="1">
      <c r="A19" s="797"/>
      <c r="B19" s="2549" t="s">
        <v>1350</v>
      </c>
      <c r="C19" s="2550"/>
      <c r="D19" s="2550"/>
      <c r="E19" s="2550"/>
      <c r="F19" s="2550"/>
      <c r="G19" s="2550"/>
      <c r="H19" s="2550"/>
      <c r="I19" s="2550"/>
      <c r="J19" s="2550"/>
      <c r="K19" s="2550"/>
      <c r="L19" s="2551"/>
      <c r="M19" s="908">
        <f>SUM(M14:M18)</f>
        <v>30000</v>
      </c>
      <c r="N19" s="874"/>
    </row>
    <row r="20" spans="1:26" ht="24.75" customHeight="1">
      <c r="A20" s="821"/>
      <c r="B20" s="2549" t="s">
        <v>1351</v>
      </c>
      <c r="C20" s="2550"/>
      <c r="D20" s="2550"/>
      <c r="E20" s="2550"/>
      <c r="F20" s="2550"/>
      <c r="G20" s="2550"/>
      <c r="H20" s="2550"/>
      <c r="I20" s="2550"/>
      <c r="J20" s="2550"/>
      <c r="K20" s="2550"/>
      <c r="L20" s="2551"/>
      <c r="M20" s="908">
        <f>M19*3</f>
        <v>90000</v>
      </c>
      <c r="N20" s="773">
        <v>1</v>
      </c>
      <c r="O20" s="773">
        <v>2</v>
      </c>
      <c r="P20" s="773">
        <v>3</v>
      </c>
      <c r="Q20" s="773">
        <v>4</v>
      </c>
      <c r="R20" s="773">
        <v>5</v>
      </c>
      <c r="S20" s="773">
        <v>6</v>
      </c>
      <c r="T20" s="773">
        <v>7</v>
      </c>
      <c r="U20" s="773">
        <v>8</v>
      </c>
      <c r="V20" s="773">
        <v>9</v>
      </c>
      <c r="W20" s="773">
        <v>10</v>
      </c>
      <c r="X20" s="773">
        <v>11</v>
      </c>
      <c r="Y20" s="773">
        <v>12</v>
      </c>
      <c r="Z20" s="771"/>
    </row>
    <row r="21" spans="1:26" ht="24.75" customHeight="1">
      <c r="A21" s="822"/>
      <c r="B21" s="2543" t="s">
        <v>1124</v>
      </c>
      <c r="C21" s="2544"/>
      <c r="D21" s="2544"/>
      <c r="E21" s="2544"/>
      <c r="F21" s="2544"/>
      <c r="G21" s="2544"/>
      <c r="H21" s="2544"/>
      <c r="I21" s="2544"/>
      <c r="J21" s="2544"/>
      <c r="K21" s="2544"/>
      <c r="L21" s="2545"/>
      <c r="M21" s="868">
        <f>IF(M20&lt;10000000,ROUNDDOWN(M20,-3),ROUNDDOWN(M20,-3))</f>
        <v>90000</v>
      </c>
      <c r="N21" s="870">
        <f>SUM(N14:N19)</f>
        <v>19000</v>
      </c>
      <c r="O21" s="870">
        <f t="shared" ref="O21:Y21" si="1">SUM(O14:O19)</f>
        <v>0</v>
      </c>
      <c r="P21" s="870">
        <f t="shared" si="1"/>
        <v>0</v>
      </c>
      <c r="Q21" s="870">
        <f t="shared" si="1"/>
        <v>0</v>
      </c>
      <c r="R21" s="870">
        <f t="shared" si="1"/>
        <v>0</v>
      </c>
      <c r="S21" s="870">
        <f t="shared" si="1"/>
        <v>19000</v>
      </c>
      <c r="T21" s="870">
        <f t="shared" si="1"/>
        <v>0</v>
      </c>
      <c r="U21" s="870">
        <f t="shared" si="1"/>
        <v>0</v>
      </c>
      <c r="V21" s="870">
        <f t="shared" si="1"/>
        <v>0</v>
      </c>
      <c r="W21" s="870">
        <f t="shared" si="1"/>
        <v>0</v>
      </c>
      <c r="X21" s="870">
        <f t="shared" si="1"/>
        <v>0</v>
      </c>
      <c r="Y21" s="870">
        <f t="shared" si="1"/>
        <v>19000</v>
      </c>
      <c r="Z21" s="900">
        <f>SUM(Z14:Z19)</f>
        <v>57000</v>
      </c>
    </row>
    <row r="22" spans="1:26" ht="24.75" customHeight="1">
      <c r="Z22" s="875">
        <f>N21+O21+P21+Q21+R21+S21+T21+U21+V21+W21+X21+Y21</f>
        <v>57000</v>
      </c>
    </row>
    <row r="23" spans="1:26" ht="24.75" customHeight="1">
      <c r="I23" s="910"/>
      <c r="K23" s="911"/>
      <c r="L23" s="910"/>
    </row>
  </sheetData>
  <mergeCells count="8">
    <mergeCell ref="B21:L21"/>
    <mergeCell ref="A3:C3"/>
    <mergeCell ref="A4:C4"/>
    <mergeCell ref="N12:Y12"/>
    <mergeCell ref="Z12:Z13"/>
    <mergeCell ref="B13:J13"/>
    <mergeCell ref="B19:L19"/>
    <mergeCell ref="B20:L20"/>
  </mergeCells>
  <pageMargins left="0.39370078740157483" right="0.19685039370078741" top="0.74803149606299213" bottom="0.74803149606299213" header="0.31496062992125984" footer="0.31496062992125984"/>
  <pageSetup paperSize="9" scale="6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</sheetPr>
  <dimension ref="A1:Y648"/>
  <sheetViews>
    <sheetView view="pageBreakPreview" topLeftCell="A615" zoomScale="125" zoomScaleSheetLayoutView="125" workbookViewId="0">
      <selection activeCell="D615" sqref="D615"/>
    </sheetView>
  </sheetViews>
  <sheetFormatPr defaultColWidth="9.33203125" defaultRowHeight="15.75"/>
  <cols>
    <col min="1" max="1" width="4.83203125" style="1211" customWidth="1"/>
    <col min="2" max="2" width="34.83203125" style="1208" customWidth="1"/>
    <col min="3" max="3" width="19.83203125" style="1208" customWidth="1"/>
    <col min="4" max="4" width="13.83203125" style="1208" customWidth="1"/>
    <col min="5" max="5" width="14.83203125" style="1853" customWidth="1"/>
    <col min="6" max="6" width="8.83203125" style="1208" customWidth="1"/>
    <col min="7" max="7" width="5.5" style="1853" customWidth="1"/>
    <col min="8" max="8" width="2.33203125" style="1854" bestFit="1" customWidth="1"/>
    <col min="9" max="9" width="12.1640625" style="1853" customWidth="1"/>
    <col min="10" max="10" width="8.83203125" style="1855" customWidth="1"/>
    <col min="11" max="11" width="8.83203125" style="2042" customWidth="1"/>
    <col min="12" max="12" width="8.1640625" style="1211" customWidth="1"/>
    <col min="13" max="13" width="16" style="1211" customWidth="1"/>
    <col min="14" max="14" width="12.33203125" style="1208" customWidth="1"/>
    <col min="15" max="15" width="13.6640625" style="1208" customWidth="1"/>
    <col min="16" max="16" width="11.33203125" style="1208" customWidth="1"/>
    <col min="17" max="17" width="8.1640625" style="1208" customWidth="1"/>
    <col min="18" max="18" width="9.1640625" style="1208" customWidth="1"/>
    <col min="19" max="19" width="13.1640625" style="1208" customWidth="1"/>
    <col min="20" max="24" width="9.33203125" style="1208"/>
    <col min="25" max="25" width="15.83203125" style="1208" customWidth="1"/>
    <col min="26" max="16384" width="9.33203125" style="1208"/>
  </cols>
  <sheetData>
    <row r="1" spans="1:22" ht="21">
      <c r="A1" s="2219" t="s">
        <v>249</v>
      </c>
      <c r="B1" s="2219"/>
      <c r="C1" s="2219"/>
      <c r="D1" s="2219"/>
      <c r="E1" s="2219"/>
      <c r="F1" s="2219"/>
      <c r="G1" s="2219"/>
      <c r="H1" s="2219"/>
      <c r="I1" s="2219"/>
      <c r="J1" s="2219"/>
      <c r="K1" s="2219"/>
    </row>
    <row r="2" spans="1:22" ht="18.75">
      <c r="B2" s="2204" t="str">
        <f>กรอกข้อมูล!B2&amp;"  "&amp;กรอกข้อมูล!B3&amp;"   "&amp;กรอกข้อมูล!B4&amp;"  "&amp;กรอกข้อมูล!A5&amp;""&amp;กรอกข้อมูล!B5</f>
        <v>กองช่าง  องค์การบริหารส่วนตำบลคลองเมือง   กรมส่งเสริมการปกครองท้องถิ่น  กระทรวงมหาดไทย</v>
      </c>
      <c r="C2" s="2204"/>
      <c r="D2" s="2204"/>
      <c r="E2" s="2204"/>
      <c r="F2" s="2204"/>
      <c r="G2" s="2204"/>
      <c r="H2" s="2204"/>
      <c r="I2" s="2204"/>
      <c r="J2" s="2204"/>
      <c r="K2" s="2204"/>
    </row>
    <row r="3" spans="1:22" ht="50.1" customHeight="1">
      <c r="B3" s="2041" t="str">
        <f>กรอกข้อมูล!A10</f>
        <v>ชื่อโครงการ</v>
      </c>
      <c r="C3" s="2220" t="str">
        <f>กรอกข้อมูล!B10&amp;"  "&amp;กรอกข้อมูล!A11&amp;""&amp;กรอกข้อมูล!B11&amp;"  "&amp;กรอกข้อมูล!A12&amp;""&amp;กรอกข้อมูล!B12&amp;"  "&amp;กรอกข้อมูล!A13&amp;""&amp;กรอกข้อมูล!B13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ตำบลคลองเมือง  อำเภอจักราช  จังหวัดนครราชสีมา</v>
      </c>
      <c r="D3" s="2220"/>
      <c r="E3" s="2220"/>
      <c r="F3" s="2220"/>
      <c r="G3" s="2220"/>
      <c r="H3" s="2220"/>
      <c r="I3" s="2220"/>
      <c r="J3" s="2220"/>
      <c r="K3" s="2220"/>
    </row>
    <row r="4" spans="1:22" ht="18.75">
      <c r="B4" s="933"/>
      <c r="C4" s="1857"/>
    </row>
    <row r="5" spans="1:22" ht="20.100000000000001" customHeight="1">
      <c r="A5" s="2218" t="s">
        <v>250</v>
      </c>
      <c r="B5" s="2218"/>
      <c r="C5" s="1858"/>
      <c r="M5" s="1859"/>
      <c r="N5" s="1367"/>
      <c r="O5" s="1860"/>
      <c r="P5" s="1367"/>
      <c r="Q5" s="1256"/>
      <c r="R5" s="1367"/>
      <c r="S5" s="1367"/>
      <c r="T5" s="1367"/>
      <c r="V5" s="1859"/>
    </row>
    <row r="6" spans="1:22" ht="20.100000000000001" customHeight="1">
      <c r="A6" s="1211">
        <f>กรอกราคาวัสดุ!A9</f>
        <v>1</v>
      </c>
      <c r="B6" s="1208" t="str">
        <f>กรอกราคาวัสดุ!B9</f>
        <v>ในสายทาง บ้านโคกไม้งาม</v>
      </c>
      <c r="C6" s="1208" t="str">
        <f>กรอกราคาวัสดุ!C9</f>
        <v>ดินตัด</v>
      </c>
      <c r="D6" s="1263">
        <f>กรอกราคาวัสดุ!D9</f>
        <v>0</v>
      </c>
      <c r="E6" s="1853" t="str">
        <f>กรอกราคาวัสดุ!E9</f>
        <v>บาท/ลบ.ม. ขนส่ง</v>
      </c>
      <c r="F6" s="1853">
        <f>กรอกราคาวัสดุ!G9</f>
        <v>1</v>
      </c>
      <c r="G6" s="1263" t="str">
        <f>กรอกราคาวัสดุ!H9</f>
        <v xml:space="preserve">กม.     </v>
      </c>
      <c r="H6" s="1211" t="str">
        <f>กรอกราคาวัสดุ!I9</f>
        <v>=</v>
      </c>
      <c r="I6" s="1861">
        <f>กรอกราคาวัสดุ!J9</f>
        <v>11.65</v>
      </c>
      <c r="J6" s="1208" t="str">
        <f>กรอกราคาวัสดุ!K9</f>
        <v>บาท/ลบ.ม.</v>
      </c>
      <c r="K6" s="2042" t="str">
        <f>กรอกราคาวัสดุ!L9</f>
        <v>รถสิบล้อ</v>
      </c>
      <c r="M6" s="1862"/>
      <c r="N6" s="1863"/>
      <c r="O6" s="1864"/>
      <c r="P6" s="1865"/>
      <c r="Q6" s="1863"/>
      <c r="R6" s="1863"/>
      <c r="S6" s="1863"/>
      <c r="T6" s="1367"/>
      <c r="U6" s="1367"/>
    </row>
    <row r="7" spans="1:22" ht="20.100000000000001" customHeight="1">
      <c r="A7" s="1211">
        <f>กรอกราคาวัสดุ!A10</f>
        <v>2</v>
      </c>
      <c r="B7" s="1208" t="str">
        <f>กรอกราคาวัสดุ!B10</f>
        <v>ในสายทาง บ้านโคกไม้งาม</v>
      </c>
      <c r="C7" s="1208" t="str">
        <f>กรอกราคาวัสดุ!C10</f>
        <v>ดินถม</v>
      </c>
      <c r="D7" s="1263">
        <f>กรอกราคาวัสดุ!D10</f>
        <v>20</v>
      </c>
      <c r="E7" s="1853" t="str">
        <f>กรอกราคาวัสดุ!E10</f>
        <v>บาท/ลบ.ม. ขนส่ง</v>
      </c>
      <c r="F7" s="1853">
        <f>กรอกราคาวัสดุ!G10</f>
        <v>1</v>
      </c>
      <c r="G7" s="1263" t="str">
        <f>กรอกราคาวัสดุ!H10</f>
        <v xml:space="preserve">กม.     </v>
      </c>
      <c r="H7" s="1211" t="str">
        <f>กรอกราคาวัสดุ!I10</f>
        <v>=</v>
      </c>
      <c r="I7" s="1861">
        <f>กรอกราคาวัสดุ!J10</f>
        <v>11.65</v>
      </c>
      <c r="J7" s="1208" t="str">
        <f>กรอกราคาวัสดุ!K10</f>
        <v>บาท/ลบ.ม.</v>
      </c>
      <c r="K7" s="2042" t="str">
        <f>กรอกราคาวัสดุ!L10</f>
        <v>รถสิบล้อ</v>
      </c>
      <c r="M7" s="1866"/>
      <c r="N7" s="1867"/>
      <c r="O7" s="1868"/>
      <c r="P7" s="1867"/>
      <c r="Q7" s="2192"/>
      <c r="R7" s="2192"/>
      <c r="S7" s="1367"/>
      <c r="T7" s="1869"/>
      <c r="U7" s="1867"/>
    </row>
    <row r="8" spans="1:22" ht="20.100000000000001" customHeight="1">
      <c r="A8" s="1211">
        <f>กรอกราคาวัสดุ!A11</f>
        <v>3</v>
      </c>
      <c r="B8" s="1208" t="str">
        <f>กรอกราคาวัสดุ!B11</f>
        <v>อ.จักราช  จ.นครราชสีมา</v>
      </c>
      <c r="C8" s="1208" t="str">
        <f>กรอกราคาวัสดุ!C11</f>
        <v>วัสดุคัดเลือก</v>
      </c>
      <c r="D8" s="1263">
        <f>กรอกราคาวัสดุ!D11</f>
        <v>30</v>
      </c>
      <c r="E8" s="1853" t="str">
        <f>กรอกราคาวัสดุ!E11</f>
        <v>บาท/ลบ.ม. ขนส่ง</v>
      </c>
      <c r="F8" s="1853">
        <f>กรอกราคาวัสดุ!G11</f>
        <v>24</v>
      </c>
      <c r="G8" s="1263" t="str">
        <f>กรอกราคาวัสดุ!H11</f>
        <v xml:space="preserve">กม.     </v>
      </c>
      <c r="H8" s="1211" t="str">
        <f>กรอกราคาวัสดุ!I11</f>
        <v>=</v>
      </c>
      <c r="I8" s="1861">
        <f>กรอกราคาวัสดุ!J11</f>
        <v>91.67</v>
      </c>
      <c r="J8" s="1208" t="str">
        <f>กรอกราคาวัสดุ!K11</f>
        <v>บาท/ลบ.ม.</v>
      </c>
      <c r="K8" s="2042" t="str">
        <f>กรอกราคาวัสดุ!L11</f>
        <v>รถสิบล้อ</v>
      </c>
      <c r="M8" s="1867"/>
      <c r="N8" s="1870"/>
      <c r="O8" s="1871"/>
      <c r="P8" s="1872"/>
      <c r="Q8" s="1237"/>
      <c r="R8" s="1867"/>
      <c r="S8" s="1867"/>
      <c r="T8" s="1873"/>
      <c r="U8" s="1867"/>
    </row>
    <row r="9" spans="1:22" ht="20.100000000000001" customHeight="1">
      <c r="A9" s="1211">
        <f>กรอกราคาวัสดุ!A12</f>
        <v>4</v>
      </c>
      <c r="B9" s="1208" t="str">
        <f>กรอกราคาวัสดุ!B12</f>
        <v>อ.จักราช  จ.นครราชสีมา</v>
      </c>
      <c r="C9" s="1208" t="str">
        <f>กรอกราคาวัสดุ!C12</f>
        <v>ลูกรัง</v>
      </c>
      <c r="D9" s="1263">
        <f>กรอกราคาวัสดุ!D12</f>
        <v>60</v>
      </c>
      <c r="E9" s="1853" t="str">
        <f>กรอกราคาวัสดุ!E12</f>
        <v>บาท/ลบ.ม. ขนส่ง</v>
      </c>
      <c r="F9" s="1853">
        <f>กรอกราคาวัสดุ!G12</f>
        <v>24</v>
      </c>
      <c r="G9" s="1263" t="str">
        <f>กรอกราคาวัสดุ!H12</f>
        <v xml:space="preserve">กม.     </v>
      </c>
      <c r="H9" s="1211" t="str">
        <f>กรอกราคาวัสดุ!I12</f>
        <v>=</v>
      </c>
      <c r="I9" s="1861">
        <f>กรอกราคาวัสดุ!J12</f>
        <v>91.67</v>
      </c>
      <c r="J9" s="1208" t="str">
        <f>กรอกราคาวัสดุ!K12</f>
        <v>บาท/ลบ.ม.</v>
      </c>
      <c r="K9" s="2042" t="str">
        <f>กรอกราคาวัสดุ!L12</f>
        <v>รถสิบล้อ</v>
      </c>
      <c r="M9" s="1867"/>
      <c r="N9" s="1870"/>
      <c r="O9" s="1871"/>
      <c r="P9" s="1874"/>
      <c r="Q9" s="1867"/>
      <c r="R9" s="1867"/>
      <c r="S9" s="1867"/>
      <c r="T9" s="1873"/>
      <c r="U9" s="1867"/>
    </row>
    <row r="10" spans="1:22" ht="20.100000000000001" customHeight="1">
      <c r="A10" s="1211">
        <f>กรอกราคาวัสดุ!A13</f>
        <v>5</v>
      </c>
      <c r="B10" s="1208" t="str">
        <f>กรอกราคาวัสดุ!B13</f>
        <v>อ.โชคชัย  จ.นครราชสีมา</v>
      </c>
      <c r="C10" s="1208" t="str">
        <f>กรอกราคาวัสดุ!C13</f>
        <v>หินคลุก</v>
      </c>
      <c r="D10" s="1263">
        <f>กรอกราคาวัสดุ!D13</f>
        <v>252</v>
      </c>
      <c r="E10" s="1853" t="str">
        <f>กรอกราคาวัสดุ!E13</f>
        <v>บาท/ลบ.ม. ขนส่ง</v>
      </c>
      <c r="F10" s="1853">
        <f>กรอกราคาวัสดุ!G13</f>
        <v>73</v>
      </c>
      <c r="G10" s="1263" t="str">
        <f>กรอกราคาวัสดุ!H13</f>
        <v xml:space="preserve">กม.     </v>
      </c>
      <c r="H10" s="1211" t="str">
        <f>กรอกราคาวัสดุ!I13</f>
        <v>=</v>
      </c>
      <c r="I10" s="1861">
        <f>กรอกราคาวัสดุ!J13</f>
        <v>172.94</v>
      </c>
      <c r="J10" s="1208" t="str">
        <f>กรอกราคาวัสดุ!K13</f>
        <v>บาท/ลบ.ม.</v>
      </c>
      <c r="K10" s="2042" t="str">
        <f>กรอกราคาวัสดุ!L13</f>
        <v>รถสิบล้อลากพ่วง</v>
      </c>
      <c r="M10" s="1867"/>
      <c r="N10" s="1870"/>
      <c r="O10" s="1871"/>
      <c r="P10" s="1867"/>
      <c r="Q10" s="1867"/>
      <c r="R10" s="1867"/>
      <c r="S10" s="1867"/>
      <c r="T10" s="1873"/>
      <c r="U10" s="1867"/>
    </row>
    <row r="11" spans="1:22" ht="20.100000000000001" customHeight="1">
      <c r="A11" s="1211">
        <f>กรอกราคาวัสดุ!A14</f>
        <v>6</v>
      </c>
      <c r="B11" s="1208" t="str">
        <f>กรอกราคาวัสดุ!B14</f>
        <v>อ.โชคชัย  จ.นครราชสีมา</v>
      </c>
      <c r="C11" s="1208" t="str">
        <f>กรอกราคาวัสดุ!C14</f>
        <v>หินฝุ่น</v>
      </c>
      <c r="D11" s="1263">
        <f>กรอกราคาวัสดุ!D14</f>
        <v>326</v>
      </c>
      <c r="E11" s="1853" t="str">
        <f>กรอกราคาวัสดุ!E14</f>
        <v>บาท/ลบ.ม. ขนส่ง</v>
      </c>
      <c r="F11" s="1853">
        <f>กรอกราคาวัสดุ!G14</f>
        <v>73</v>
      </c>
      <c r="G11" s="1263" t="str">
        <f>กรอกราคาวัสดุ!H14</f>
        <v xml:space="preserve">กม.     </v>
      </c>
      <c r="H11" s="1211" t="str">
        <f>กรอกราคาวัสดุ!I14</f>
        <v>=</v>
      </c>
      <c r="I11" s="1861">
        <f>กรอกราคาวัสดุ!J14</f>
        <v>172.94</v>
      </c>
      <c r="J11" s="1208" t="str">
        <f>กรอกราคาวัสดุ!K14</f>
        <v>บาท/ลบ.ม.</v>
      </c>
      <c r="K11" s="2042" t="str">
        <f>กรอกราคาวัสดุ!L14</f>
        <v>รถสิบล้อลากพ่วง</v>
      </c>
      <c r="M11" s="1863"/>
      <c r="N11" s="1865"/>
      <c r="O11" s="1863"/>
      <c r="P11" s="1863"/>
      <c r="Q11" s="2193"/>
      <c r="R11" s="2193"/>
      <c r="S11" s="1863"/>
      <c r="T11" s="1869"/>
      <c r="U11" s="1367"/>
    </row>
    <row r="12" spans="1:22" ht="20.100000000000001" customHeight="1">
      <c r="A12" s="1211">
        <f>กรอกราคาวัสดุ!A15</f>
        <v>7</v>
      </c>
      <c r="B12" s="1208" t="str">
        <f>กรอกราคาวัสดุ!B15</f>
        <v>อ.โชคชัย  จ.นครราชสีมา</v>
      </c>
      <c r="C12" s="1208" t="str">
        <f>กรอกราคาวัสดุ!C15</f>
        <v>หิน  3/4"</v>
      </c>
      <c r="D12" s="1263">
        <f>กรอกราคาวัสดุ!D15</f>
        <v>428</v>
      </c>
      <c r="E12" s="1853" t="str">
        <f>กรอกราคาวัสดุ!E15</f>
        <v>บาท/ลบ.ม. ขนส่ง</v>
      </c>
      <c r="F12" s="1853">
        <f>กรอกราคาวัสดุ!G15</f>
        <v>73</v>
      </c>
      <c r="G12" s="1263" t="str">
        <f>กรอกราคาวัสดุ!H15</f>
        <v xml:space="preserve">กม.     </v>
      </c>
      <c r="H12" s="1211" t="str">
        <f>กรอกราคาวัสดุ!I15</f>
        <v>=</v>
      </c>
      <c r="I12" s="1861">
        <f>กรอกราคาวัสดุ!J15</f>
        <v>172.94</v>
      </c>
      <c r="J12" s="1208" t="str">
        <f>กรอกราคาวัสดุ!K15</f>
        <v>บาท/ลบ.ม.</v>
      </c>
      <c r="K12" s="2042" t="str">
        <f>กรอกราคาวัสดุ!L15</f>
        <v>รถสิบล้อลากพ่วง</v>
      </c>
      <c r="M12" s="1863"/>
      <c r="N12" s="1875"/>
      <c r="O12" s="1876"/>
      <c r="P12" s="1863"/>
      <c r="Q12" s="1863"/>
      <c r="R12" s="1863"/>
      <c r="S12" s="1863"/>
      <c r="T12" s="1877"/>
      <c r="U12" s="1367"/>
    </row>
    <row r="13" spans="1:22" ht="20.100000000000001" customHeight="1">
      <c r="A13" s="1211">
        <f>กรอกราคาวัสดุ!A16</f>
        <v>8</v>
      </c>
      <c r="B13" s="1208" t="str">
        <f>กรอกราคาวัสดุ!B16</f>
        <v>อ.โชคชัย  จ.นครราชสีมา</v>
      </c>
      <c r="C13" s="1208" t="str">
        <f>กรอกราคาวัสดุ!C16</f>
        <v>หิน  1/2"</v>
      </c>
      <c r="D13" s="1263">
        <f>กรอกราคาวัสดุ!D16</f>
        <v>424</v>
      </c>
      <c r="E13" s="1853" t="str">
        <f>กรอกราคาวัสดุ!E16</f>
        <v>บาท/ลบ.ม. ขนส่ง</v>
      </c>
      <c r="F13" s="1853">
        <f>กรอกราคาวัสดุ!G16</f>
        <v>73</v>
      </c>
      <c r="G13" s="1263" t="str">
        <f>กรอกราคาวัสดุ!H16</f>
        <v xml:space="preserve">กม.     </v>
      </c>
      <c r="H13" s="1211" t="str">
        <f>กรอกราคาวัสดุ!I16</f>
        <v>=</v>
      </c>
      <c r="I13" s="1861">
        <f>กรอกราคาวัสดุ!J16</f>
        <v>172.94</v>
      </c>
      <c r="J13" s="1208" t="str">
        <f>กรอกราคาวัสดุ!K16</f>
        <v>บาท/ลบ.ม.</v>
      </c>
      <c r="K13" s="2042" t="str">
        <f>กรอกราคาวัสดุ!L16</f>
        <v>รถสิบล้อลากพ่วง</v>
      </c>
      <c r="M13" s="1863"/>
      <c r="N13" s="1875"/>
      <c r="O13" s="1876"/>
      <c r="P13" s="1863"/>
      <c r="Q13" s="1863"/>
      <c r="R13" s="1863"/>
      <c r="S13" s="1863"/>
      <c r="T13" s="1877"/>
      <c r="U13" s="1367"/>
    </row>
    <row r="14" spans="1:22" ht="20.100000000000001" customHeight="1">
      <c r="A14" s="1211">
        <f>กรอกราคาวัสดุ!A17</f>
        <v>9</v>
      </c>
      <c r="B14" s="1208" t="str">
        <f>กรอกราคาวัสดุ!B17</f>
        <v>อ.โชคชัย  จ.นครราชสีมา</v>
      </c>
      <c r="C14" s="1208" t="str">
        <f>กรอกราคาวัสดุ!C17</f>
        <v>หิน  3/8"</v>
      </c>
      <c r="D14" s="1263">
        <f>กรอกราคาวัสดุ!D17</f>
        <v>273</v>
      </c>
      <c r="E14" s="1853" t="str">
        <f>กรอกราคาวัสดุ!E17</f>
        <v>บาท/ลบ.ม. ขนส่ง</v>
      </c>
      <c r="F14" s="1853">
        <f>กรอกราคาวัสดุ!G17</f>
        <v>73</v>
      </c>
      <c r="G14" s="1263" t="str">
        <f>กรอกราคาวัสดุ!H17</f>
        <v xml:space="preserve">กม.     </v>
      </c>
      <c r="H14" s="1211" t="str">
        <f>กรอกราคาวัสดุ!I17</f>
        <v>=</v>
      </c>
      <c r="I14" s="1861">
        <f>กรอกราคาวัสดุ!J17</f>
        <v>172.94</v>
      </c>
      <c r="J14" s="1208" t="str">
        <f>กรอกราคาวัสดุ!K17</f>
        <v>บาท/ลบ.ม.</v>
      </c>
      <c r="K14" s="2042" t="str">
        <f>กรอกราคาวัสดุ!L17</f>
        <v>รถสิบล้อลากพ่วง</v>
      </c>
      <c r="M14" s="1863"/>
      <c r="N14" s="1875"/>
      <c r="O14" s="1876"/>
      <c r="P14" s="1863"/>
      <c r="Q14" s="1863"/>
      <c r="R14" s="1863"/>
      <c r="S14" s="1863"/>
      <c r="T14" s="1877"/>
      <c r="U14" s="1367"/>
    </row>
    <row r="15" spans="1:22" ht="20.100000000000001" customHeight="1">
      <c r="A15" s="1211">
        <f>กรอกราคาวัสดุ!A18</f>
        <v>10</v>
      </c>
      <c r="B15" s="1208" t="str">
        <f>กรอกราคาวัสดุ!B18</f>
        <v>อ.โชคชัย  จ.นครราชสีมา</v>
      </c>
      <c r="C15" s="1208" t="str">
        <f>กรอกราคาวัสดุ!C18</f>
        <v>หินผสมคอนกรีต</v>
      </c>
      <c r="D15" s="1263">
        <f>กรอกราคาวัสดุ!D18</f>
        <v>464</v>
      </c>
      <c r="E15" s="1853" t="str">
        <f>กรอกราคาวัสดุ!E18</f>
        <v>บาท/ลบ.ม. ขนส่ง</v>
      </c>
      <c r="F15" s="1853">
        <f>กรอกราคาวัสดุ!G18</f>
        <v>73</v>
      </c>
      <c r="G15" s="1263" t="str">
        <f>กรอกราคาวัสดุ!H18</f>
        <v xml:space="preserve">กม.     </v>
      </c>
      <c r="H15" s="1211" t="str">
        <f>กรอกราคาวัสดุ!I18</f>
        <v>=</v>
      </c>
      <c r="I15" s="1861">
        <f>กรอกราคาวัสดุ!J18</f>
        <v>172.94</v>
      </c>
      <c r="J15" s="1208" t="str">
        <f>กรอกราคาวัสดุ!K18</f>
        <v>บาท/ลบ.ม.</v>
      </c>
      <c r="K15" s="2042" t="str">
        <f>กรอกราคาวัสดุ!L18</f>
        <v>รถสิบล้อลากพ่วง</v>
      </c>
      <c r="M15" s="1878"/>
      <c r="N15" s="1865"/>
      <c r="O15" s="1863"/>
      <c r="P15" s="1863"/>
      <c r="Q15" s="2193"/>
      <c r="R15" s="2193"/>
      <c r="S15" s="1863"/>
      <c r="T15" s="1869"/>
      <c r="U15" s="1367"/>
    </row>
    <row r="16" spans="1:22" ht="20.100000000000001" customHeight="1">
      <c r="A16" s="1211">
        <f>กรอกราคาวัสดุ!A19</f>
        <v>11</v>
      </c>
      <c r="B16" s="1208" t="str">
        <f>กรอกราคาวัสดุ!B19</f>
        <v>อ.โชคชัย  จ.นครราชสีมา</v>
      </c>
      <c r="C16" s="1208" t="str">
        <f>กรอกราคาวัสดุ!C19</f>
        <v>หินผสม AC</v>
      </c>
      <c r="D16" s="1263">
        <f>กรอกราคาวัสดุ!D19</f>
        <v>353.34999999999997</v>
      </c>
      <c r="E16" s="1853" t="str">
        <f>กรอกราคาวัสดุ!E19</f>
        <v>บาท/ลบ.ม. ขนส่ง</v>
      </c>
      <c r="F16" s="1853">
        <f>กรอกราคาวัสดุ!G19</f>
        <v>73</v>
      </c>
      <c r="G16" s="1263" t="str">
        <f>กรอกราคาวัสดุ!H19</f>
        <v xml:space="preserve">กม.     </v>
      </c>
      <c r="H16" s="1211" t="str">
        <f>กรอกราคาวัสดุ!I19</f>
        <v>=</v>
      </c>
      <c r="I16" s="1861">
        <f>กรอกราคาวัสดุ!J19</f>
        <v>172.94</v>
      </c>
      <c r="J16" s="1208" t="str">
        <f>กรอกราคาวัสดุ!K19</f>
        <v>บาท/ลบ.ม.</v>
      </c>
      <c r="K16" s="2042" t="str">
        <f>กรอกราคาวัสดุ!L19</f>
        <v>รถสิบล้อลากพ่วง</v>
      </c>
      <c r="M16" s="1863"/>
      <c r="N16" s="1875"/>
      <c r="O16" s="1876"/>
      <c r="P16" s="1863"/>
      <c r="Q16" s="1863"/>
      <c r="R16" s="1863"/>
      <c r="S16" s="1863"/>
      <c r="T16" s="1877"/>
      <c r="U16" s="1367"/>
    </row>
    <row r="17" spans="1:21" ht="20.100000000000001" customHeight="1">
      <c r="A17" s="1211">
        <f>กรอกราคาวัสดุ!A20</f>
        <v>12</v>
      </c>
      <c r="B17" s="1208" t="str">
        <f>กรอกราคาวัสดุ!B20</f>
        <v>อ.สูงเนิน  จ.นครราชสีมา</v>
      </c>
      <c r="C17" s="1208" t="str">
        <f>กรอกราคาวัสดุ!C20</f>
        <v>ยาง CSS - 1</v>
      </c>
      <c r="D17" s="1263">
        <f>กรอกราคาวัสดุ!D20</f>
        <v>27483.33</v>
      </c>
      <c r="E17" s="1853" t="str">
        <f>กรอกราคาวัสดุ!E20</f>
        <v>บาท/ตัน ขนส่ง</v>
      </c>
      <c r="F17" s="1853">
        <f>กรอกราคาวัสดุ!G20</f>
        <v>90</v>
      </c>
      <c r="G17" s="1263" t="str">
        <f>กรอกราคาวัสดุ!H20</f>
        <v xml:space="preserve">กม.     </v>
      </c>
      <c r="H17" s="1211" t="str">
        <f>กรอกราคาวัสดุ!I20</f>
        <v>=</v>
      </c>
      <c r="I17" s="1861" t="str">
        <f>กรอกราคาวัสดุ!J20</f>
        <v>152.18</v>
      </c>
      <c r="J17" s="1208" t="str">
        <f>กรอกราคาวัสดุ!K20</f>
        <v>บาท/ตัน</v>
      </c>
      <c r="K17" s="2042" t="str">
        <f>กรอกราคาวัสดุ!L20</f>
        <v>รถสิบล้อลากพ่วง</v>
      </c>
      <c r="M17" s="1863"/>
      <c r="N17" s="1875"/>
      <c r="O17" s="1876"/>
      <c r="P17" s="1863"/>
      <c r="Q17" s="1863"/>
      <c r="R17" s="1863"/>
      <c r="S17" s="1863"/>
      <c r="T17" s="1877"/>
      <c r="U17" s="1367"/>
    </row>
    <row r="18" spans="1:21" ht="20.100000000000001" customHeight="1">
      <c r="A18" s="1211">
        <f>กรอกราคาวัสดุ!A21</f>
        <v>13</v>
      </c>
      <c r="B18" s="1208" t="str">
        <f>กรอกราคาวัสดุ!B21</f>
        <v>อ.สูงเนิน  จ.นครราชสีมา</v>
      </c>
      <c r="C18" s="1208" t="str">
        <f>กรอกราคาวัสดุ!C21</f>
        <v>ยาง CSS - 1h</v>
      </c>
      <c r="D18" s="1263">
        <f>กรอกราคาวัสดุ!D21</f>
        <v>30865</v>
      </c>
      <c r="E18" s="1853" t="str">
        <f>กรอกราคาวัสดุ!E21</f>
        <v>บาท/ตัน ขนส่ง</v>
      </c>
      <c r="F18" s="1853">
        <f>กรอกราคาวัสดุ!G21</f>
        <v>90</v>
      </c>
      <c r="G18" s="1263" t="str">
        <f>กรอกราคาวัสดุ!H21</f>
        <v xml:space="preserve">กม.     </v>
      </c>
      <c r="H18" s="1211" t="str">
        <f>กรอกราคาวัสดุ!I21</f>
        <v>=</v>
      </c>
      <c r="I18" s="1861" t="str">
        <f>กรอกราคาวัสดุ!J21</f>
        <v>152.18</v>
      </c>
      <c r="J18" s="1208" t="str">
        <f>กรอกราคาวัสดุ!K21</f>
        <v>บาท/ตัน</v>
      </c>
      <c r="K18" s="2042" t="str">
        <f>กรอกราคาวัสดุ!L21</f>
        <v>รถสิบล้อลากพ่วง</v>
      </c>
      <c r="M18" s="1863"/>
      <c r="N18" s="1875"/>
      <c r="O18" s="1876"/>
      <c r="P18" s="1863"/>
      <c r="Q18" s="1863"/>
      <c r="R18" s="1863"/>
      <c r="S18" s="1863"/>
      <c r="T18" s="1877"/>
      <c r="U18" s="1367"/>
    </row>
    <row r="19" spans="1:21" ht="20.100000000000001" customHeight="1">
      <c r="A19" s="1211">
        <f>กรอกราคาวัสดุ!A22</f>
        <v>14</v>
      </c>
      <c r="B19" s="1208" t="str">
        <f>กรอกราคาวัสดุ!B22</f>
        <v>อ.สูงเนิน  จ.นครราชสีมา</v>
      </c>
      <c r="C19" s="1208" t="str">
        <f>กรอกราคาวัสดุ!C22</f>
        <v>ยาง CSS - 1h (EMA)</v>
      </c>
      <c r="D19" s="1263">
        <f>กรอกราคาวัสดุ!D22</f>
        <v>40900</v>
      </c>
      <c r="E19" s="1853" t="str">
        <f>กรอกราคาวัสดุ!E22</f>
        <v>บาท/ตัน ขนส่ง</v>
      </c>
      <c r="F19" s="1853">
        <f>กรอกราคาวัสดุ!G22</f>
        <v>90</v>
      </c>
      <c r="G19" s="1263" t="str">
        <f>กรอกราคาวัสดุ!H22</f>
        <v xml:space="preserve">กม.     </v>
      </c>
      <c r="H19" s="1211" t="str">
        <f>กรอกราคาวัสดุ!I22</f>
        <v>=</v>
      </c>
      <c r="I19" s="1861" t="str">
        <f>กรอกราคาวัสดุ!J22</f>
        <v>152.18</v>
      </c>
      <c r="J19" s="1208" t="str">
        <f>กรอกราคาวัสดุ!K22</f>
        <v>บาท/ตัน</v>
      </c>
      <c r="K19" s="2042" t="str">
        <f>กรอกราคาวัสดุ!L22</f>
        <v>รถสิบล้อลากพ่วง</v>
      </c>
      <c r="M19" s="1863"/>
      <c r="N19" s="1875"/>
      <c r="O19" s="1876"/>
      <c r="P19" s="1863"/>
      <c r="Q19" s="1863"/>
      <c r="R19" s="1863"/>
      <c r="S19" s="1863"/>
      <c r="T19" s="1877"/>
      <c r="U19" s="1367"/>
    </row>
    <row r="20" spans="1:21" ht="20.100000000000001" customHeight="1">
      <c r="A20" s="1211">
        <f>กรอกราคาวัสดุ!A23</f>
        <v>15</v>
      </c>
      <c r="B20" s="1208" t="str">
        <f>กรอกราคาวัสดุ!B23</f>
        <v>อ.สูงเนิน  จ.นครราชสีมา</v>
      </c>
      <c r="C20" s="1208" t="str">
        <f>กรอกราคาวัสดุ!C23</f>
        <v>ยาง CRS - 2</v>
      </c>
      <c r="D20" s="1263">
        <f>กรอกราคาวัสดุ!D23</f>
        <v>27316.67</v>
      </c>
      <c r="E20" s="1853" t="str">
        <f>กรอกราคาวัสดุ!E23</f>
        <v>บาท/ตัน ขนส่ง</v>
      </c>
      <c r="F20" s="1853">
        <f>กรอกราคาวัสดุ!G23</f>
        <v>90</v>
      </c>
      <c r="G20" s="1263" t="str">
        <f>กรอกราคาวัสดุ!H23</f>
        <v xml:space="preserve">กม.     </v>
      </c>
      <c r="H20" s="1211" t="str">
        <f>กรอกราคาวัสดุ!I23</f>
        <v>=</v>
      </c>
      <c r="I20" s="1861" t="str">
        <f>กรอกราคาวัสดุ!J23</f>
        <v>152.18</v>
      </c>
      <c r="J20" s="1208" t="str">
        <f>กรอกราคาวัสดุ!K23</f>
        <v>บาท/ตัน</v>
      </c>
      <c r="K20" s="2042" t="str">
        <f>กรอกราคาวัสดุ!L23</f>
        <v>รถสิบล้อลากพ่วง</v>
      </c>
      <c r="M20" s="1863"/>
      <c r="N20" s="1875"/>
      <c r="O20" s="1876"/>
      <c r="P20" s="1863"/>
      <c r="Q20" s="1863"/>
      <c r="R20" s="1863"/>
      <c r="S20" s="1863"/>
      <c r="T20" s="1877"/>
      <c r="U20" s="1367"/>
    </row>
    <row r="21" spans="1:21" ht="20.100000000000001" customHeight="1">
      <c r="A21" s="1211">
        <f>กรอกราคาวัสดุ!A24</f>
        <v>16</v>
      </c>
      <c r="B21" s="1208" t="str">
        <f>กรอกราคาวัสดุ!B24</f>
        <v>อ.สูงเนิน  จ.นครราชสีมา</v>
      </c>
      <c r="C21" s="1208" t="str">
        <f>กรอกราคาวัสดุ!C24</f>
        <v>ยาง CMS - 2h</v>
      </c>
      <c r="D21" s="1263">
        <f>กรอกราคาวัสดุ!D24</f>
        <v>27910</v>
      </c>
      <c r="E21" s="1853" t="str">
        <f>กรอกราคาวัสดุ!E24</f>
        <v>บาท/ตัน ขนส่ง</v>
      </c>
      <c r="F21" s="1853">
        <f>กรอกราคาวัสดุ!G24</f>
        <v>90</v>
      </c>
      <c r="G21" s="1263" t="str">
        <f>กรอกราคาวัสดุ!H24</f>
        <v xml:space="preserve">กม.     </v>
      </c>
      <c r="H21" s="1211" t="str">
        <f>กรอกราคาวัสดุ!I24</f>
        <v>=</v>
      </c>
      <c r="I21" s="1861" t="str">
        <f>กรอกราคาวัสดุ!J24</f>
        <v>152.18</v>
      </c>
      <c r="J21" s="1208" t="str">
        <f>กรอกราคาวัสดุ!K24</f>
        <v>บาท/ตัน</v>
      </c>
      <c r="K21" s="2042" t="str">
        <f>กรอกราคาวัสดุ!L24</f>
        <v>รถสิบล้อลากพ่วง</v>
      </c>
      <c r="M21" s="1859"/>
      <c r="N21" s="1879"/>
      <c r="O21" s="1879"/>
      <c r="P21" s="1879"/>
      <c r="Q21" s="1367"/>
      <c r="R21" s="1367"/>
      <c r="S21" s="1367"/>
      <c r="T21" s="1367"/>
      <c r="U21" s="1367"/>
    </row>
    <row r="22" spans="1:21" ht="20.100000000000001" customHeight="1">
      <c r="A22" s="1211">
        <f>กรอกราคาวัสดุ!A25</f>
        <v>17</v>
      </c>
      <c r="B22" s="1208" t="str">
        <f>กรอกราคาวัสดุ!B25</f>
        <v>อ.สูงเนิน  จ.นครราชสีมา</v>
      </c>
      <c r="C22" s="1208" t="str">
        <f>กรอกราคาวัสดุ!C25</f>
        <v>ยาง MC - 70</v>
      </c>
      <c r="D22" s="1263">
        <f>กรอกราคาวัสดุ!D25</f>
        <v>42870</v>
      </c>
      <c r="E22" s="1853" t="str">
        <f>กรอกราคาวัสดุ!E25</f>
        <v>บาท/ตัน ขนส่ง</v>
      </c>
      <c r="F22" s="1853">
        <f>กรอกราคาวัสดุ!G25</f>
        <v>90</v>
      </c>
      <c r="G22" s="1263" t="str">
        <f>กรอกราคาวัสดุ!H25</f>
        <v xml:space="preserve">กม.     </v>
      </c>
      <c r="H22" s="1211" t="str">
        <f>กรอกราคาวัสดุ!I25</f>
        <v>=</v>
      </c>
      <c r="I22" s="1861" t="str">
        <f>กรอกราคาวัสดุ!J25</f>
        <v>152.18</v>
      </c>
      <c r="J22" s="1208" t="str">
        <f>กรอกราคาวัสดุ!K25</f>
        <v>บาท/ตัน</v>
      </c>
      <c r="K22" s="2042" t="str">
        <f>กรอกราคาวัสดุ!L25</f>
        <v>รถสิบล้อลากพ่วง</v>
      </c>
      <c r="M22" s="1863"/>
      <c r="N22" s="1367"/>
      <c r="O22" s="1367"/>
      <c r="P22" s="1880"/>
      <c r="Q22" s="1881"/>
      <c r="R22" s="1882"/>
      <c r="S22" s="1876"/>
      <c r="T22" s="1880"/>
      <c r="U22" s="1367"/>
    </row>
    <row r="23" spans="1:21" ht="20.100000000000001" customHeight="1">
      <c r="A23" s="1211">
        <f>กรอกราคาวัสดุ!A26</f>
        <v>18</v>
      </c>
      <c r="B23" s="1208" t="str">
        <f>กรอกราคาวัสดุ!B26</f>
        <v>อ.สูงเนิน  จ.นครราชสีมา</v>
      </c>
      <c r="C23" s="1856" t="str">
        <f>กรอกราคาวัสดุ!C26</f>
        <v>ยาง AC 60-70 (ถึง Plant Mobile)</v>
      </c>
      <c r="D23" s="1263">
        <f>กรอกราคาวัสดุ!D26</f>
        <v>31403.33</v>
      </c>
      <c r="E23" s="1853" t="str">
        <f>กรอกราคาวัสดุ!E26</f>
        <v>บาท/ตัน ขนส่ง</v>
      </c>
      <c r="F23" s="1853">
        <f>กรอกราคาวัสดุ!G26</f>
        <v>90</v>
      </c>
      <c r="G23" s="1263" t="str">
        <f>กรอกราคาวัสดุ!H26</f>
        <v xml:space="preserve">กม.     </v>
      </c>
      <c r="H23" s="1211" t="str">
        <f>กรอกราคาวัสดุ!I26</f>
        <v>=</v>
      </c>
      <c r="I23" s="1861" t="str">
        <f>กรอกราคาวัสดุ!J26</f>
        <v>152.18</v>
      </c>
      <c r="J23" s="1208" t="str">
        <f>กรอกราคาวัสดุ!K26</f>
        <v>บาท/ตัน</v>
      </c>
      <c r="K23" s="2042" t="str">
        <f>กรอกราคาวัสดุ!L26</f>
        <v>รถสิบล้อลากพ่วง</v>
      </c>
      <c r="M23" s="1863"/>
      <c r="N23" s="1367"/>
      <c r="O23" s="1367"/>
      <c r="P23" s="1880"/>
      <c r="Q23" s="1881"/>
      <c r="R23" s="1882"/>
      <c r="S23" s="1876"/>
      <c r="T23" s="1880"/>
      <c r="U23" s="1367"/>
    </row>
    <row r="24" spans="1:21" ht="20.100000000000001" customHeight="1">
      <c r="A24" s="1211">
        <f>กรอกราคาวัสดุ!A27</f>
        <v>19</v>
      </c>
      <c r="B24" s="1208" t="str">
        <f>กรอกราคาวัสดุ!B27</f>
        <v>อ.สูงเนิน  จ.นครราชสีมา</v>
      </c>
      <c r="D24" s="1263"/>
      <c r="F24" s="1853"/>
      <c r="G24" s="1263"/>
      <c r="H24" s="1211"/>
      <c r="I24" s="1861"/>
      <c r="J24" s="1208"/>
      <c r="M24" s="1863"/>
      <c r="N24" s="1367"/>
      <c r="O24" s="1367"/>
      <c r="P24" s="1880"/>
      <c r="Q24" s="1881"/>
      <c r="R24" s="1882"/>
      <c r="S24" s="1876"/>
      <c r="T24" s="1880"/>
      <c r="U24" s="1367"/>
    </row>
    <row r="25" spans="1:21" ht="20.100000000000001" customHeight="1">
      <c r="B25" s="1208" t="str">
        <f>กรอกราคาวัสดุ!B28</f>
        <v xml:space="preserve">ยางมะตอยซีเมนต์ปรับปรุงคุณภาพด้วยยางธรรมชาติ (PARA AC) </v>
      </c>
      <c r="C25" s="1883"/>
      <c r="D25" s="1263">
        <f>กรอกราคาวัสดุ!D28</f>
        <v>30375</v>
      </c>
      <c r="E25" s="1853" t="str">
        <f>กรอกราคาวัสดุ!E28</f>
        <v>บาท/ตัน ขนส่ง</v>
      </c>
      <c r="F25" s="1853">
        <f>กรอกราคาวัสดุ!G28</f>
        <v>90</v>
      </c>
      <c r="G25" s="1263" t="str">
        <f>กรอกราคาวัสดุ!H28</f>
        <v xml:space="preserve">กม.     </v>
      </c>
      <c r="H25" s="1211" t="str">
        <f>กรอกราคาวัสดุ!I28</f>
        <v>=</v>
      </c>
      <c r="I25" s="1861" t="str">
        <f>กรอกราคาวัสดุ!J28</f>
        <v>152.18</v>
      </c>
      <c r="J25" s="1208" t="str">
        <f>กรอกราคาวัสดุ!K28</f>
        <v>บาท/ตัน</v>
      </c>
      <c r="K25" s="2042" t="str">
        <f>กรอกราคาวัสดุ!L28</f>
        <v>รถสิบล้อลากพ่วง</v>
      </c>
      <c r="M25" s="1863"/>
      <c r="N25" s="1367"/>
      <c r="O25" s="1367"/>
      <c r="P25" s="1880"/>
      <c r="Q25" s="1881"/>
      <c r="R25" s="1882"/>
      <c r="S25" s="1876"/>
      <c r="T25" s="1880"/>
      <c r="U25" s="1367"/>
    </row>
    <row r="26" spans="1:21" ht="20.100000000000001" customHeight="1">
      <c r="A26" s="1211">
        <f>กรอกราคาวัสดุ!A29</f>
        <v>20</v>
      </c>
      <c r="B26" s="1884" t="str">
        <f>กรอกราคาวัสดุ!B36</f>
        <v>Asphaltic Concrete Plant Mobile ถึงพื้นที่ก่อสร้าง (บนPrime Coat)</v>
      </c>
      <c r="C26" s="1885">
        <f>กรอกราคาวัสดุ!C36</f>
        <v>0</v>
      </c>
      <c r="D26" s="1886" t="e">
        <f>กรอกราคาวัสดุ!D36</f>
        <v>#DIV/0!</v>
      </c>
      <c r="E26" s="1853" t="str">
        <f>กรอกราคาวัสดุ!E36</f>
        <v>บาท/ตัน ขนส่ง</v>
      </c>
      <c r="F26" s="1853">
        <f>กรอกราคาวัสดุ!G36</f>
        <v>1</v>
      </c>
      <c r="G26" s="1263" t="str">
        <f>กรอกราคาวัสดุ!H36</f>
        <v xml:space="preserve">กม.     </v>
      </c>
      <c r="H26" s="1211" t="str">
        <f>กรอกราคาวัสดุ!I36</f>
        <v>=</v>
      </c>
      <c r="I26" s="1861" t="str">
        <f>กรอกราคาวัสดุ!J36</f>
        <v>8.32</v>
      </c>
      <c r="J26" s="1208" t="str">
        <f>กรอกราคาวัสดุ!K36</f>
        <v>บาท/ตัน</v>
      </c>
      <c r="K26" s="2042" t="str">
        <f>กรอกราคาวัสดุ!L36</f>
        <v>รถสิบล้อ</v>
      </c>
    </row>
    <row r="27" spans="1:21" ht="20.100000000000001" customHeight="1">
      <c r="A27" s="1211">
        <f>กรอกราคาวัสดุ!A30</f>
        <v>21</v>
      </c>
      <c r="B27" s="1208" t="str">
        <f>กรอกราคาวัสดุ!B37</f>
        <v>อ.พิมาย  จ.นครราชสีมา</v>
      </c>
      <c r="C27" s="1208" t="str">
        <f>กรอกราคาวัสดุ!C37</f>
        <v>ทรายถม</v>
      </c>
      <c r="D27" s="1263">
        <f>กรอกราคาวัสดุ!D37</f>
        <v>135</v>
      </c>
      <c r="E27" s="1853" t="str">
        <f>กรอกราคาวัสดุ!E37</f>
        <v>บาท/ลบ.ม. ขนส่ง</v>
      </c>
      <c r="F27" s="1853">
        <f>กรอกราคาวัสดุ!G37</f>
        <v>50</v>
      </c>
      <c r="G27" s="1263" t="str">
        <f>กรอกราคาวัสดุ!H37</f>
        <v xml:space="preserve">กม.     </v>
      </c>
      <c r="H27" s="1211" t="str">
        <f>กรอกราคาวัสดุ!I37</f>
        <v>=</v>
      </c>
      <c r="I27" s="1861">
        <f>กรอกราคาวัสดุ!J37</f>
        <v>118.73</v>
      </c>
      <c r="J27" s="1208" t="str">
        <f>กรอกราคาวัสดุ!K37</f>
        <v>บาท/ลบ.ม.</v>
      </c>
      <c r="K27" s="2042" t="str">
        <f>กรอกราคาวัสดุ!L37</f>
        <v>รถสิบล้อลากพ่วง</v>
      </c>
    </row>
    <row r="28" spans="1:21" ht="20.100000000000001" customHeight="1">
      <c r="A28" s="1211">
        <f>กรอกราคาวัสดุ!A31</f>
        <v>22</v>
      </c>
      <c r="B28" s="1208" t="str">
        <f>กรอกราคาวัสดุ!B38</f>
        <v>อ.พิมาย  จ.นครราชสีมา</v>
      </c>
      <c r="C28" s="1208" t="str">
        <f>กรอกราคาวัสดุ!C38</f>
        <v>ทรายหยาบ</v>
      </c>
      <c r="D28" s="1263">
        <f>กรอกราคาวัสดุ!D38</f>
        <v>220</v>
      </c>
      <c r="E28" s="1853" t="str">
        <f>กรอกราคาวัสดุ!E38</f>
        <v>บาท/ลบ.ม. ขนส่ง</v>
      </c>
      <c r="F28" s="1853">
        <f>กรอกราคาวัสดุ!G38</f>
        <v>50</v>
      </c>
      <c r="G28" s="1263" t="str">
        <f>กรอกราคาวัสดุ!H38</f>
        <v xml:space="preserve">กม.     </v>
      </c>
      <c r="H28" s="1211" t="str">
        <f>กรอกราคาวัสดุ!I38</f>
        <v>=</v>
      </c>
      <c r="I28" s="1861">
        <f>กรอกราคาวัสดุ!J38</f>
        <v>118.73</v>
      </c>
      <c r="J28" s="1208" t="str">
        <f>กรอกราคาวัสดุ!K38</f>
        <v>บาท/ลบ.ม.</v>
      </c>
      <c r="K28" s="2042" t="str">
        <f>กรอกราคาวัสดุ!L38</f>
        <v>รถสิบล้อลากพ่วง</v>
      </c>
    </row>
    <row r="29" spans="1:21" ht="20.100000000000001" customHeight="1">
      <c r="A29" s="1211">
        <f>กรอกราคาวัสดุ!A32</f>
        <v>23</v>
      </c>
      <c r="B29" s="1208" t="str">
        <f>กรอกราคาวัสดุ!B40</f>
        <v>อ.เมือง  จ.นครราชสีมา</v>
      </c>
      <c r="C29" s="1208" t="str">
        <f>กรอกราคาวัสดุ!C40</f>
        <v>ปูนชีเมนต์</v>
      </c>
      <c r="D29" s="1263">
        <f>กรอกราคาวัสดุ!D40</f>
        <v>2652.8</v>
      </c>
      <c r="E29" s="1853" t="str">
        <f>กรอกราคาวัสดุ!E40</f>
        <v>บาท/ตัน ขนส่ง</v>
      </c>
      <c r="F29" s="1853">
        <f>กรอกราคาวัสดุ!G40</f>
        <v>70</v>
      </c>
      <c r="G29" s="1263" t="str">
        <f>กรอกราคาวัสดุ!H40</f>
        <v xml:space="preserve">กม.     </v>
      </c>
      <c r="H29" s="1211" t="str">
        <f>กรอกราคาวัสดุ!I40</f>
        <v>=</v>
      </c>
      <c r="I29" s="1861" t="str">
        <f>กรอกราคาวัสดุ!J40</f>
        <v>118.48</v>
      </c>
      <c r="J29" s="1208" t="str">
        <f>กรอกราคาวัสดุ!K40</f>
        <v>บาท/ตัน</v>
      </c>
      <c r="K29" s="2042" t="str">
        <f>กรอกราคาวัสดุ!L40</f>
        <v>รถสิบล้อลากพ่วง</v>
      </c>
    </row>
    <row r="30" spans="1:21" ht="20.100000000000001" customHeight="1">
      <c r="A30" s="1211">
        <f>กรอกราคาวัสดุ!A33</f>
        <v>24</v>
      </c>
      <c r="B30" s="1208" t="str">
        <f>กรอกราคาวัสดุ!B41</f>
        <v>อ.เมือง  จ.นครราชสีมา</v>
      </c>
      <c r="C30" s="1208" t="s">
        <v>1898</v>
      </c>
      <c r="D30" s="1263">
        <f>กรอกราคาวัสดุ!D41</f>
        <v>26732.34</v>
      </c>
      <c r="E30" s="1853" t="str">
        <f>กรอกราคาวัสดุ!E41</f>
        <v>บาท/ตัน ขนส่ง</v>
      </c>
      <c r="F30" s="1853">
        <f>กรอกราคาวัสดุ!G41</f>
        <v>70</v>
      </c>
      <c r="G30" s="1263" t="str">
        <f>กรอกราคาวัสดุ!H41</f>
        <v xml:space="preserve">กม.     </v>
      </c>
      <c r="H30" s="1211" t="str">
        <f>กรอกราคาวัสดุ!I41</f>
        <v>=</v>
      </c>
      <c r="I30" s="1861" t="str">
        <f>กรอกราคาวัสดุ!J41</f>
        <v>118.48</v>
      </c>
      <c r="J30" s="1208" t="str">
        <f>กรอกราคาวัสดุ!K41</f>
        <v>บาท/ตัน</v>
      </c>
      <c r="K30" s="2042" t="str">
        <f>กรอกราคาวัสดุ!L41</f>
        <v>รถสิบล้อลากพ่วง</v>
      </c>
    </row>
    <row r="31" spans="1:21" ht="20.100000000000001" customHeight="1">
      <c r="A31" s="1211">
        <f>กรอกราคาวัสดุ!A34</f>
        <v>25</v>
      </c>
      <c r="B31" s="1208" t="str">
        <f>กรอกราคาวัสดุ!B42</f>
        <v>อ.เมือง  จ.นครราชสีมา</v>
      </c>
      <c r="C31" s="1208" t="s">
        <v>1899</v>
      </c>
      <c r="D31" s="1263">
        <f>กรอกราคาวัสดุ!D42</f>
        <v>25096.92</v>
      </c>
      <c r="E31" s="1853" t="str">
        <f>กรอกราคาวัสดุ!E42</f>
        <v>บาท/ตัน ขนส่ง</v>
      </c>
      <c r="F31" s="1853">
        <f>กรอกราคาวัสดุ!G42</f>
        <v>70</v>
      </c>
      <c r="G31" s="1263" t="str">
        <f>กรอกราคาวัสดุ!H42</f>
        <v xml:space="preserve">กม.     </v>
      </c>
      <c r="H31" s="1211" t="str">
        <f>กรอกราคาวัสดุ!I42</f>
        <v>=</v>
      </c>
      <c r="I31" s="1861" t="str">
        <f>กรอกราคาวัสดุ!J42</f>
        <v>118.48</v>
      </c>
      <c r="J31" s="1208" t="str">
        <f>กรอกราคาวัสดุ!K42</f>
        <v>บาท/ตัน</v>
      </c>
      <c r="K31" s="2042" t="str">
        <f>กรอกราคาวัสดุ!L42</f>
        <v>รถสิบล้อลากพ่วง</v>
      </c>
    </row>
    <row r="32" spans="1:21" ht="20.100000000000001" customHeight="1">
      <c r="A32" s="1211">
        <f>กรอกราคาวัสดุ!A35</f>
        <v>26</v>
      </c>
      <c r="B32" s="1208" t="str">
        <f>กรอกราคาวัสดุ!B43</f>
        <v>อ.เมือง  จ.นครราชสีมา</v>
      </c>
      <c r="C32" s="1208" t="s">
        <v>1900</v>
      </c>
      <c r="D32" s="1263">
        <f>กรอกราคาวัสดุ!D43</f>
        <v>28047.91</v>
      </c>
      <c r="E32" s="1853" t="str">
        <f>กรอกราคาวัสดุ!E43</f>
        <v>บาท/ตัน ขนส่ง</v>
      </c>
      <c r="F32" s="1853">
        <f>กรอกราคาวัสดุ!G43</f>
        <v>70</v>
      </c>
      <c r="G32" s="1263" t="str">
        <f>กรอกราคาวัสดุ!H43</f>
        <v xml:space="preserve">กม.     </v>
      </c>
      <c r="H32" s="1211" t="str">
        <f>กรอกราคาวัสดุ!I43</f>
        <v>=</v>
      </c>
      <c r="I32" s="1861" t="str">
        <f>กรอกราคาวัสดุ!J43</f>
        <v>118.48</v>
      </c>
      <c r="J32" s="1208" t="str">
        <f>กรอกราคาวัสดุ!K43</f>
        <v>บาท/ตัน</v>
      </c>
      <c r="K32" s="2042" t="str">
        <f>กรอกราคาวัสดุ!L43</f>
        <v>รถสิบล้อลากพ่วง</v>
      </c>
    </row>
    <row r="33" spans="1:11" ht="20.100000000000001" customHeight="1">
      <c r="A33" s="1211">
        <f>กรอกราคาวัสดุ!A36</f>
        <v>27</v>
      </c>
      <c r="B33" s="1208" t="str">
        <f>กรอกราคาวัสดุ!B44</f>
        <v>อ.เมือง  จ.นครราชสีมา</v>
      </c>
      <c r="C33" s="1208" t="s">
        <v>1901</v>
      </c>
      <c r="D33" s="1263">
        <f>กรอกราคาวัสดุ!D44</f>
        <v>27457.91</v>
      </c>
      <c r="E33" s="1853" t="str">
        <f>กรอกราคาวัสดุ!E44</f>
        <v>บาท/ตัน ขนส่ง</v>
      </c>
      <c r="F33" s="1853">
        <f>กรอกราคาวัสดุ!G44</f>
        <v>70</v>
      </c>
      <c r="G33" s="1263" t="str">
        <f>กรอกราคาวัสดุ!H44</f>
        <v xml:space="preserve">กม.     </v>
      </c>
      <c r="H33" s="1211" t="str">
        <f>กรอกราคาวัสดุ!I44</f>
        <v>=</v>
      </c>
      <c r="I33" s="1861" t="str">
        <f>กรอกราคาวัสดุ!J44</f>
        <v>118.48</v>
      </c>
      <c r="J33" s="1208" t="str">
        <f>กรอกราคาวัสดุ!K44</f>
        <v>บาท/ตัน</v>
      </c>
      <c r="K33" s="2042" t="str">
        <f>กรอกราคาวัสดุ!L44</f>
        <v>รถสิบล้อลากพ่วง</v>
      </c>
    </row>
    <row r="34" spans="1:11" ht="20.100000000000001" customHeight="1">
      <c r="A34" s="1211">
        <f>กรอกราคาวัสดุ!A37</f>
        <v>28</v>
      </c>
      <c r="B34" s="1208" t="str">
        <f>กรอกราคาวัสดุ!B45</f>
        <v>อ.เมือง  จ.นครราชสีมา</v>
      </c>
      <c r="C34" s="1208" t="s">
        <v>1902</v>
      </c>
      <c r="D34" s="1263">
        <f>กรอกราคาวัสดุ!D45</f>
        <v>28045.78</v>
      </c>
      <c r="E34" s="1853" t="str">
        <f>กรอกราคาวัสดุ!E45</f>
        <v>บาท/ตัน ขนส่ง</v>
      </c>
      <c r="F34" s="1853">
        <f>กรอกราคาวัสดุ!G45</f>
        <v>70</v>
      </c>
      <c r="G34" s="1263" t="str">
        <f>กรอกราคาวัสดุ!H45</f>
        <v xml:space="preserve">กม.     </v>
      </c>
      <c r="H34" s="1211" t="str">
        <f>กรอกราคาวัสดุ!I45</f>
        <v>=</v>
      </c>
      <c r="I34" s="1861" t="str">
        <f>กรอกราคาวัสดุ!J45</f>
        <v>118.48</v>
      </c>
      <c r="J34" s="1208" t="str">
        <f>กรอกราคาวัสดุ!K45</f>
        <v>บาท/ตัน</v>
      </c>
      <c r="K34" s="2042" t="str">
        <f>กรอกราคาวัสดุ!L45</f>
        <v>รถสิบล้อลากพ่วง</v>
      </c>
    </row>
    <row r="35" spans="1:11" ht="20.100000000000001" customHeight="1">
      <c r="A35" s="1211">
        <f>กรอกราคาวัสดุ!A38</f>
        <v>29</v>
      </c>
      <c r="B35" s="1208" t="str">
        <f>กรอกราคาวัสดุ!B46</f>
        <v>อ.เมือง  จ.นครราชสีมา</v>
      </c>
      <c r="C35" s="1208" t="s">
        <v>1903</v>
      </c>
      <c r="D35" s="1263">
        <f>กรอกราคาวัสดุ!D46</f>
        <v>28045.78</v>
      </c>
      <c r="E35" s="1853" t="str">
        <f>กรอกราคาวัสดุ!E46</f>
        <v>บาท/ตัน ขนส่ง</v>
      </c>
      <c r="F35" s="1853">
        <f>กรอกราคาวัสดุ!G46</f>
        <v>70</v>
      </c>
      <c r="G35" s="1263" t="str">
        <f>กรอกราคาวัสดุ!H46</f>
        <v xml:space="preserve">กม.     </v>
      </c>
      <c r="H35" s="1211" t="str">
        <f>กรอกราคาวัสดุ!I46</f>
        <v>=</v>
      </c>
      <c r="I35" s="1861" t="str">
        <f>กรอกราคาวัสดุ!J46</f>
        <v>118.48</v>
      </c>
      <c r="J35" s="1208" t="str">
        <f>กรอกราคาวัสดุ!K46</f>
        <v>บาท/ตัน</v>
      </c>
      <c r="K35" s="2042" t="str">
        <f>กรอกราคาวัสดุ!L46</f>
        <v>รถสิบล้อลากพ่วง</v>
      </c>
    </row>
    <row r="36" spans="1:11" ht="20.100000000000001" customHeight="1">
      <c r="A36" s="1211">
        <f>กรอกราคาวัสดุ!A39</f>
        <v>30</v>
      </c>
      <c r="B36" s="1208" t="str">
        <f>กรอกราคาวัสดุ!B47</f>
        <v>อ.เมือง  จ.นครราชสีมา</v>
      </c>
      <c r="C36" s="1208" t="s">
        <v>1904</v>
      </c>
      <c r="D36" s="1263">
        <f>กรอกราคาวัสดุ!D47</f>
        <v>24732.68</v>
      </c>
      <c r="E36" s="1853" t="str">
        <f>กรอกราคาวัสดุ!E47</f>
        <v>บาท/ตัน ขนส่ง</v>
      </c>
      <c r="F36" s="1853">
        <f>กรอกราคาวัสดุ!G47</f>
        <v>70</v>
      </c>
      <c r="G36" s="1263" t="str">
        <f>กรอกราคาวัสดุ!H47</f>
        <v xml:space="preserve">กม.     </v>
      </c>
      <c r="H36" s="1211" t="str">
        <f>กรอกราคาวัสดุ!I47</f>
        <v>=</v>
      </c>
      <c r="I36" s="1861" t="str">
        <f>กรอกราคาวัสดุ!J47</f>
        <v>118.48</v>
      </c>
      <c r="J36" s="1208" t="str">
        <f>กรอกราคาวัสดุ!K47</f>
        <v>บาท/ตัน</v>
      </c>
      <c r="K36" s="2042" t="str">
        <f>กรอกราคาวัสดุ!L47</f>
        <v>รถสิบล้อลากพ่วง</v>
      </c>
    </row>
    <row r="37" spans="1:11" ht="20.100000000000001" customHeight="1">
      <c r="A37" s="1211">
        <f>กรอกราคาวัสดุ!A40</f>
        <v>31</v>
      </c>
      <c r="B37" s="1208" t="str">
        <f>กรอกราคาวัสดุ!B48</f>
        <v>อ.เมือง  จ.นครราชสีมา</v>
      </c>
      <c r="C37" s="1208" t="s">
        <v>1905</v>
      </c>
      <c r="D37" s="1263">
        <f>กรอกราคาวัสดุ!D48</f>
        <v>24519.39</v>
      </c>
      <c r="E37" s="1853" t="str">
        <f>กรอกราคาวัสดุ!E48</f>
        <v>บาท/ตัน ขนส่ง</v>
      </c>
      <c r="F37" s="1853">
        <f>กรอกราคาวัสดุ!G48</f>
        <v>70</v>
      </c>
      <c r="G37" s="1263" t="str">
        <f>กรอกราคาวัสดุ!H48</f>
        <v xml:space="preserve">กม.     </v>
      </c>
      <c r="H37" s="1211" t="str">
        <f>กรอกราคาวัสดุ!I48</f>
        <v>=</v>
      </c>
      <c r="I37" s="1861" t="str">
        <f>กรอกราคาวัสดุ!J48</f>
        <v>118.48</v>
      </c>
      <c r="J37" s="1208" t="str">
        <f>กรอกราคาวัสดุ!K48</f>
        <v>บาท/ตัน</v>
      </c>
      <c r="K37" s="2042" t="str">
        <f>กรอกราคาวัสดุ!L48</f>
        <v>รถสิบล้อลากพ่วง</v>
      </c>
    </row>
    <row r="38" spans="1:11" ht="20.100000000000001" customHeight="1">
      <c r="A38" s="1211">
        <f>กรอกราคาวัสดุ!A41</f>
        <v>32</v>
      </c>
      <c r="B38" s="1208" t="str">
        <f>กรอกราคาวัสดุ!B49</f>
        <v>อ.เมือง  จ.นครราชสีมา</v>
      </c>
      <c r="C38" s="1208" t="s">
        <v>1906</v>
      </c>
      <c r="D38" s="1263">
        <f>กรอกราคาวัสดุ!D49</f>
        <v>25126.77</v>
      </c>
      <c r="E38" s="1853" t="str">
        <f>กรอกราคาวัสดุ!E49</f>
        <v>บาท/ตัน ขนส่ง</v>
      </c>
      <c r="F38" s="1853">
        <f>กรอกราคาวัสดุ!G49</f>
        <v>70</v>
      </c>
      <c r="G38" s="1263" t="str">
        <f>กรอกราคาวัสดุ!H49</f>
        <v xml:space="preserve">กม.     </v>
      </c>
      <c r="H38" s="1211" t="str">
        <f>กรอกราคาวัสดุ!I49</f>
        <v>=</v>
      </c>
      <c r="I38" s="1861" t="str">
        <f>กรอกราคาวัสดุ!J49</f>
        <v>118.48</v>
      </c>
      <c r="J38" s="1208" t="str">
        <f>กรอกราคาวัสดุ!K49</f>
        <v>บาท/ตัน</v>
      </c>
      <c r="K38" s="2042" t="str">
        <f>กรอกราคาวัสดุ!L49</f>
        <v>รถสิบล้อลากพ่วง</v>
      </c>
    </row>
    <row r="39" spans="1:11" ht="20.100000000000001" customHeight="1">
      <c r="A39" s="1211">
        <f>กรอกราคาวัสดุ!A42</f>
        <v>33</v>
      </c>
      <c r="B39" s="1208" t="str">
        <f>กรอกราคาวัสดุ!B50</f>
        <v>อ.เมือง  จ.นครราชสีมา</v>
      </c>
      <c r="C39" s="1208" t="s">
        <v>1907</v>
      </c>
      <c r="D39" s="1263">
        <f>กรอกราคาวัสดุ!D50</f>
        <v>25126.77</v>
      </c>
      <c r="E39" s="1853" t="str">
        <f>กรอกราคาวัสดุ!E50</f>
        <v>บาท/ตัน ขนส่ง</v>
      </c>
      <c r="F39" s="1853">
        <f>กรอกราคาวัสดุ!G50</f>
        <v>70</v>
      </c>
      <c r="G39" s="1263" t="str">
        <f>กรอกราคาวัสดุ!H50</f>
        <v xml:space="preserve">กม.     </v>
      </c>
      <c r="H39" s="1211" t="str">
        <f>กรอกราคาวัสดุ!I50</f>
        <v>=</v>
      </c>
      <c r="I39" s="1861" t="str">
        <f>กรอกราคาวัสดุ!J50</f>
        <v>118.48</v>
      </c>
      <c r="J39" s="1208" t="str">
        <f>กรอกราคาวัสดุ!K50</f>
        <v>บาท/ตัน</v>
      </c>
      <c r="K39" s="2042" t="str">
        <f>กรอกราคาวัสดุ!L50</f>
        <v>รถสิบล้อลากพ่วง</v>
      </c>
    </row>
    <row r="40" spans="1:11" ht="20.100000000000001" customHeight="1">
      <c r="A40" s="1211">
        <f>กรอกราคาวัสดุ!A43</f>
        <v>34</v>
      </c>
      <c r="B40" s="1208" t="str">
        <f>กรอกราคาวัสดุ!B51</f>
        <v>อ.เมือง  จ.นครราชสีมา</v>
      </c>
      <c r="C40" s="1208" t="s">
        <v>1908</v>
      </c>
      <c r="D40" s="1263">
        <f>กรอกราคาวัสดุ!D51</f>
        <v>429.91</v>
      </c>
      <c r="E40" s="1853" t="str">
        <f>กรอกราคาวัสดุ!E51</f>
        <v>บาท/ท่อน ขนส่ง</v>
      </c>
      <c r="F40" s="1853">
        <f>กรอกราคาวัสดุ!G51</f>
        <v>70</v>
      </c>
      <c r="G40" s="1263" t="str">
        <f>กรอกราคาวัสดุ!H51</f>
        <v xml:space="preserve">กม.     </v>
      </c>
      <c r="H40" s="1211" t="str">
        <f>กรอกราคาวัสดุ!I51</f>
        <v>=</v>
      </c>
      <c r="I40" s="1861" t="str">
        <f>กรอกราคาวัสดุ!J51</f>
        <v>188.58</v>
      </c>
      <c r="J40" s="1208" t="str">
        <f>กรอกราคาวัสดุ!K51</f>
        <v>บาท/ตัน</v>
      </c>
      <c r="K40" s="2042" t="str">
        <f>กรอกราคาวัสดุ!L51</f>
        <v>รถสิบล้อ</v>
      </c>
    </row>
    <row r="41" spans="1:11" ht="20.100000000000001" customHeight="1">
      <c r="A41" s="1211">
        <f>กรอกราคาวัสดุ!A44</f>
        <v>35</v>
      </c>
      <c r="B41" s="1208" t="str">
        <f>กรอกราคาวัสดุ!B52</f>
        <v>อ.เมือง  จ.นครราชสีมา</v>
      </c>
      <c r="C41" s="1208" t="s">
        <v>1909</v>
      </c>
      <c r="D41" s="1263">
        <f>กรอกราคาวัสดุ!D52</f>
        <v>682.24</v>
      </c>
      <c r="E41" s="1853" t="str">
        <f>กรอกราคาวัสดุ!E52</f>
        <v>บาท/ท่อน ขนส่ง</v>
      </c>
      <c r="F41" s="1853">
        <f>กรอกราคาวัสดุ!G52</f>
        <v>70</v>
      </c>
      <c r="G41" s="1263" t="str">
        <f>กรอกราคาวัสดุ!H52</f>
        <v xml:space="preserve">กม.     </v>
      </c>
      <c r="H41" s="1211" t="str">
        <f>กรอกราคาวัสดุ!I52</f>
        <v>=</v>
      </c>
      <c r="I41" s="1861" t="str">
        <f>กรอกราคาวัสดุ!J52</f>
        <v>188.58</v>
      </c>
      <c r="J41" s="1208" t="str">
        <f>กรอกราคาวัสดุ!K52</f>
        <v>บาท/ตัน</v>
      </c>
      <c r="K41" s="2042" t="str">
        <f>กรอกราคาวัสดุ!L52</f>
        <v>รถสิบล้อ</v>
      </c>
    </row>
    <row r="42" spans="1:11" ht="20.100000000000001" customHeight="1">
      <c r="A42" s="1211">
        <f>กรอกราคาวัสดุ!A45</f>
        <v>36</v>
      </c>
      <c r="B42" s="1208" t="str">
        <f>กรอกราคาวัสดุ!B53</f>
        <v>อ.เมือง  จ.นครราชสีมา</v>
      </c>
      <c r="C42" s="1208" t="s">
        <v>1910</v>
      </c>
      <c r="D42" s="1263">
        <f>กรอกราคาวัสดุ!D53</f>
        <v>1196.26</v>
      </c>
      <c r="E42" s="1853" t="str">
        <f>กรอกราคาวัสดุ!E53</f>
        <v>บาท/ท่อน ขนส่ง</v>
      </c>
      <c r="F42" s="1853">
        <f>กรอกราคาวัสดุ!G53</f>
        <v>70</v>
      </c>
      <c r="G42" s="1263" t="str">
        <f>กรอกราคาวัสดุ!H53</f>
        <v xml:space="preserve">กม.     </v>
      </c>
      <c r="H42" s="1211" t="str">
        <f>กรอกราคาวัสดุ!I53</f>
        <v>=</v>
      </c>
      <c r="I42" s="1861" t="str">
        <f>กรอกราคาวัสดุ!J53</f>
        <v>188.58</v>
      </c>
      <c r="J42" s="1208" t="str">
        <f>กรอกราคาวัสดุ!K53</f>
        <v>บาท/ตัน</v>
      </c>
      <c r="K42" s="2042" t="str">
        <f>กรอกราคาวัสดุ!L53</f>
        <v>รถสิบล้อ</v>
      </c>
    </row>
    <row r="43" spans="1:11" ht="20.100000000000001" customHeight="1">
      <c r="A43" s="1211">
        <f>กรอกราคาวัสดุ!A46</f>
        <v>37</v>
      </c>
      <c r="B43" s="1208" t="str">
        <f>กรอกราคาวัสดุ!B54</f>
        <v>อ.เมือง  จ.นครราชสีมา</v>
      </c>
      <c r="C43" s="1208" t="s">
        <v>1911</v>
      </c>
      <c r="D43" s="1263">
        <f>กรอกราคาวัสดุ!D54</f>
        <v>1850.47</v>
      </c>
      <c r="E43" s="1853" t="str">
        <f>กรอกราคาวัสดุ!E54</f>
        <v>บาท/ท่อน ขนส่ง</v>
      </c>
      <c r="F43" s="1853">
        <f>กรอกราคาวัสดุ!G54</f>
        <v>70</v>
      </c>
      <c r="G43" s="1263" t="str">
        <f>กรอกราคาวัสดุ!H54</f>
        <v xml:space="preserve">กม.     </v>
      </c>
      <c r="H43" s="1211" t="str">
        <f>กรอกราคาวัสดุ!I54</f>
        <v>=</v>
      </c>
      <c r="I43" s="1861" t="str">
        <f>กรอกราคาวัสดุ!J54</f>
        <v>188.58</v>
      </c>
      <c r="J43" s="1208" t="str">
        <f>กรอกราคาวัสดุ!K54</f>
        <v>บาท/ตัน</v>
      </c>
      <c r="K43" s="2042" t="str">
        <f>กรอกราคาวัสดุ!L54</f>
        <v>รถสิบล้อ</v>
      </c>
    </row>
    <row r="44" spans="1:11" ht="20.100000000000001" customHeight="1">
      <c r="A44" s="1211">
        <f>กรอกราคาวัสดุ!A47</f>
        <v>38</v>
      </c>
      <c r="B44" s="1208" t="str">
        <f>กรอกราคาวัสดุ!B55</f>
        <v>อ.เมือง  จ.นครราชสีมา</v>
      </c>
      <c r="C44" s="1208" t="s">
        <v>1912</v>
      </c>
      <c r="D44" s="1263">
        <f>กรอกราคาวัสดุ!D55</f>
        <v>2878.5</v>
      </c>
      <c r="E44" s="1853" t="str">
        <f>กรอกราคาวัสดุ!E55</f>
        <v>บาท/ท่อน ขนส่ง</v>
      </c>
      <c r="F44" s="1853">
        <f>กรอกราคาวัสดุ!G55</f>
        <v>70</v>
      </c>
      <c r="G44" s="1263" t="str">
        <f>กรอกราคาวัสดุ!H55</f>
        <v xml:space="preserve">กม.     </v>
      </c>
      <c r="H44" s="1211" t="str">
        <f>กรอกราคาวัสดุ!I55</f>
        <v>=</v>
      </c>
      <c r="I44" s="1861" t="str">
        <f>กรอกราคาวัสดุ!J55</f>
        <v>188.58</v>
      </c>
      <c r="J44" s="1208" t="str">
        <f>กรอกราคาวัสดุ!K55</f>
        <v>บาท/ตัน</v>
      </c>
      <c r="K44" s="2042" t="str">
        <f>กรอกราคาวัสดุ!L55</f>
        <v>รถสิบล้อ</v>
      </c>
    </row>
    <row r="45" spans="1:11" ht="20.100000000000001" customHeight="1">
      <c r="A45" s="1211">
        <f>กรอกราคาวัสดุ!A48</f>
        <v>39</v>
      </c>
      <c r="B45" s="1208" t="str">
        <f>กรอกราคาวัสดุ!B56</f>
        <v>อ.เมือง  จ.นครราชสีมา</v>
      </c>
      <c r="C45" s="1208" t="s">
        <v>1913</v>
      </c>
      <c r="D45" s="1263">
        <f>กรอกราคาวัสดุ!D56</f>
        <v>4859.8100000000004</v>
      </c>
      <c r="E45" s="1853" t="str">
        <f>กรอกราคาวัสดุ!E56</f>
        <v>บาท/ท่อน ขนส่ง</v>
      </c>
      <c r="F45" s="1853">
        <f>กรอกราคาวัสดุ!G56</f>
        <v>70</v>
      </c>
      <c r="G45" s="1263" t="str">
        <f>กรอกราคาวัสดุ!H56</f>
        <v xml:space="preserve">กม.     </v>
      </c>
      <c r="H45" s="1211" t="str">
        <f>กรอกราคาวัสดุ!I56</f>
        <v>=</v>
      </c>
      <c r="I45" s="1861" t="str">
        <f>กรอกราคาวัสดุ!J56</f>
        <v>188.58</v>
      </c>
      <c r="J45" s="1208" t="str">
        <f>กรอกราคาวัสดุ!K56</f>
        <v>บาท/ตัน</v>
      </c>
      <c r="K45" s="2042" t="str">
        <f>กรอกราคาวัสดุ!L56</f>
        <v>รถสิบล้อ</v>
      </c>
    </row>
    <row r="46" spans="1:11" ht="20.100000000000001" customHeight="1">
      <c r="D46" s="1263"/>
      <c r="F46" s="1853"/>
      <c r="G46" s="1263"/>
      <c r="H46" s="1211"/>
      <c r="I46" s="1861"/>
      <c r="J46" s="1208"/>
    </row>
    <row r="47" spans="1:11" ht="20.100000000000001" customHeight="1">
      <c r="D47" s="1263"/>
      <c r="F47" s="1853"/>
      <c r="G47" s="1263"/>
      <c r="H47" s="1211"/>
      <c r="I47" s="1861"/>
      <c r="J47" s="1208"/>
    </row>
    <row r="48" spans="1:11" ht="20.100000000000001" customHeight="1">
      <c r="A48" s="2198" t="str">
        <f>"รายการประมาณราคาต่อหน่วย (ราคาน้ำมันโซล่าที่ อ.เมือง "&amp;+กรอกราคาวัสดุ!$L$3-0.5&amp;" - "&amp;+กรอกราคาวัสดุ!$L$3+0.49&amp;"  'บาท')"</f>
        <v>รายการประมาณราคาต่อหน่วย (ราคาน้ำมันโซล่าที่ อ.เมือง 35 - 35.99  'บาท')</v>
      </c>
      <c r="B48" s="2198"/>
      <c r="C48" s="2198"/>
      <c r="D48" s="2198"/>
      <c r="E48" s="2198"/>
      <c r="F48" s="2198"/>
      <c r="G48" s="2198"/>
      <c r="H48" s="2198"/>
      <c r="I48" s="2198"/>
      <c r="J48" s="2198"/>
      <c r="K48" s="2198"/>
    </row>
    <row r="49" spans="1:15" ht="20.100000000000001" customHeight="1">
      <c r="A49" s="2217" t="str">
        <f>IF(กรอกราคาวัสดุ!$C$6=2,"พื้นที่ฝนตกชุก","พื้นที่ปกติ")</f>
        <v>พื้นที่ปกติ</v>
      </c>
      <c r="B49" s="2217"/>
      <c r="C49" s="1887"/>
    </row>
    <row r="50" spans="1:15" ht="20.100000000000001" customHeight="1">
      <c r="A50" s="2199" t="s">
        <v>787</v>
      </c>
      <c r="B50" s="2199"/>
      <c r="C50" s="1888" t="str">
        <f>IF(กรอกราคาวัสดุ!$G$6=2,"(ขนาดกลาง)",IF(กรอกราคาวัสดุ!$G$6=3,"(ขนาดหนัก)","(ขนาดเบา)"))</f>
        <v>(ขนาดเบา)</v>
      </c>
      <c r="H50" s="1211"/>
      <c r="I50" s="1889"/>
      <c r="J50" s="1853"/>
      <c r="K50" s="2043"/>
      <c r="L50" s="1228"/>
      <c r="M50" s="1228"/>
      <c r="N50" s="1211"/>
      <c r="O50" s="1211"/>
    </row>
    <row r="51" spans="1:15" ht="20.100000000000001" customHeight="1">
      <c r="B51" s="1208" t="s">
        <v>358</v>
      </c>
      <c r="F51" s="1208" t="s">
        <v>791</v>
      </c>
      <c r="H51" s="1211" t="s">
        <v>901</v>
      </c>
      <c r="I51" s="1890">
        <f>IF(AND(กรอกราคาวัสดุ!$C$6=1,กรอกราคาวัสดุ!$G$6=1),'ค่าเสื่อมราคา(แก้ไข26ธค.60)'!G7,
IF(AND(กรอกราคาวัสดุ!$C$6=1,กรอกราคาวัสดุ!$G$6=2),'ค่าเสื่อมราคา(แก้ไข26ธค.60)'!G8,
IF(AND(กรอกราคาวัสดุ!$C$6=1,กรอกราคาวัสดุ!$G$6=3),'ค่าเสื่อมราคา(แก้ไข26ธค.60)'!G9,
IF(AND(กรอกราคาวัสดุ!$C$6=2,กรอกราคาวัสดุ!$G$6=1),'ค่าเสื่อมราคา(แก้ไข26ธค.60)'!H7,
IF(AND(กรอกราคาวัสดุ!$C$6=2,กรอกราคาวัสดุ!$G$6=2),'ค่าเสื่อมราคา(แก้ไข26ธค.60)'!H8,
IF(AND(กรอกราคาวัสดุ!$C$6=2,กรอกราคาวัสดุ!$G$6=3),'ค่าเสื่อมราคา(แก้ไข26ธค.60)'!H9))))))</f>
        <v>1.81</v>
      </c>
      <c r="J51" s="1853" t="s">
        <v>918</v>
      </c>
      <c r="K51" s="2043"/>
      <c r="L51" s="1228"/>
      <c r="M51" s="1228"/>
      <c r="N51" s="1854"/>
      <c r="O51" s="1854"/>
    </row>
    <row r="52" spans="1:15" ht="20.100000000000001" customHeight="1">
      <c r="A52" s="2199" t="s">
        <v>826</v>
      </c>
      <c r="B52" s="2199"/>
      <c r="H52" s="1211"/>
      <c r="I52" s="1889"/>
      <c r="J52" s="1853"/>
      <c r="K52" s="2043"/>
      <c r="L52" s="1228"/>
      <c r="M52" s="1228"/>
      <c r="N52" s="1854"/>
      <c r="O52" s="1854"/>
    </row>
    <row r="53" spans="1:15" ht="20.100000000000001" customHeight="1">
      <c r="B53" s="1208" t="s">
        <v>358</v>
      </c>
      <c r="F53" s="1208" t="s">
        <v>791</v>
      </c>
      <c r="H53" s="1211" t="s">
        <v>901</v>
      </c>
      <c r="I53" s="1891">
        <f>IF(กรอกราคาวัสดุ!$C$6=2,'ค่าเสื่อมราคา(แก้ไข26ธค.60)'!H32,'ค่าเสื่อมราคา(แก้ไข26ธค.60)'!G32)</f>
        <v>11.54</v>
      </c>
      <c r="J53" s="1853" t="s">
        <v>918</v>
      </c>
      <c r="K53" s="2043"/>
      <c r="L53" s="1228"/>
      <c r="M53" s="1228"/>
      <c r="N53" s="1854"/>
      <c r="O53" s="1854"/>
    </row>
    <row r="54" spans="1:15" ht="20.100000000000001" customHeight="1">
      <c r="A54" s="2199" t="s">
        <v>85</v>
      </c>
      <c r="B54" s="2199"/>
      <c r="H54" s="1211"/>
      <c r="I54" s="1889"/>
      <c r="J54" s="1853"/>
      <c r="K54" s="2043"/>
      <c r="L54" s="1228"/>
      <c r="M54" s="1228"/>
      <c r="N54" s="1211"/>
      <c r="O54" s="1211"/>
    </row>
    <row r="55" spans="1:15" ht="20.100000000000001" customHeight="1">
      <c r="B55" s="1208" t="s">
        <v>359</v>
      </c>
      <c r="F55" s="1208" t="s">
        <v>86</v>
      </c>
      <c r="H55" s="1211" t="s">
        <v>901</v>
      </c>
      <c r="I55" s="1889">
        <f>IF(กรอกราคาวัสดุ!$C$6=2,'ค่าเสื่อมราคา(แก้ไข26ธค.60)'!H30,'ค่าเสื่อมราคา(แก้ไข26ธค.60)'!G30)</f>
        <v>8.5399999999999991</v>
      </c>
      <c r="J55" s="1853" t="s">
        <v>918</v>
      </c>
      <c r="K55" s="2043"/>
      <c r="L55" s="1228"/>
      <c r="M55" s="1228"/>
      <c r="N55" s="1211"/>
      <c r="O55" s="1892"/>
    </row>
    <row r="56" spans="1:15" ht="20.100000000000001" customHeight="1">
      <c r="B56" s="1208" t="s">
        <v>360</v>
      </c>
      <c r="F56" s="1208" t="s">
        <v>86</v>
      </c>
      <c r="H56" s="1211" t="s">
        <v>901</v>
      </c>
      <c r="I56" s="1889">
        <f>IF(กรอกราคาวัสดุ!$C$6=2,'ค่าเสื่อมราคา(แก้ไข26ธค.60)'!H12,'ค่าเสื่อมราคา(แก้ไข26ธค.60)'!G12)</f>
        <v>48.64</v>
      </c>
      <c r="J56" s="1853" t="s">
        <v>918</v>
      </c>
      <c r="K56" s="2043"/>
      <c r="L56" s="1228"/>
      <c r="M56" s="1228"/>
      <c r="N56" s="1211"/>
      <c r="O56" s="1892"/>
    </row>
    <row r="57" spans="1:15" ht="20.100000000000001" customHeight="1">
      <c r="B57" s="1208" t="s">
        <v>87</v>
      </c>
      <c r="F57" s="1208" t="s">
        <v>86</v>
      </c>
      <c r="H57" s="1211" t="s">
        <v>901</v>
      </c>
      <c r="I57" s="1893">
        <f>ROUND(SUM(I55:I56),2)</f>
        <v>57.18</v>
      </c>
      <c r="J57" s="1853" t="s">
        <v>918</v>
      </c>
      <c r="K57" s="2043"/>
      <c r="L57" s="1228"/>
      <c r="M57" s="1228"/>
      <c r="N57" s="1211"/>
      <c r="O57" s="1892"/>
    </row>
    <row r="58" spans="1:15" ht="20.100000000000001" customHeight="1">
      <c r="A58" s="2199" t="s">
        <v>88</v>
      </c>
      <c r="B58" s="2199"/>
      <c r="H58" s="1211"/>
      <c r="I58" s="1889"/>
      <c r="J58" s="1853"/>
      <c r="K58" s="2043"/>
      <c r="L58" s="1228"/>
      <c r="M58" s="1228"/>
      <c r="N58" s="1211"/>
      <c r="O58" s="1211"/>
    </row>
    <row r="59" spans="1:15" ht="20.100000000000001" customHeight="1">
      <c r="A59" s="2216" t="s">
        <v>89</v>
      </c>
      <c r="B59" s="2216"/>
      <c r="C59" s="1888" t="str">
        <f>"ขนส่งด้วย"&amp;กรอกราคาวัสดุ!L9</f>
        <v>ขนส่งด้วยรถสิบล้อ</v>
      </c>
      <c r="D59" s="1894"/>
      <c r="F59" s="1888"/>
      <c r="H59" s="1211"/>
      <c r="I59" s="1889"/>
      <c r="J59" s="1853"/>
      <c r="K59" s="2043"/>
      <c r="L59" s="1228"/>
      <c r="M59" s="1228"/>
      <c r="N59" s="1211"/>
      <c r="O59" s="1211"/>
    </row>
    <row r="60" spans="1:15" ht="20.100000000000001" customHeight="1">
      <c r="A60" s="1895"/>
      <c r="B60" s="1367" t="s">
        <v>361</v>
      </c>
      <c r="C60" s="1367"/>
      <c r="D60" s="1367"/>
      <c r="E60" s="1881"/>
      <c r="F60" s="1367" t="s">
        <v>86</v>
      </c>
      <c r="H60" s="1211" t="s">
        <v>901</v>
      </c>
      <c r="I60" s="1889">
        <f>IF(กรอกราคาวัสดุ!$C$6=2,'ค่าเสื่อมราคา(แก้ไข26ธค.60)'!H15,'ค่าเสื่อมราคา(แก้ไข26ธค.60)'!G15)</f>
        <v>8.77</v>
      </c>
      <c r="J60" s="1853" t="s">
        <v>918</v>
      </c>
      <c r="K60" s="2043" t="s">
        <v>970</v>
      </c>
      <c r="L60" s="1228"/>
      <c r="M60" s="1228"/>
      <c r="N60" s="1211"/>
      <c r="O60" s="1211"/>
    </row>
    <row r="61" spans="1:15" ht="20.100000000000001" customHeight="1">
      <c r="B61" s="1896" t="s">
        <v>91</v>
      </c>
      <c r="E61" s="1897">
        <f>F6</f>
        <v>1</v>
      </c>
      <c r="F61" s="1208" t="s">
        <v>784</v>
      </c>
      <c r="H61" s="1211" t="s">
        <v>901</v>
      </c>
      <c r="I61" s="1235">
        <f>I6</f>
        <v>11.65</v>
      </c>
      <c r="J61" s="1853" t="s">
        <v>918</v>
      </c>
      <c r="K61" s="2044">
        <v>-2</v>
      </c>
      <c r="L61" s="1228"/>
      <c r="M61" s="1228"/>
      <c r="N61" s="1211"/>
      <c r="O61" s="1854"/>
    </row>
    <row r="62" spans="1:15" ht="20.100000000000001" customHeight="1">
      <c r="B62" s="1208" t="s">
        <v>4</v>
      </c>
      <c r="H62" s="1211"/>
      <c r="I62" s="1235">
        <f>SUM(I60:I61)</f>
        <v>20.420000000000002</v>
      </c>
      <c r="J62" s="1853" t="s">
        <v>918</v>
      </c>
      <c r="K62" s="2045">
        <v>-3</v>
      </c>
      <c r="L62" s="1228"/>
      <c r="M62" s="1228"/>
      <c r="N62" s="1211"/>
      <c r="O62" s="1211"/>
    </row>
    <row r="63" spans="1:15" ht="20.100000000000001" customHeight="1">
      <c r="B63" s="1896" t="s">
        <v>5</v>
      </c>
      <c r="C63" s="1208" t="s">
        <v>1583</v>
      </c>
      <c r="H63" s="1211"/>
      <c r="I63" s="1898">
        <f>I62*1.25</f>
        <v>25.525000000000002</v>
      </c>
      <c r="J63" s="1853" t="s">
        <v>918</v>
      </c>
      <c r="K63" s="2043" t="s">
        <v>971</v>
      </c>
      <c r="L63" s="1228"/>
      <c r="M63" s="1228"/>
      <c r="N63" s="1211"/>
      <c r="O63" s="1854"/>
    </row>
    <row r="64" spans="1:15" ht="20.100000000000001" customHeight="1">
      <c r="B64" s="1367" t="s">
        <v>362</v>
      </c>
      <c r="C64" s="1367"/>
      <c r="D64" s="1367"/>
      <c r="E64" s="1881"/>
      <c r="F64" s="1367" t="s">
        <v>86</v>
      </c>
      <c r="H64" s="1211" t="s">
        <v>901</v>
      </c>
      <c r="I64" s="1889">
        <f>IF(กรอกราคาวัสดุ!C6=2,'ค่าเสื่อมราคา(แก้ไข26ธค.60)'!H14,'ค่าเสื่อมราคา(แก้ไข26ธค.60)'!G14)</f>
        <v>22.59</v>
      </c>
      <c r="J64" s="1853" t="s">
        <v>918</v>
      </c>
      <c r="K64" s="2043" t="s">
        <v>972</v>
      </c>
      <c r="L64" s="1228"/>
      <c r="M64" s="1228"/>
      <c r="N64" s="1211"/>
      <c r="O64" s="1211"/>
    </row>
    <row r="65" spans="1:15" ht="20.100000000000001" customHeight="1">
      <c r="B65" s="1896" t="s">
        <v>6</v>
      </c>
      <c r="F65" s="1208" t="s">
        <v>86</v>
      </c>
      <c r="H65" s="1211"/>
      <c r="I65" s="1893">
        <f>ROUND(SUM(I63:I64),2)</f>
        <v>48.12</v>
      </c>
      <c r="J65" s="1853" t="s">
        <v>918</v>
      </c>
      <c r="L65" s="1228"/>
      <c r="M65" s="1228"/>
      <c r="N65" s="1211"/>
      <c r="O65" s="1854"/>
    </row>
    <row r="66" spans="1:15" ht="20.100000000000001" customHeight="1">
      <c r="A66" s="2216" t="s">
        <v>92</v>
      </c>
      <c r="B66" s="2216"/>
      <c r="H66" s="1211"/>
      <c r="I66" s="1889"/>
      <c r="J66" s="1853"/>
      <c r="K66" s="2043"/>
      <c r="L66" s="1228"/>
      <c r="M66" s="1208"/>
    </row>
    <row r="67" spans="1:15" ht="20.100000000000001" customHeight="1">
      <c r="B67" s="1367" t="s">
        <v>361</v>
      </c>
      <c r="C67" s="1367"/>
      <c r="D67" s="1367"/>
      <c r="E67" s="1881"/>
      <c r="F67" s="1367" t="s">
        <v>86</v>
      </c>
      <c r="H67" s="1211" t="s">
        <v>901</v>
      </c>
      <c r="I67" s="1889">
        <f>IF(กรอกราคาวัสดุ!$C$6=2,'ค่าเสื่อมราคา(แก้ไข26ธค.60)'!H17,'ค่าเสื่อมราคา(แก้ไข26ธค.60)'!G17)</f>
        <v>43.05</v>
      </c>
      <c r="J67" s="1853" t="s">
        <v>918</v>
      </c>
      <c r="K67" s="2043" t="s">
        <v>973</v>
      </c>
      <c r="L67" s="1228"/>
      <c r="M67" s="1208"/>
    </row>
    <row r="68" spans="1:15" ht="20.100000000000001" customHeight="1">
      <c r="B68" s="1208" t="s">
        <v>93</v>
      </c>
      <c r="E68" s="1897">
        <f>F6</f>
        <v>1</v>
      </c>
      <c r="F68" s="1208" t="s">
        <v>784</v>
      </c>
      <c r="H68" s="1211" t="s">
        <v>901</v>
      </c>
      <c r="I68" s="1235">
        <f>I6</f>
        <v>11.65</v>
      </c>
      <c r="J68" s="1853" t="s">
        <v>918</v>
      </c>
      <c r="K68" s="2044">
        <v>-7</v>
      </c>
      <c r="L68" s="1228"/>
      <c r="M68" s="1208"/>
    </row>
    <row r="69" spans="1:15" ht="20.100000000000001" customHeight="1">
      <c r="B69" s="1208" t="s">
        <v>8</v>
      </c>
      <c r="H69" s="1211"/>
      <c r="I69" s="1235">
        <f>SUM(I67:I68)</f>
        <v>54.699999999999996</v>
      </c>
      <c r="J69" s="1853" t="s">
        <v>918</v>
      </c>
      <c r="K69" s="2044">
        <v>-8</v>
      </c>
      <c r="L69" s="1228"/>
      <c r="M69" s="1208"/>
    </row>
    <row r="70" spans="1:15" ht="20.100000000000001" customHeight="1">
      <c r="B70" s="1896" t="s">
        <v>7</v>
      </c>
      <c r="H70" s="1211"/>
      <c r="I70" s="1898">
        <f>I69*1.6</f>
        <v>87.52</v>
      </c>
      <c r="J70" s="1853" t="s">
        <v>918</v>
      </c>
      <c r="K70" s="2043" t="s">
        <v>974</v>
      </c>
      <c r="L70" s="1228"/>
      <c r="M70" s="1208"/>
    </row>
    <row r="71" spans="1:15" ht="20.100000000000001" customHeight="1">
      <c r="B71" s="1367" t="s">
        <v>362</v>
      </c>
      <c r="C71" s="1367"/>
      <c r="D71" s="1367"/>
      <c r="E71" s="1881"/>
      <c r="F71" s="1367" t="s">
        <v>86</v>
      </c>
      <c r="H71" s="1211" t="s">
        <v>901</v>
      </c>
      <c r="I71" s="1889">
        <f>IF(กรอกราคาวัสดุ!$C$6=2,'ค่าเสื่อมราคา(แก้ไข26ธค.60)'!H16,'ค่าเสื่อมราคา(แก้ไข26ธค.60)'!G16)</f>
        <v>34.989999999999995</v>
      </c>
      <c r="J71" s="1853" t="s">
        <v>918</v>
      </c>
      <c r="K71" s="2043" t="s">
        <v>975</v>
      </c>
      <c r="L71" s="1228"/>
      <c r="N71" s="1211"/>
    </row>
    <row r="72" spans="1:15" ht="20.100000000000001" customHeight="1">
      <c r="B72" s="1896" t="s">
        <v>9</v>
      </c>
      <c r="F72" s="1208" t="s">
        <v>86</v>
      </c>
      <c r="H72" s="1211"/>
      <c r="I72" s="1893">
        <f>ROUND(SUM(I70:I71),2)</f>
        <v>122.51</v>
      </c>
      <c r="J72" s="1853" t="s">
        <v>918</v>
      </c>
      <c r="K72" s="2043"/>
      <c r="L72" s="1228"/>
      <c r="N72" s="1211"/>
    </row>
    <row r="73" spans="1:15" ht="20.100000000000001" customHeight="1">
      <c r="A73" s="2216" t="s">
        <v>94</v>
      </c>
      <c r="B73" s="2216"/>
      <c r="H73" s="1211"/>
      <c r="I73" s="1889"/>
      <c r="J73" s="1853"/>
      <c r="K73" s="2043"/>
      <c r="L73" s="1228"/>
      <c r="N73" s="1211"/>
    </row>
    <row r="74" spans="1:15" ht="20.100000000000001" customHeight="1">
      <c r="B74" s="1367" t="s">
        <v>361</v>
      </c>
      <c r="C74" s="1367"/>
      <c r="D74" s="1367"/>
      <c r="E74" s="1881"/>
      <c r="F74" s="1367" t="s">
        <v>86</v>
      </c>
      <c r="H74" s="1211" t="s">
        <v>901</v>
      </c>
      <c r="I74" s="1889">
        <f>IF(กรอกราคาวัสดุ!$C$6=2,'ค่าเสื่อมราคา(แก้ไข26ธค.60)'!H19,'ค่าเสื่อมราคา(แก้ไข26ธค.60)'!G19)</f>
        <v>82.37</v>
      </c>
      <c r="J74" s="1853" t="s">
        <v>918</v>
      </c>
      <c r="K74" s="2043" t="s">
        <v>978</v>
      </c>
      <c r="L74" s="1228"/>
      <c r="N74" s="1211"/>
    </row>
    <row r="75" spans="1:15" ht="20.100000000000001" customHeight="1">
      <c r="B75" s="1208" t="s">
        <v>93</v>
      </c>
      <c r="E75" s="1897">
        <f>F6</f>
        <v>1</v>
      </c>
      <c r="F75" s="1208" t="s">
        <v>784</v>
      </c>
      <c r="H75" s="1211" t="s">
        <v>901</v>
      </c>
      <c r="I75" s="1235">
        <f>I6</f>
        <v>11.65</v>
      </c>
      <c r="J75" s="1853" t="s">
        <v>918</v>
      </c>
      <c r="K75" s="2044">
        <v>-12</v>
      </c>
      <c r="L75" s="1228"/>
      <c r="N75" s="1211"/>
    </row>
    <row r="76" spans="1:15" ht="20.100000000000001" customHeight="1">
      <c r="B76" s="1208" t="s">
        <v>10</v>
      </c>
      <c r="H76" s="1211"/>
      <c r="I76" s="1235">
        <f>SUM(I74:I75)</f>
        <v>94.02000000000001</v>
      </c>
      <c r="J76" s="1853" t="s">
        <v>918</v>
      </c>
      <c r="K76" s="2044">
        <v>-13</v>
      </c>
      <c r="L76" s="1228"/>
      <c r="N76" s="1211"/>
    </row>
    <row r="77" spans="1:15" ht="20.100000000000001" customHeight="1">
      <c r="B77" s="1896" t="s">
        <v>15</v>
      </c>
      <c r="H77" s="1211"/>
      <c r="I77" s="1898">
        <f>I76*1.7</f>
        <v>159.834</v>
      </c>
      <c r="J77" s="1853" t="s">
        <v>918</v>
      </c>
      <c r="K77" s="2043" t="s">
        <v>977</v>
      </c>
      <c r="L77" s="1228"/>
      <c r="N77" s="1211"/>
    </row>
    <row r="78" spans="1:15" ht="20.100000000000001" customHeight="1">
      <c r="B78" s="1367" t="s">
        <v>362</v>
      </c>
      <c r="C78" s="1367"/>
      <c r="D78" s="1367"/>
      <c r="E78" s="1881"/>
      <c r="F78" s="1367" t="s">
        <v>86</v>
      </c>
      <c r="H78" s="1211" t="s">
        <v>901</v>
      </c>
      <c r="I78" s="1889">
        <f>IF(กรอกราคาวัสดุ!$C$6=2,'ค่าเสื่อมราคา(แก้ไข26ธค.60)'!H18,'ค่าเสื่อมราคา(แก้ไข26ธค.60)'!G18)</f>
        <v>70.16</v>
      </c>
      <c r="J78" s="1853" t="s">
        <v>918</v>
      </c>
      <c r="K78" s="2043" t="s">
        <v>976</v>
      </c>
      <c r="L78" s="1228"/>
      <c r="N78" s="1211"/>
    </row>
    <row r="79" spans="1:15" ht="20.100000000000001" customHeight="1">
      <c r="B79" s="1896" t="s">
        <v>16</v>
      </c>
      <c r="F79" s="1208" t="s">
        <v>86</v>
      </c>
      <c r="H79" s="1211"/>
      <c r="I79" s="1893">
        <f>ROUND(SUM(I77:I78),2)</f>
        <v>229.99</v>
      </c>
      <c r="J79" s="1853" t="s">
        <v>918</v>
      </c>
      <c r="K79" s="2043"/>
      <c r="L79" s="1228"/>
      <c r="N79" s="1211"/>
    </row>
    <row r="80" spans="1:15" ht="20.100000000000001" customHeight="1">
      <c r="A80" s="2199" t="s">
        <v>615</v>
      </c>
      <c r="B80" s="2199"/>
      <c r="H80" s="1211"/>
      <c r="I80" s="1898"/>
      <c r="J80" s="1853"/>
      <c r="K80" s="2043"/>
      <c r="L80" s="1228"/>
      <c r="N80" s="1211"/>
    </row>
    <row r="81" spans="1:14" ht="20.100000000000001" customHeight="1">
      <c r="A81" s="2199" t="s">
        <v>616</v>
      </c>
      <c r="B81" s="2199"/>
      <c r="H81" s="1211"/>
      <c r="I81" s="1898"/>
      <c r="J81" s="1853"/>
      <c r="K81" s="2043"/>
      <c r="L81" s="1228"/>
      <c r="N81" s="1211"/>
    </row>
    <row r="82" spans="1:14" ht="20.100000000000001" customHeight="1">
      <c r="B82" s="1208" t="s">
        <v>900</v>
      </c>
      <c r="F82" s="1208" t="s">
        <v>86</v>
      </c>
      <c r="H82" s="1211" t="s">
        <v>901</v>
      </c>
      <c r="I82" s="1899">
        <f>D27</f>
        <v>135</v>
      </c>
      <c r="J82" s="1853" t="s">
        <v>918</v>
      </c>
      <c r="K82" s="2043" t="s">
        <v>979</v>
      </c>
      <c r="L82" s="1228"/>
      <c r="N82" s="1211"/>
    </row>
    <row r="83" spans="1:14" ht="20.100000000000001" customHeight="1">
      <c r="B83" s="1208" t="s">
        <v>95</v>
      </c>
      <c r="E83" s="1897">
        <f>F27</f>
        <v>50</v>
      </c>
      <c r="F83" s="1208" t="s">
        <v>784</v>
      </c>
      <c r="H83" s="1211" t="s">
        <v>901</v>
      </c>
      <c r="I83" s="1861">
        <f>I27</f>
        <v>118.73</v>
      </c>
      <c r="J83" s="1853" t="s">
        <v>918</v>
      </c>
      <c r="K83" s="2044">
        <v>-18</v>
      </c>
      <c r="L83" s="1228"/>
      <c r="N83" s="1211"/>
    </row>
    <row r="84" spans="1:14" ht="20.100000000000001" customHeight="1">
      <c r="B84" s="1208" t="s">
        <v>1641</v>
      </c>
      <c r="H84" s="1211"/>
      <c r="I84" s="1235">
        <f>SUM(I82:I83)</f>
        <v>253.73000000000002</v>
      </c>
      <c r="J84" s="1853" t="s">
        <v>918</v>
      </c>
      <c r="K84" s="2044">
        <v>-19</v>
      </c>
      <c r="L84" s="1228"/>
      <c r="N84" s="1211"/>
    </row>
    <row r="85" spans="1:14" ht="20.100000000000001" customHeight="1">
      <c r="B85" s="1208" t="s">
        <v>18</v>
      </c>
      <c r="H85" s="1211" t="s">
        <v>901</v>
      </c>
      <c r="I85" s="1889">
        <f>ROUND(I84*1.4,2)</f>
        <v>355.22</v>
      </c>
      <c r="J85" s="1853" t="s">
        <v>918</v>
      </c>
      <c r="K85" s="2046">
        <v>-20.100000000000001</v>
      </c>
      <c r="L85" s="1228"/>
      <c r="N85" s="1211"/>
    </row>
    <row r="86" spans="1:14" ht="20.100000000000001" customHeight="1">
      <c r="B86" s="1208" t="s">
        <v>1585</v>
      </c>
      <c r="F86" s="1208" t="s">
        <v>86</v>
      </c>
      <c r="H86" s="1211" t="s">
        <v>901</v>
      </c>
      <c r="I86" s="1889">
        <f>IF(กรอกราคาวัสดุ!$C$6=2,'ค่าเสื่อมราคา(แก้ไข26ธค.60)'!H30,'ค่าเสื่อมราคา(แก้ไข26ธค.60)'!G30)</f>
        <v>8.5399999999999991</v>
      </c>
      <c r="J86" s="1853" t="s">
        <v>918</v>
      </c>
      <c r="K86" s="2046">
        <v>-20.2</v>
      </c>
      <c r="L86" s="1228"/>
      <c r="N86" s="1211"/>
    </row>
    <row r="87" spans="1:14" ht="20.100000000000001" customHeight="1">
      <c r="B87" s="1208" t="s">
        <v>19</v>
      </c>
      <c r="H87" s="1211" t="s">
        <v>901</v>
      </c>
      <c r="I87" s="1889">
        <f>IF(กรอกราคาวัสดุ!$C$6=2,'ค่าเสื่อมราคา(แก้ไข26ธค.60)'!H12,'ค่าเสื่อมราคา(แก้ไข26ธค.60)'!G12)</f>
        <v>48.64</v>
      </c>
      <c r="J87" s="1853" t="s">
        <v>918</v>
      </c>
      <c r="K87" s="2047">
        <v>-21</v>
      </c>
      <c r="L87" s="1228"/>
      <c r="N87" s="1211"/>
    </row>
    <row r="88" spans="1:14" ht="20.100000000000001" customHeight="1">
      <c r="B88" s="1208" t="s">
        <v>1587</v>
      </c>
      <c r="F88" s="1208" t="s">
        <v>86</v>
      </c>
      <c r="H88" s="1211" t="s">
        <v>901</v>
      </c>
      <c r="I88" s="1891">
        <f>IF(E83=0,0,SUM(I85:I87))</f>
        <v>412.40000000000003</v>
      </c>
      <c r="J88" s="1853" t="s">
        <v>918</v>
      </c>
      <c r="K88" s="2043" t="s">
        <v>96</v>
      </c>
      <c r="L88" s="1228"/>
      <c r="N88" s="1211"/>
    </row>
    <row r="89" spans="1:14" ht="20.100000000000001" customHeight="1">
      <c r="A89" s="2199" t="s">
        <v>1631</v>
      </c>
      <c r="B89" s="2199"/>
      <c r="H89" s="1211"/>
      <c r="I89" s="1898"/>
      <c r="J89" s="1853"/>
      <c r="K89" s="2043"/>
      <c r="L89" s="1228"/>
      <c r="N89" s="1211"/>
    </row>
    <row r="90" spans="1:14" ht="20.100000000000001" customHeight="1">
      <c r="B90" s="1208" t="s">
        <v>1734</v>
      </c>
      <c r="F90" s="1208" t="s">
        <v>86</v>
      </c>
      <c r="H90" s="1211" t="s">
        <v>901</v>
      </c>
      <c r="I90" s="1899">
        <f>D28</f>
        <v>220</v>
      </c>
      <c r="J90" s="1853" t="s">
        <v>918</v>
      </c>
      <c r="K90" s="2043" t="s">
        <v>1633</v>
      </c>
      <c r="L90" s="1228"/>
      <c r="N90" s="1211"/>
    </row>
    <row r="91" spans="1:14" ht="20.100000000000001" customHeight="1">
      <c r="B91" s="1208" t="s">
        <v>95</v>
      </c>
      <c r="E91" s="1897">
        <f>F28</f>
        <v>50</v>
      </c>
      <c r="F91" s="1208" t="s">
        <v>784</v>
      </c>
      <c r="H91" s="1211" t="s">
        <v>901</v>
      </c>
      <c r="I91" s="1861">
        <f>I28</f>
        <v>118.73</v>
      </c>
      <c r="J91" s="1853" t="s">
        <v>918</v>
      </c>
      <c r="K91" s="2044"/>
      <c r="L91" s="1228"/>
      <c r="N91" s="1211"/>
    </row>
    <row r="92" spans="1:14" ht="20.100000000000001" customHeight="1">
      <c r="B92" s="1208" t="s">
        <v>1632</v>
      </c>
      <c r="H92" s="1211"/>
      <c r="I92" s="1235">
        <f>SUM(I90:I91)</f>
        <v>338.73</v>
      </c>
      <c r="J92" s="1853" t="s">
        <v>918</v>
      </c>
      <c r="K92" s="2044"/>
      <c r="L92" s="1228"/>
      <c r="N92" s="1211"/>
    </row>
    <row r="93" spans="1:14" ht="20.100000000000001" customHeight="1">
      <c r="B93" s="1208" t="s">
        <v>1735</v>
      </c>
      <c r="H93" s="1211" t="s">
        <v>901</v>
      </c>
      <c r="I93" s="1889">
        <f>ROUND(I92*1.4,2)</f>
        <v>474.22</v>
      </c>
      <c r="J93" s="1853" t="s">
        <v>918</v>
      </c>
      <c r="K93" s="2046"/>
      <c r="L93" s="1228"/>
      <c r="N93" s="1211"/>
    </row>
    <row r="94" spans="1:14" ht="20.100000000000001" customHeight="1">
      <c r="B94" s="1208" t="s">
        <v>1736</v>
      </c>
      <c r="H94" s="1211" t="s">
        <v>901</v>
      </c>
      <c r="I94" s="1889">
        <f>IF(กรอกราคาวัสดุ!$C$6=2,'ค่าเสื่อมราคา(แก้ไข26ธค.60)'!H12,'ค่าเสื่อมราคา(แก้ไข26ธค.60)'!G12)*0.75</f>
        <v>36.480000000000004</v>
      </c>
      <c r="J94" s="1853" t="s">
        <v>918</v>
      </c>
      <c r="K94" s="2047"/>
      <c r="L94" s="1228"/>
      <c r="N94" s="1211"/>
    </row>
    <row r="95" spans="1:14" ht="20.100000000000001" customHeight="1">
      <c r="B95" s="1208" t="s">
        <v>1634</v>
      </c>
      <c r="F95" s="1208" t="s">
        <v>86</v>
      </c>
      <c r="H95" s="1211" t="s">
        <v>901</v>
      </c>
      <c r="I95" s="1891">
        <f>IF(E91=0,0,SUM(I93:I94))</f>
        <v>510.70000000000005</v>
      </c>
      <c r="J95" s="1853" t="s">
        <v>918</v>
      </c>
      <c r="K95" s="2043" t="s">
        <v>96</v>
      </c>
      <c r="L95" s="1228"/>
      <c r="N95" s="1211"/>
    </row>
    <row r="96" spans="1:14" ht="20.100000000000001" customHeight="1">
      <c r="A96" s="2199" t="s">
        <v>1630</v>
      </c>
      <c r="B96" s="2199"/>
      <c r="D96" s="1888" t="str">
        <f>"ขนส่งด้วย"&amp;กรอกราคาวัสดุ!L10</f>
        <v>ขนส่งด้วยรถสิบล้อ</v>
      </c>
      <c r="E96" s="1900"/>
      <c r="F96" s="1888"/>
      <c r="H96" s="1211"/>
      <c r="I96" s="1889"/>
      <c r="J96" s="1853"/>
      <c r="K96" s="2043"/>
      <c r="L96" s="1228"/>
      <c r="N96" s="1211"/>
    </row>
    <row r="97" spans="1:14" ht="20.100000000000001" customHeight="1">
      <c r="B97" s="1208" t="s">
        <v>900</v>
      </c>
      <c r="F97" s="1208" t="s">
        <v>86</v>
      </c>
      <c r="H97" s="1211" t="s">
        <v>901</v>
      </c>
      <c r="I97" s="1889">
        <f>D7</f>
        <v>20</v>
      </c>
      <c r="J97" s="1853" t="s">
        <v>918</v>
      </c>
      <c r="K97" s="2043" t="s">
        <v>980</v>
      </c>
      <c r="L97" s="1228"/>
      <c r="N97" s="1211"/>
    </row>
    <row r="98" spans="1:14" ht="20.100000000000001" customHeight="1">
      <c r="B98" s="1208" t="s">
        <v>17</v>
      </c>
      <c r="F98" s="1208" t="s">
        <v>86</v>
      </c>
      <c r="H98" s="1211" t="s">
        <v>901</v>
      </c>
      <c r="I98" s="1889">
        <f>IF(กรอกราคาวัสดุ!$C$6=2,'ค่าเสื่อมราคา(แก้ไข26ธค.60)'!H11,'ค่าเสื่อมราคา(แก้ไข26ธค.60)'!G11)</f>
        <v>23.060000000000002</v>
      </c>
      <c r="J98" s="1853" t="s">
        <v>918</v>
      </c>
      <c r="K98" s="2044">
        <v>-23</v>
      </c>
      <c r="L98" s="1228"/>
      <c r="N98" s="1211"/>
    </row>
    <row r="99" spans="1:14" ht="20.100000000000001" customHeight="1">
      <c r="B99" s="1208" t="s">
        <v>95</v>
      </c>
      <c r="E99" s="1897">
        <f>F7</f>
        <v>1</v>
      </c>
      <c r="F99" s="1208" t="s">
        <v>784</v>
      </c>
      <c r="H99" s="1211" t="s">
        <v>901</v>
      </c>
      <c r="I99" s="1889">
        <f>I7</f>
        <v>11.65</v>
      </c>
      <c r="J99" s="1853" t="s">
        <v>918</v>
      </c>
      <c r="K99" s="2044">
        <v>-24</v>
      </c>
      <c r="L99" s="1228"/>
      <c r="N99" s="1211"/>
    </row>
    <row r="100" spans="1:14" ht="20.100000000000001" customHeight="1">
      <c r="B100" s="1208" t="s">
        <v>20</v>
      </c>
      <c r="H100" s="1211"/>
      <c r="I100" s="1235">
        <f>SUM(I97:I99)</f>
        <v>54.71</v>
      </c>
      <c r="J100" s="1853" t="s">
        <v>918</v>
      </c>
      <c r="K100" s="2044">
        <v>-25</v>
      </c>
      <c r="L100" s="1228"/>
      <c r="N100" s="1211"/>
    </row>
    <row r="101" spans="1:14" ht="20.100000000000001" customHeight="1">
      <c r="B101" s="1208" t="s">
        <v>1584</v>
      </c>
      <c r="H101" s="1211" t="s">
        <v>901</v>
      </c>
      <c r="I101" s="1889">
        <f>ROUND(I100*1.6,2)</f>
        <v>87.54</v>
      </c>
      <c r="J101" s="1853" t="s">
        <v>918</v>
      </c>
      <c r="K101" s="2046">
        <v>-26.1</v>
      </c>
      <c r="L101" s="1228"/>
      <c r="N101" s="1211"/>
    </row>
    <row r="102" spans="1:14" ht="20.100000000000001" customHeight="1">
      <c r="B102" s="1208" t="s">
        <v>1585</v>
      </c>
      <c r="F102" s="1208" t="s">
        <v>86</v>
      </c>
      <c r="H102" s="1211" t="s">
        <v>901</v>
      </c>
      <c r="I102" s="1889">
        <f>IF(กรอกราคาวัสดุ!$C$6=2,'ค่าเสื่อมราคา(แก้ไข26ธค.60)'!H30,'ค่าเสื่อมราคา(แก้ไข26ธค.60)'!G30)</f>
        <v>8.5399999999999991</v>
      </c>
      <c r="J102" s="1853" t="s">
        <v>918</v>
      </c>
      <c r="K102" s="2046">
        <v>-26.2</v>
      </c>
      <c r="L102" s="1228"/>
      <c r="N102" s="1211"/>
    </row>
    <row r="103" spans="1:14" ht="20.100000000000001" customHeight="1">
      <c r="B103" s="1208" t="s">
        <v>19</v>
      </c>
      <c r="H103" s="1211" t="s">
        <v>901</v>
      </c>
      <c r="I103" s="1889">
        <f>IF(กรอกราคาวัสดุ!$C$6=2,'ค่าเสื่อมราคา(แก้ไข26ธค.60)'!H12,'ค่าเสื่อมราคา(แก้ไข26ธค.60)'!G12)</f>
        <v>48.64</v>
      </c>
      <c r="J103" s="1853" t="s">
        <v>918</v>
      </c>
      <c r="K103" s="2047">
        <v>-27</v>
      </c>
      <c r="L103" s="1228"/>
      <c r="N103" s="1211"/>
    </row>
    <row r="104" spans="1:14" ht="20.100000000000001" customHeight="1">
      <c r="B104" s="1208" t="s">
        <v>1586</v>
      </c>
      <c r="F104" s="1208" t="s">
        <v>86</v>
      </c>
      <c r="H104" s="1211" t="s">
        <v>901</v>
      </c>
      <c r="I104" s="1891">
        <f>IF(E99=0,0,SUM(I101:I103))</f>
        <v>144.72000000000003</v>
      </c>
      <c r="J104" s="1853" t="s">
        <v>918</v>
      </c>
      <c r="K104" s="2043" t="s">
        <v>96</v>
      </c>
      <c r="L104" s="1228"/>
      <c r="N104" s="1211"/>
    </row>
    <row r="105" spans="1:14" ht="20.100000000000001" customHeight="1">
      <c r="A105" s="2199" t="s">
        <v>1629</v>
      </c>
      <c r="B105" s="2199"/>
      <c r="D105" s="1208" t="s">
        <v>97</v>
      </c>
      <c r="H105" s="1211"/>
      <c r="I105" s="1889"/>
      <c r="J105" s="1853"/>
      <c r="K105" s="2043"/>
      <c r="L105" s="1228"/>
      <c r="N105" s="1211"/>
    </row>
    <row r="106" spans="1:14" ht="20.100000000000001" customHeight="1">
      <c r="B106" s="1208" t="s">
        <v>19</v>
      </c>
      <c r="H106" s="1211" t="s">
        <v>901</v>
      </c>
      <c r="I106" s="1889">
        <f>IF(กรอกราคาวัสดุ!$C$6=2,'ค่าเสื่อมราคา(แก้ไข26ธค.60)'!H12,'ค่าเสื่อมราคา(แก้ไข26ธค.60)'!G12)</f>
        <v>48.64</v>
      </c>
      <c r="J106" s="1853" t="s">
        <v>918</v>
      </c>
      <c r="K106" s="2043"/>
      <c r="L106" s="1228"/>
      <c r="N106" s="1211"/>
    </row>
    <row r="107" spans="1:14" ht="20.100000000000001" customHeight="1">
      <c r="B107" s="1208" t="s">
        <v>99</v>
      </c>
      <c r="F107" s="1208" t="s">
        <v>86</v>
      </c>
      <c r="H107" s="1211" t="s">
        <v>901</v>
      </c>
      <c r="I107" s="1891">
        <f>I106</f>
        <v>48.64</v>
      </c>
      <c r="J107" s="1853" t="s">
        <v>918</v>
      </c>
      <c r="K107" s="2043" t="s">
        <v>96</v>
      </c>
      <c r="L107" s="1228"/>
      <c r="N107" s="1211"/>
    </row>
    <row r="108" spans="1:14" ht="20.100000000000001" customHeight="1">
      <c r="A108" s="2199" t="s">
        <v>105</v>
      </c>
      <c r="B108" s="2199"/>
      <c r="C108" s="1888" t="str">
        <f>"ขนส่งด้วย"&amp;กรอกราคาวัสดุ!L11</f>
        <v>ขนส่งด้วยรถสิบล้อ</v>
      </c>
      <c r="D108" s="1894"/>
      <c r="E108" s="1901"/>
    </row>
    <row r="109" spans="1:14" ht="20.100000000000001" customHeight="1">
      <c r="B109" s="1208" t="s">
        <v>900</v>
      </c>
      <c r="F109" s="1208" t="s">
        <v>86</v>
      </c>
      <c r="H109" s="1211" t="s">
        <v>901</v>
      </c>
      <c r="I109" s="1861">
        <f>D8</f>
        <v>30</v>
      </c>
      <c r="J109" s="1853" t="s">
        <v>918</v>
      </c>
      <c r="K109" s="2043" t="s">
        <v>981</v>
      </c>
      <c r="L109" s="1228"/>
      <c r="N109" s="1211"/>
    </row>
    <row r="110" spans="1:14" ht="20.100000000000001" customHeight="1">
      <c r="B110" s="1208" t="s">
        <v>17</v>
      </c>
      <c r="F110" s="1208" t="s">
        <v>86</v>
      </c>
      <c r="H110" s="1211" t="s">
        <v>901</v>
      </c>
      <c r="I110" s="1861">
        <f>IF(กรอกราคาวัสดุ!$C$6=2,'ค่าเสื่อมราคา(แก้ไข26ธค.60)'!H21,'ค่าเสื่อมราคา(แก้ไข26ธค.60)'!G21)</f>
        <v>33.9</v>
      </c>
      <c r="J110" s="1853" t="s">
        <v>918</v>
      </c>
      <c r="K110" s="2044">
        <v>-29</v>
      </c>
      <c r="L110" s="1228"/>
      <c r="N110" s="1211"/>
    </row>
    <row r="111" spans="1:14" ht="20.100000000000001" customHeight="1">
      <c r="B111" s="1208" t="s">
        <v>95</v>
      </c>
      <c r="E111" s="1897">
        <f>F8</f>
        <v>24</v>
      </c>
      <c r="F111" s="1208" t="s">
        <v>784</v>
      </c>
      <c r="H111" s="1211" t="s">
        <v>901</v>
      </c>
      <c r="I111" s="1861">
        <f>I8</f>
        <v>91.67</v>
      </c>
      <c r="J111" s="1853" t="s">
        <v>918</v>
      </c>
      <c r="K111" s="2044">
        <v>-30</v>
      </c>
      <c r="L111" s="1228"/>
      <c r="N111" s="1211"/>
    </row>
    <row r="112" spans="1:14" ht="20.100000000000001" customHeight="1">
      <c r="B112" s="1208" t="s">
        <v>21</v>
      </c>
      <c r="H112" s="1211" t="s">
        <v>901</v>
      </c>
      <c r="I112" s="1861">
        <f>SUM(I109:I111)</f>
        <v>155.57</v>
      </c>
      <c r="J112" s="1853" t="s">
        <v>918</v>
      </c>
      <c r="K112" s="2044">
        <v>-31</v>
      </c>
      <c r="L112" s="1228"/>
      <c r="N112" s="1211"/>
    </row>
    <row r="113" spans="1:14" ht="20.100000000000001" customHeight="1">
      <c r="B113" s="1208" t="s">
        <v>22</v>
      </c>
      <c r="H113" s="1211" t="s">
        <v>901</v>
      </c>
      <c r="I113" s="1861">
        <f>ROUND(+I112*1.6,2)</f>
        <v>248.91</v>
      </c>
      <c r="J113" s="1853" t="s">
        <v>918</v>
      </c>
      <c r="K113" s="2044">
        <v>-32</v>
      </c>
      <c r="L113" s="1228"/>
      <c r="N113" s="1211"/>
    </row>
    <row r="114" spans="1:14" ht="20.100000000000001" customHeight="1">
      <c r="B114" s="1208" t="s">
        <v>19</v>
      </c>
      <c r="H114" s="1211" t="s">
        <v>901</v>
      </c>
      <c r="I114" s="1861">
        <f>IF(กรอกราคาวัสดุ!$C$6=2,'ค่าเสื่อมราคา(แก้ไข26ธค.60)'!H23,'ค่าเสื่อมราคา(แก้ไข26ธค.60)'!G23)</f>
        <v>58.37</v>
      </c>
      <c r="J114" s="1853" t="s">
        <v>918</v>
      </c>
      <c r="K114" s="2047">
        <v>-33</v>
      </c>
      <c r="L114" s="1228"/>
      <c r="N114" s="1211"/>
    </row>
    <row r="115" spans="1:14" ht="20.100000000000001" customHeight="1">
      <c r="B115" s="1208" t="s">
        <v>23</v>
      </c>
      <c r="F115" s="1208" t="s">
        <v>86</v>
      </c>
      <c r="H115" s="1211" t="s">
        <v>901</v>
      </c>
      <c r="I115" s="1902">
        <f>IF(E111=0,0,SUM(I113:I114))</f>
        <v>307.27999999999997</v>
      </c>
      <c r="J115" s="1853" t="s">
        <v>918</v>
      </c>
      <c r="K115" s="2043" t="s">
        <v>96</v>
      </c>
      <c r="L115" s="1228"/>
      <c r="N115" s="1211"/>
    </row>
    <row r="116" spans="1:14" ht="20.100000000000001" customHeight="1">
      <c r="A116" s="2199" t="s">
        <v>106</v>
      </c>
      <c r="B116" s="2199"/>
      <c r="C116" s="1888" t="str">
        <f>"ขนส่งด้วย"&amp;กรอกราคาวัสดุ!$L$12</f>
        <v>ขนส่งด้วยรถสิบล้อ</v>
      </c>
      <c r="D116" s="1894"/>
      <c r="E116" s="1901"/>
      <c r="H116" s="1211"/>
      <c r="I116" s="1861"/>
      <c r="J116" s="1853"/>
      <c r="K116" s="2043"/>
      <c r="L116" s="1228"/>
      <c r="N116" s="1211"/>
    </row>
    <row r="117" spans="1:14" ht="20.100000000000001" customHeight="1">
      <c r="A117" s="2199" t="s">
        <v>618</v>
      </c>
      <c r="B117" s="2199"/>
      <c r="D117" s="1894"/>
      <c r="E117" s="1901"/>
      <c r="H117" s="1211"/>
      <c r="I117" s="1861"/>
      <c r="J117" s="1853"/>
      <c r="K117" s="2043"/>
      <c r="L117" s="1228"/>
      <c r="N117" s="1211"/>
    </row>
    <row r="118" spans="1:14" ht="20.100000000000001" customHeight="1">
      <c r="B118" s="1208" t="s">
        <v>900</v>
      </c>
      <c r="F118" s="1208" t="s">
        <v>86</v>
      </c>
      <c r="H118" s="1211" t="s">
        <v>901</v>
      </c>
      <c r="I118" s="1861">
        <f>D9</f>
        <v>60</v>
      </c>
      <c r="J118" s="1853" t="s">
        <v>918</v>
      </c>
      <c r="K118" s="2043" t="s">
        <v>982</v>
      </c>
      <c r="L118" s="1228"/>
      <c r="N118" s="1211"/>
    </row>
    <row r="119" spans="1:14" ht="20.100000000000001" customHeight="1">
      <c r="B119" s="1208" t="s">
        <v>37</v>
      </c>
      <c r="F119" s="1208" t="s">
        <v>86</v>
      </c>
      <c r="H119" s="1211" t="s">
        <v>901</v>
      </c>
      <c r="I119" s="1861">
        <f>IF(กรอกราคาวัสดุ!$C$6=2,'ค่าเสื่อมราคา(แก้ไข26ธค.60)'!H21,'ค่าเสื่อมราคา(แก้ไข26ธค.60)'!G21)</f>
        <v>33.9</v>
      </c>
      <c r="J119" s="1853" t="s">
        <v>918</v>
      </c>
      <c r="K119" s="2044">
        <v>-35</v>
      </c>
      <c r="L119" s="1228"/>
      <c r="N119" s="1211"/>
    </row>
    <row r="120" spans="1:14" ht="20.100000000000001" customHeight="1">
      <c r="B120" s="1208" t="s">
        <v>95</v>
      </c>
      <c r="E120" s="1897">
        <f>F9</f>
        <v>24</v>
      </c>
      <c r="F120" s="1208" t="s">
        <v>784</v>
      </c>
      <c r="H120" s="1211" t="s">
        <v>901</v>
      </c>
      <c r="I120" s="1861">
        <f>I9</f>
        <v>91.67</v>
      </c>
      <c r="J120" s="1853" t="s">
        <v>918</v>
      </c>
      <c r="K120" s="2044">
        <v>-36</v>
      </c>
      <c r="L120" s="1228"/>
      <c r="N120" s="1211"/>
    </row>
    <row r="121" spans="1:14" ht="20.100000000000001" customHeight="1">
      <c r="B121" s="1208" t="s">
        <v>24</v>
      </c>
      <c r="H121" s="1211" t="s">
        <v>901</v>
      </c>
      <c r="I121" s="1861">
        <f>SUM(I118:I120)</f>
        <v>185.57</v>
      </c>
      <c r="J121" s="1853" t="s">
        <v>918</v>
      </c>
      <c r="K121" s="2044">
        <v>-37</v>
      </c>
      <c r="L121" s="1228"/>
      <c r="N121" s="1211"/>
    </row>
    <row r="122" spans="1:14" ht="20.100000000000001" customHeight="1">
      <c r="B122" s="1208" t="s">
        <v>31</v>
      </c>
      <c r="H122" s="1211" t="s">
        <v>901</v>
      </c>
      <c r="I122" s="1861">
        <f>ROUND(+I121*1.6,2)</f>
        <v>296.91000000000003</v>
      </c>
      <c r="J122" s="1853" t="s">
        <v>918</v>
      </c>
      <c r="K122" s="2044">
        <v>-38</v>
      </c>
      <c r="L122" s="1228"/>
      <c r="N122" s="1211"/>
    </row>
    <row r="123" spans="1:14" ht="20.100000000000001" customHeight="1">
      <c r="B123" s="1208" t="s">
        <v>19</v>
      </c>
      <c r="H123" s="1211" t="s">
        <v>901</v>
      </c>
      <c r="I123" s="1861">
        <f>IF(กรอกราคาวัสดุ!$C$6=2,'ค่าเสื่อมราคา(แก้ไข26ธค.60)'!H23,'ค่าเสื่อมราคา(แก้ไข26ธค.60)'!G23)</f>
        <v>58.37</v>
      </c>
      <c r="J123" s="1853" t="s">
        <v>918</v>
      </c>
      <c r="K123" s="2047">
        <v>-39</v>
      </c>
      <c r="L123" s="1228"/>
      <c r="N123" s="1211"/>
    </row>
    <row r="124" spans="1:14" ht="20.100000000000001" customHeight="1">
      <c r="B124" s="1208" t="s">
        <v>25</v>
      </c>
      <c r="F124" s="1208" t="s">
        <v>86</v>
      </c>
      <c r="H124" s="1211" t="s">
        <v>901</v>
      </c>
      <c r="I124" s="1902">
        <f>IF(E120=0,0,SUM(I122:I123))</f>
        <v>355.28000000000003</v>
      </c>
      <c r="J124" s="1853" t="s">
        <v>918</v>
      </c>
      <c r="K124" s="2043" t="s">
        <v>96</v>
      </c>
      <c r="L124" s="1228"/>
      <c r="N124" s="1211"/>
    </row>
    <row r="125" spans="1:14" ht="20.100000000000001" customHeight="1">
      <c r="A125" s="2199" t="s">
        <v>625</v>
      </c>
      <c r="B125" s="2199"/>
      <c r="H125" s="1211"/>
      <c r="I125" s="1861"/>
      <c r="J125" s="1853"/>
      <c r="K125" s="2043"/>
      <c r="L125" s="1228"/>
      <c r="N125" s="1211"/>
    </row>
    <row r="126" spans="1:14" ht="20.100000000000001" customHeight="1">
      <c r="A126" s="1209"/>
      <c r="B126" s="1207" t="s">
        <v>623</v>
      </c>
      <c r="H126" s="1211"/>
      <c r="I126" s="1861"/>
      <c r="J126" s="1853"/>
      <c r="K126" s="2043"/>
      <c r="L126" s="1228"/>
      <c r="N126" s="1211"/>
    </row>
    <row r="127" spans="1:14" ht="20.100000000000001" customHeight="1">
      <c r="B127" s="1208" t="s">
        <v>621</v>
      </c>
      <c r="F127" s="1208" t="s">
        <v>86</v>
      </c>
      <c r="H127" s="1211" t="s">
        <v>901</v>
      </c>
      <c r="I127" s="1861">
        <f>D9</f>
        <v>60</v>
      </c>
      <c r="J127" s="1853" t="s">
        <v>918</v>
      </c>
      <c r="K127" s="2043" t="s">
        <v>983</v>
      </c>
      <c r="L127" s="1228"/>
      <c r="N127" s="1211"/>
    </row>
    <row r="128" spans="1:14" ht="20.100000000000001" customHeight="1">
      <c r="B128" s="1208" t="s">
        <v>17</v>
      </c>
      <c r="F128" s="1208" t="s">
        <v>86</v>
      </c>
      <c r="H128" s="1211" t="s">
        <v>901</v>
      </c>
      <c r="I128" s="1861">
        <f>IF(กรอกราคาวัสดุ!$C$6=2,'ค่าเสื่อมราคา(แก้ไข26ธค.60)'!H21,'ค่าเสื่อมราคา(แก้ไข26ธค.60)'!G21)</f>
        <v>33.9</v>
      </c>
      <c r="J128" s="1853" t="s">
        <v>918</v>
      </c>
      <c r="K128" s="2044">
        <v>-41</v>
      </c>
      <c r="L128" s="1228"/>
      <c r="N128" s="1211"/>
    </row>
    <row r="129" spans="1:14" ht="20.100000000000001" customHeight="1">
      <c r="B129" s="1208" t="s">
        <v>95</v>
      </c>
      <c r="E129" s="1897">
        <f>F9</f>
        <v>24</v>
      </c>
      <c r="F129" s="1208" t="s">
        <v>784</v>
      </c>
      <c r="H129" s="1211" t="s">
        <v>901</v>
      </c>
      <c r="I129" s="1861">
        <f>I9</f>
        <v>91.67</v>
      </c>
      <c r="J129" s="1853" t="s">
        <v>918</v>
      </c>
      <c r="K129" s="2044">
        <v>-42</v>
      </c>
      <c r="L129" s="1228"/>
      <c r="N129" s="1211"/>
    </row>
    <row r="130" spans="1:14" ht="20.100000000000001" customHeight="1">
      <c r="B130" s="1208" t="s">
        <v>26</v>
      </c>
      <c r="H130" s="1211" t="s">
        <v>901</v>
      </c>
      <c r="I130" s="1861">
        <f>SUM(I127:I129)</f>
        <v>185.57</v>
      </c>
      <c r="J130" s="1853" t="s">
        <v>918</v>
      </c>
      <c r="K130" s="2044">
        <v>-43</v>
      </c>
      <c r="L130" s="1228"/>
      <c r="N130" s="1211"/>
    </row>
    <row r="131" spans="1:14" ht="20.100000000000001" customHeight="1">
      <c r="B131" s="1208" t="s">
        <v>32</v>
      </c>
      <c r="H131" s="1211" t="s">
        <v>901</v>
      </c>
      <c r="I131" s="1861">
        <f>ROUND(+I130*1.6,2)</f>
        <v>296.91000000000003</v>
      </c>
      <c r="J131" s="1853" t="s">
        <v>918</v>
      </c>
      <c r="K131" s="2044">
        <v>-44</v>
      </c>
      <c r="L131" s="1228"/>
      <c r="N131" s="1211"/>
    </row>
    <row r="132" spans="1:14" ht="20.100000000000001" customHeight="1">
      <c r="A132" s="1211">
        <v>1</v>
      </c>
      <c r="B132" s="1208" t="s">
        <v>619</v>
      </c>
      <c r="E132" s="1208"/>
      <c r="H132" s="1211" t="s">
        <v>901</v>
      </c>
      <c r="I132" s="1903">
        <v>80</v>
      </c>
      <c r="J132" s="1208" t="s">
        <v>620</v>
      </c>
      <c r="K132" s="2047">
        <v>-45</v>
      </c>
      <c r="L132" s="1228"/>
      <c r="N132" s="1211"/>
    </row>
    <row r="133" spans="1:14" ht="20.100000000000001" customHeight="1">
      <c r="B133" s="1208" t="s">
        <v>27</v>
      </c>
      <c r="E133" s="1904"/>
      <c r="H133" s="1211" t="s">
        <v>901</v>
      </c>
      <c r="I133" s="1861">
        <f>I131*I132%</f>
        <v>237.52800000000002</v>
      </c>
      <c r="J133" s="1853" t="s">
        <v>918</v>
      </c>
      <c r="K133" s="2047">
        <v>-46</v>
      </c>
      <c r="L133" s="1228"/>
      <c r="N133" s="1211"/>
    </row>
    <row r="134" spans="1:14" ht="20.100000000000001" customHeight="1">
      <c r="B134" s="1207" t="s">
        <v>624</v>
      </c>
      <c r="H134" s="1211"/>
      <c r="I134" s="1861"/>
      <c r="J134" s="1853"/>
      <c r="K134" s="2043"/>
      <c r="L134" s="1228"/>
      <c r="N134" s="1211"/>
    </row>
    <row r="135" spans="1:14" ht="20.100000000000001" customHeight="1">
      <c r="B135" s="1208" t="s">
        <v>622</v>
      </c>
      <c r="F135" s="1208" t="s">
        <v>86</v>
      </c>
      <c r="H135" s="1211" t="s">
        <v>901</v>
      </c>
      <c r="I135" s="1861">
        <f>D28</f>
        <v>220</v>
      </c>
      <c r="J135" s="1853" t="s">
        <v>918</v>
      </c>
      <c r="K135" s="2043" t="s">
        <v>984</v>
      </c>
      <c r="L135" s="1228"/>
      <c r="N135" s="1211"/>
    </row>
    <row r="136" spans="1:14" ht="20.100000000000001" customHeight="1">
      <c r="B136" s="1208" t="s">
        <v>37</v>
      </c>
      <c r="F136" s="1208" t="s">
        <v>86</v>
      </c>
      <c r="H136" s="1211" t="s">
        <v>901</v>
      </c>
      <c r="I136" s="1861">
        <f>IF(กรอกราคาวัสดุ!$C$6=2,'ค่าเสื่อมราคา(แก้ไข26ธค.60)'!H11,'ค่าเสื่อมราคา(แก้ไข26ธค.60)'!G11)</f>
        <v>23.060000000000002</v>
      </c>
      <c r="J136" s="1853" t="s">
        <v>918</v>
      </c>
      <c r="K136" s="2044">
        <v>-48</v>
      </c>
      <c r="L136" s="1228"/>
      <c r="N136" s="1211"/>
    </row>
    <row r="137" spans="1:14" ht="20.100000000000001" customHeight="1">
      <c r="B137" s="1208" t="s">
        <v>95</v>
      </c>
      <c r="E137" s="1897">
        <f>F29</f>
        <v>70</v>
      </c>
      <c r="F137" s="1208" t="s">
        <v>784</v>
      </c>
      <c r="H137" s="1211" t="s">
        <v>901</v>
      </c>
      <c r="I137" s="1905">
        <f>I28</f>
        <v>118.73</v>
      </c>
      <c r="J137" s="1853" t="s">
        <v>918</v>
      </c>
      <c r="K137" s="2044">
        <v>-49</v>
      </c>
      <c r="L137" s="1228"/>
      <c r="N137" s="1211"/>
    </row>
    <row r="138" spans="1:14" ht="20.100000000000001" customHeight="1">
      <c r="B138" s="1208" t="s">
        <v>28</v>
      </c>
      <c r="H138" s="1211" t="s">
        <v>901</v>
      </c>
      <c r="I138" s="1861">
        <f>SUM(I135:I137)</f>
        <v>361.79</v>
      </c>
      <c r="J138" s="1853" t="s">
        <v>918</v>
      </c>
      <c r="K138" s="2044">
        <v>-50</v>
      </c>
      <c r="L138" s="1228"/>
      <c r="N138" s="1211"/>
    </row>
    <row r="139" spans="1:14" ht="20.100000000000001" customHeight="1">
      <c r="B139" s="1208" t="s">
        <v>33</v>
      </c>
      <c r="H139" s="1211" t="s">
        <v>901</v>
      </c>
      <c r="I139" s="1861">
        <f>ROUND(+I138*1.4,2)</f>
        <v>506.51</v>
      </c>
      <c r="J139" s="1853" t="s">
        <v>918</v>
      </c>
      <c r="K139" s="2044">
        <v>-51</v>
      </c>
      <c r="L139" s="1228"/>
      <c r="N139" s="1211"/>
    </row>
    <row r="140" spans="1:14" ht="20.100000000000001" customHeight="1">
      <c r="A140" s="1211">
        <v>2</v>
      </c>
      <c r="B140" s="1208" t="s">
        <v>619</v>
      </c>
      <c r="E140" s="1208"/>
      <c r="H140" s="1211" t="s">
        <v>901</v>
      </c>
      <c r="I140" s="1903">
        <v>20</v>
      </c>
      <c r="J140" s="1208" t="s">
        <v>620</v>
      </c>
      <c r="K140" s="2047">
        <v>-52</v>
      </c>
      <c r="L140" s="1228"/>
      <c r="N140" s="1211"/>
    </row>
    <row r="141" spans="1:14" ht="20.100000000000001" customHeight="1">
      <c r="B141" s="1208" t="s">
        <v>29</v>
      </c>
      <c r="E141" s="1904"/>
      <c r="H141" s="1211" t="s">
        <v>901</v>
      </c>
      <c r="I141" s="1861">
        <f>I139*I140%</f>
        <v>101.30200000000001</v>
      </c>
      <c r="J141" s="1853" t="s">
        <v>918</v>
      </c>
      <c r="K141" s="2047">
        <v>-53</v>
      </c>
      <c r="L141" s="1228"/>
      <c r="N141" s="1211"/>
    </row>
    <row r="142" spans="1:14" ht="20.100000000000001" customHeight="1">
      <c r="B142" s="1208" t="s">
        <v>30</v>
      </c>
      <c r="H142" s="1211" t="s">
        <v>901</v>
      </c>
      <c r="I142" s="1861">
        <f>I141+I133</f>
        <v>338.83000000000004</v>
      </c>
      <c r="J142" s="1853" t="s">
        <v>918</v>
      </c>
      <c r="K142" s="2044">
        <v>-54</v>
      </c>
      <c r="L142" s="1228"/>
      <c r="N142" s="1211"/>
    </row>
    <row r="143" spans="1:14" ht="20.100000000000001" customHeight="1">
      <c r="B143" s="1208" t="s">
        <v>38</v>
      </c>
      <c r="H143" s="1211" t="s">
        <v>901</v>
      </c>
      <c r="I143" s="1861">
        <f>IF(กรอกราคาวัสดุ!$C$6=2,'ค่าเสื่อมราคา(แก้ไข26ธค.60)'!H64,'ค่าเสื่อมราคา(แก้ไข26ธค.60)'!G64)</f>
        <v>46.17</v>
      </c>
      <c r="J143" s="1853" t="s">
        <v>918</v>
      </c>
      <c r="K143" s="2044">
        <v>-55</v>
      </c>
      <c r="L143" s="1228"/>
      <c r="N143" s="1211"/>
    </row>
    <row r="144" spans="1:14" ht="20.100000000000001" customHeight="1">
      <c r="B144" s="1208" t="s">
        <v>39</v>
      </c>
      <c r="H144" s="1211" t="s">
        <v>901</v>
      </c>
      <c r="I144" s="1861">
        <f>IF(กรอกราคาวัสดุ!$C$6=2,'ค่าเสื่อมราคา(แก้ไข26ธค.60)'!H23,'ค่าเสื่อมราคา(แก้ไข26ธค.60)'!G23)</f>
        <v>58.37</v>
      </c>
      <c r="J144" s="1853" t="s">
        <v>918</v>
      </c>
      <c r="K144" s="2044">
        <v>-56</v>
      </c>
      <c r="L144" s="1228"/>
      <c r="N144" s="1211"/>
    </row>
    <row r="145" spans="1:14" ht="20.100000000000001" customHeight="1">
      <c r="B145" s="1208" t="s">
        <v>630</v>
      </c>
      <c r="H145" s="1211" t="s">
        <v>901</v>
      </c>
      <c r="I145" s="1902">
        <f>I142+I143+I144</f>
        <v>443.37000000000006</v>
      </c>
      <c r="J145" s="1853" t="s">
        <v>918</v>
      </c>
      <c r="K145" s="2044">
        <v>-57</v>
      </c>
      <c r="L145" s="1228"/>
      <c r="N145" s="1211"/>
    </row>
    <row r="146" spans="1:14" ht="20.100000000000001" customHeight="1">
      <c r="A146" s="2199" t="s">
        <v>627</v>
      </c>
      <c r="B146" s="2199"/>
      <c r="D146" s="1853" t="s">
        <v>925</v>
      </c>
      <c r="E146" s="1906">
        <v>0.2</v>
      </c>
      <c r="F146" s="1208" t="s">
        <v>889</v>
      </c>
      <c r="G146" s="1853" t="s">
        <v>811</v>
      </c>
      <c r="H146" s="1211" t="s">
        <v>901</v>
      </c>
      <c r="I146" s="1907">
        <f>'ปร.4 road'!F26/E146</f>
        <v>0</v>
      </c>
      <c r="J146" s="1853" t="s">
        <v>890</v>
      </c>
      <c r="K146" s="2048"/>
      <c r="L146" s="1228"/>
      <c r="N146" s="1211"/>
    </row>
    <row r="147" spans="1:14" ht="20.100000000000001" customHeight="1">
      <c r="B147" s="1208" t="s">
        <v>621</v>
      </c>
      <c r="F147" s="1208" t="s">
        <v>86</v>
      </c>
      <c r="H147" s="1211" t="s">
        <v>901</v>
      </c>
      <c r="I147" s="1861">
        <f>D9</f>
        <v>60</v>
      </c>
      <c r="J147" s="1853" t="s">
        <v>918</v>
      </c>
      <c r="K147" s="2043" t="s">
        <v>34</v>
      </c>
      <c r="L147" s="1228"/>
      <c r="N147" s="1211"/>
    </row>
    <row r="148" spans="1:14" ht="20.100000000000001" customHeight="1">
      <c r="B148" s="1208" t="s">
        <v>17</v>
      </c>
      <c r="F148" s="1208" t="s">
        <v>86</v>
      </c>
      <c r="H148" s="1211" t="s">
        <v>901</v>
      </c>
      <c r="I148" s="1861">
        <f>IF(กรอกราคาวัสดุ!$C$6=2,'ค่าเสื่อมราคา(แก้ไข26ธค.60)'!H21,'ค่าเสื่อมราคา(แก้ไข26ธค.60)'!G21)</f>
        <v>33.9</v>
      </c>
      <c r="J148" s="1853" t="s">
        <v>918</v>
      </c>
      <c r="K148" s="2044">
        <v>-59</v>
      </c>
      <c r="L148" s="1228"/>
      <c r="N148" s="1211"/>
    </row>
    <row r="149" spans="1:14" ht="20.100000000000001" customHeight="1">
      <c r="B149" s="1208" t="s">
        <v>95</v>
      </c>
      <c r="E149" s="1897">
        <f>F9</f>
        <v>24</v>
      </c>
      <c r="F149" s="1208" t="s">
        <v>784</v>
      </c>
      <c r="H149" s="1211" t="s">
        <v>901</v>
      </c>
      <c r="I149" s="1861">
        <f>I9</f>
        <v>91.67</v>
      </c>
      <c r="J149" s="1853" t="s">
        <v>918</v>
      </c>
      <c r="K149" s="2044">
        <v>-60</v>
      </c>
      <c r="L149" s="1228"/>
      <c r="N149" s="1211"/>
    </row>
    <row r="150" spans="1:14" ht="20.100000000000001" customHeight="1">
      <c r="B150" s="1208" t="s">
        <v>827</v>
      </c>
      <c r="H150" s="1211" t="s">
        <v>901</v>
      </c>
      <c r="I150" s="1861">
        <f>SUM(I147:I149)</f>
        <v>185.57</v>
      </c>
      <c r="J150" s="1853" t="s">
        <v>918</v>
      </c>
      <c r="K150" s="2044">
        <v>-61</v>
      </c>
      <c r="L150" s="1228"/>
      <c r="N150" s="1211"/>
    </row>
    <row r="151" spans="1:14" ht="20.100000000000001" customHeight="1">
      <c r="B151" s="1208" t="s">
        <v>35</v>
      </c>
      <c r="H151" s="1211" t="s">
        <v>901</v>
      </c>
      <c r="I151" s="1861">
        <f>ROUND(+I150*1.6,2)</f>
        <v>296.91000000000003</v>
      </c>
      <c r="J151" s="1853" t="s">
        <v>918</v>
      </c>
      <c r="K151" s="2044">
        <v>-62</v>
      </c>
      <c r="L151" s="1228"/>
      <c r="N151" s="1211"/>
    </row>
    <row r="152" spans="1:14" ht="20.100000000000001" customHeight="1">
      <c r="B152" s="1208" t="s">
        <v>629</v>
      </c>
      <c r="H152" s="1211" t="s">
        <v>901</v>
      </c>
      <c r="I152" s="1903">
        <v>2000</v>
      </c>
      <c r="J152" s="1853" t="s">
        <v>628</v>
      </c>
      <c r="K152" s="2047">
        <v>-63</v>
      </c>
      <c r="L152" s="1228"/>
      <c r="N152" s="1211"/>
    </row>
    <row r="153" spans="1:14" ht="20.100000000000001" customHeight="1">
      <c r="B153" s="1208" t="s">
        <v>571</v>
      </c>
      <c r="E153" s="1208"/>
      <c r="H153" s="1211" t="s">
        <v>901</v>
      </c>
      <c r="I153" s="1903">
        <v>5</v>
      </c>
      <c r="J153" s="1208" t="s">
        <v>620</v>
      </c>
      <c r="K153" s="2044">
        <v>-64</v>
      </c>
      <c r="L153" s="1228"/>
      <c r="N153" s="1211"/>
    </row>
    <row r="154" spans="1:14" ht="20.100000000000001" customHeight="1">
      <c r="B154" s="1208" t="s">
        <v>36</v>
      </c>
      <c r="E154" s="1904"/>
      <c r="H154" s="1211" t="s">
        <v>901</v>
      </c>
      <c r="I154" s="1861">
        <f>I152*I153/100</f>
        <v>100</v>
      </c>
      <c r="J154" s="1853" t="s">
        <v>628</v>
      </c>
      <c r="K154" s="2044">
        <v>-65</v>
      </c>
      <c r="L154" s="1228"/>
      <c r="N154" s="1211"/>
    </row>
    <row r="155" spans="1:14" ht="20.100000000000001" customHeight="1">
      <c r="B155" s="1208" t="s">
        <v>449</v>
      </c>
      <c r="H155" s="1211" t="s">
        <v>901</v>
      </c>
      <c r="I155" s="1861">
        <f>I154*I321/1000</f>
        <v>277.12799999999999</v>
      </c>
      <c r="J155" s="1853" t="s">
        <v>898</v>
      </c>
      <c r="K155" s="2044">
        <v>-66</v>
      </c>
      <c r="L155" s="1228"/>
      <c r="N155" s="1211"/>
    </row>
    <row r="156" spans="1:14" ht="20.100000000000001" customHeight="1">
      <c r="B156" s="1367" t="s">
        <v>344</v>
      </c>
      <c r="D156" s="1853" t="s">
        <v>416</v>
      </c>
      <c r="E156" s="1908">
        <v>7000</v>
      </c>
      <c r="H156" s="1211" t="s">
        <v>901</v>
      </c>
      <c r="I156" s="1904">
        <f>150000/7000</f>
        <v>21.428571428571427</v>
      </c>
      <c r="J156" s="1853" t="s">
        <v>898</v>
      </c>
      <c r="K156" s="2044">
        <v>-67</v>
      </c>
      <c r="L156" s="1228"/>
      <c r="N156" s="1211"/>
    </row>
    <row r="157" spans="1:14" ht="20.100000000000001" customHeight="1">
      <c r="B157" s="1367"/>
      <c r="D157" s="1853"/>
      <c r="E157" s="1228"/>
      <c r="H157" s="1211"/>
      <c r="I157" s="1904"/>
      <c r="J157" s="1853"/>
      <c r="K157" s="2044">
        <v>-68</v>
      </c>
      <c r="L157" s="1228"/>
      <c r="N157" s="1211"/>
    </row>
    <row r="158" spans="1:14" ht="20.100000000000001" customHeight="1">
      <c r="B158" s="1208" t="s">
        <v>38</v>
      </c>
      <c r="H158" s="1211" t="s">
        <v>901</v>
      </c>
      <c r="I158" s="1861">
        <f>IF(กรอกราคาวัสดุ!$C$6=2,'ค่าเสื่อมราคา(แก้ไข26ธค.60)'!H64,'ค่าเสื่อมราคา(แก้ไข26ธค.60)'!G64)</f>
        <v>46.17</v>
      </c>
      <c r="J158" s="1853" t="s">
        <v>918</v>
      </c>
      <c r="K158" s="2044">
        <v>-69</v>
      </c>
      <c r="L158" s="1228"/>
      <c r="N158" s="1211"/>
    </row>
    <row r="159" spans="1:14" ht="20.100000000000001" customHeight="1">
      <c r="B159" s="1208" t="s">
        <v>39</v>
      </c>
      <c r="H159" s="1211" t="s">
        <v>901</v>
      </c>
      <c r="I159" s="1861">
        <f>IF(กรอกราคาวัสดุ!$C$6=2,'ค่าเสื่อมราคา(แก้ไข26ธค.60)'!H23,'ค่าเสื่อมราคา(แก้ไข26ธค.60)'!G23)</f>
        <v>58.37</v>
      </c>
      <c r="J159" s="1853" t="s">
        <v>918</v>
      </c>
      <c r="K159" s="2044">
        <v>-70</v>
      </c>
      <c r="L159" s="1228"/>
      <c r="N159" s="1211"/>
    </row>
    <row r="160" spans="1:14" ht="20.100000000000001" customHeight="1">
      <c r="B160" s="1208" t="s">
        <v>838</v>
      </c>
      <c r="H160" s="1211" t="s">
        <v>901</v>
      </c>
      <c r="I160" s="1861">
        <f>IF(กรอกราคาวัสดุ!$C$6=2,'ค่าเสื่อมราคา(แก้ไข26ธค.60)'!H65,'ค่าเสื่อมราคา(แก้ไข26ธค.60)'!G65)</f>
        <v>50.42</v>
      </c>
      <c r="J160" s="1853" t="s">
        <v>918</v>
      </c>
      <c r="K160" s="2044">
        <v>-71</v>
      </c>
      <c r="L160" s="1228"/>
      <c r="N160" s="1211"/>
    </row>
    <row r="161" spans="1:14" ht="20.100000000000001" customHeight="1">
      <c r="B161" s="1208" t="s">
        <v>630</v>
      </c>
      <c r="H161" s="1211" t="s">
        <v>901</v>
      </c>
      <c r="I161" s="1902">
        <f>I151+I155+I156+I158+I159+I160</f>
        <v>750.42657142857138</v>
      </c>
      <c r="J161" s="1853" t="s">
        <v>918</v>
      </c>
      <c r="K161" s="2044"/>
      <c r="L161" s="1228"/>
      <c r="N161" s="1211"/>
    </row>
    <row r="162" spans="1:14" ht="20.100000000000001" customHeight="1">
      <c r="A162" s="2199" t="s">
        <v>107</v>
      </c>
      <c r="B162" s="2199"/>
      <c r="D162" s="1888" t="str">
        <f>"ขนส่งด้วย"&amp;กรอกราคาวัสดุ!L13</f>
        <v>ขนส่งด้วยรถสิบล้อลากพ่วง</v>
      </c>
      <c r="F162" s="1888"/>
      <c r="H162" s="1211"/>
      <c r="I162" s="1861"/>
      <c r="J162" s="1853"/>
      <c r="K162" s="2044"/>
      <c r="L162" s="1228"/>
      <c r="N162" s="1211"/>
    </row>
    <row r="163" spans="1:14" ht="20.100000000000001" customHeight="1">
      <c r="A163" s="2199" t="s">
        <v>517</v>
      </c>
      <c r="B163" s="2199"/>
      <c r="D163" s="1888"/>
      <c r="F163" s="1888"/>
      <c r="H163" s="1211"/>
      <c r="I163" s="1861"/>
      <c r="J163" s="1853"/>
      <c r="K163" s="2043"/>
      <c r="L163" s="1228"/>
      <c r="N163" s="1211"/>
    </row>
    <row r="164" spans="1:14" ht="20.100000000000001" customHeight="1">
      <c r="B164" s="1208" t="s">
        <v>631</v>
      </c>
      <c r="F164" s="1208" t="s">
        <v>86</v>
      </c>
      <c r="H164" s="1211" t="s">
        <v>901</v>
      </c>
      <c r="I164" s="1861">
        <f>D10</f>
        <v>252</v>
      </c>
      <c r="J164" s="1853" t="s">
        <v>918</v>
      </c>
      <c r="K164" s="2043" t="s">
        <v>985</v>
      </c>
      <c r="L164" s="1228"/>
      <c r="N164" s="1211"/>
    </row>
    <row r="165" spans="1:14" ht="20.100000000000001" customHeight="1">
      <c r="B165" s="1208" t="s">
        <v>95</v>
      </c>
      <c r="E165" s="1897">
        <f>F10</f>
        <v>73</v>
      </c>
      <c r="F165" s="1208" t="s">
        <v>784</v>
      </c>
      <c r="H165" s="1211" t="s">
        <v>901</v>
      </c>
      <c r="I165" s="1861">
        <f>I10</f>
        <v>172.94</v>
      </c>
      <c r="J165" s="1853" t="s">
        <v>918</v>
      </c>
      <c r="K165" s="2044">
        <v>-73</v>
      </c>
      <c r="L165" s="1228"/>
      <c r="N165" s="1211"/>
    </row>
    <row r="166" spans="1:14" ht="20.100000000000001" customHeight="1">
      <c r="B166" s="1208" t="s">
        <v>828</v>
      </c>
      <c r="H166" s="1211" t="s">
        <v>901</v>
      </c>
      <c r="I166" s="1861">
        <f>SUM(I164:I165)</f>
        <v>424.94</v>
      </c>
      <c r="J166" s="1853" t="s">
        <v>918</v>
      </c>
      <c r="K166" s="2044">
        <v>-74</v>
      </c>
      <c r="L166" s="1228"/>
      <c r="N166" s="1211"/>
    </row>
    <row r="167" spans="1:14" ht="20.100000000000001" customHeight="1">
      <c r="B167" s="1208" t="s">
        <v>829</v>
      </c>
      <c r="H167" s="1211" t="s">
        <v>901</v>
      </c>
      <c r="I167" s="1861">
        <f>ROUNDDOWN(I166*1.5,2)</f>
        <v>637.41</v>
      </c>
      <c r="J167" s="1853" t="s">
        <v>918</v>
      </c>
      <c r="K167" s="2049">
        <v>-75</v>
      </c>
      <c r="L167" s="1228"/>
      <c r="N167" s="1211"/>
    </row>
    <row r="168" spans="1:14" ht="20.100000000000001" customHeight="1">
      <c r="B168" s="1896" t="s">
        <v>839</v>
      </c>
      <c r="H168" s="1211" t="s">
        <v>901</v>
      </c>
      <c r="I168" s="1861">
        <f>IF(กรอกราคาวัสดุ!$C$6=2,'ค่าเสื่อมราคา(แก้ไข26ธค.60)'!H28,'ค่าเสื่อมราคา(แก้ไข26ธค.60)'!G28)</f>
        <v>25.57</v>
      </c>
      <c r="J168" s="1853" t="s">
        <v>918</v>
      </c>
      <c r="K168" s="2044">
        <v>-76</v>
      </c>
      <c r="L168" s="1228"/>
      <c r="N168" s="1211"/>
    </row>
    <row r="169" spans="1:14" ht="20.100000000000001" customHeight="1">
      <c r="B169" s="1896" t="s">
        <v>840</v>
      </c>
      <c r="H169" s="1211" t="s">
        <v>901</v>
      </c>
      <c r="I169" s="1861">
        <f>IF(กรอกราคาวัสดุ!$C$6=2,'ค่าเสื่อมราคา(แก้ไข26ธค.60)'!H29,'ค่าเสื่อมราคา(แก้ไข26ธค.60)'!G29)</f>
        <v>91.990000000000009</v>
      </c>
      <c r="J169" s="1853" t="s">
        <v>918</v>
      </c>
      <c r="K169" s="2044">
        <v>-73</v>
      </c>
      <c r="L169" s="1228"/>
      <c r="N169" s="1211"/>
    </row>
    <row r="170" spans="1:14" ht="20.100000000000001" customHeight="1">
      <c r="B170" s="1208" t="s">
        <v>830</v>
      </c>
      <c r="D170" s="1896"/>
      <c r="F170" s="1208" t="s">
        <v>86</v>
      </c>
      <c r="H170" s="1211" t="s">
        <v>901</v>
      </c>
      <c r="I170" s="1902">
        <f>IF(E165=0,0,SUM(I167:I169))</f>
        <v>754.97</v>
      </c>
      <c r="J170" s="1853" t="s">
        <v>918</v>
      </c>
      <c r="K170" s="2043" t="s">
        <v>96</v>
      </c>
      <c r="L170" s="1228"/>
      <c r="N170" s="1211"/>
    </row>
    <row r="171" spans="1:14" ht="20.100000000000001" customHeight="1">
      <c r="A171" s="2199" t="s">
        <v>520</v>
      </c>
      <c r="B171" s="2199"/>
      <c r="D171" s="1853" t="s">
        <v>925</v>
      </c>
      <c r="E171" s="1906">
        <v>0.2</v>
      </c>
      <c r="F171" s="1208" t="s">
        <v>889</v>
      </c>
      <c r="H171" s="1211" t="s">
        <v>901</v>
      </c>
      <c r="I171" s="1907">
        <f>'ปร.4 road'!F25/E171</f>
        <v>0</v>
      </c>
      <c r="J171" s="1853"/>
      <c r="K171" s="2043"/>
      <c r="L171" s="1228"/>
      <c r="N171" s="1211"/>
    </row>
    <row r="172" spans="1:14" ht="20.100000000000001" customHeight="1">
      <c r="B172" s="1208" t="s">
        <v>621</v>
      </c>
      <c r="F172" s="1208" t="s">
        <v>86</v>
      </c>
      <c r="H172" s="1211" t="s">
        <v>901</v>
      </c>
      <c r="I172" s="1861">
        <f>D9</f>
        <v>60</v>
      </c>
      <c r="J172" s="1853" t="s">
        <v>918</v>
      </c>
      <c r="K172" s="2043" t="s">
        <v>831</v>
      </c>
      <c r="L172" s="1228"/>
      <c r="N172" s="1211"/>
    </row>
    <row r="173" spans="1:14" ht="20.100000000000001" customHeight="1">
      <c r="B173" s="1208" t="s">
        <v>17</v>
      </c>
      <c r="F173" s="1208" t="s">
        <v>86</v>
      </c>
      <c r="H173" s="1211" t="s">
        <v>901</v>
      </c>
      <c r="I173" s="1861">
        <f>IF(กรอกราคาวัสดุ!$C$6=2,'ค่าเสื่อมราคา(แก้ไข26ธค.60)'!H21,'ค่าเสื่อมราคา(แก้ไข26ธค.60)'!G21)</f>
        <v>33.9</v>
      </c>
      <c r="J173" s="1853" t="s">
        <v>918</v>
      </c>
      <c r="K173" s="2044">
        <v>-75</v>
      </c>
      <c r="L173" s="1228"/>
      <c r="N173" s="1211"/>
    </row>
    <row r="174" spans="1:14" ht="20.100000000000001" customHeight="1">
      <c r="B174" s="1208" t="s">
        <v>95</v>
      </c>
      <c r="E174" s="1897">
        <f>F9</f>
        <v>24</v>
      </c>
      <c r="F174" s="1208" t="s">
        <v>784</v>
      </c>
      <c r="H174" s="1211" t="s">
        <v>901</v>
      </c>
      <c r="I174" s="1861">
        <f>I9</f>
        <v>91.67</v>
      </c>
      <c r="J174" s="1853" t="s">
        <v>918</v>
      </c>
      <c r="K174" s="2044">
        <v>-76</v>
      </c>
      <c r="L174" s="1228"/>
      <c r="N174" s="1211"/>
    </row>
    <row r="175" spans="1:14" ht="20.100000000000001" customHeight="1">
      <c r="B175" s="1208" t="s">
        <v>833</v>
      </c>
      <c r="H175" s="1211" t="s">
        <v>901</v>
      </c>
      <c r="I175" s="1861">
        <f>SUM(I172:I174)</f>
        <v>185.57</v>
      </c>
      <c r="J175" s="1853" t="s">
        <v>918</v>
      </c>
      <c r="K175" s="2044">
        <v>-77</v>
      </c>
      <c r="L175" s="1228"/>
      <c r="N175" s="1211"/>
    </row>
    <row r="176" spans="1:14" ht="20.100000000000001" customHeight="1">
      <c r="B176" s="1208" t="s">
        <v>832</v>
      </c>
      <c r="H176" s="1211" t="s">
        <v>901</v>
      </c>
      <c r="I176" s="1861">
        <f>ROUND(+I175*1.6,2)</f>
        <v>296.91000000000003</v>
      </c>
      <c r="J176" s="1853" t="s">
        <v>918</v>
      </c>
      <c r="K176" s="2044">
        <v>-78</v>
      </c>
      <c r="L176" s="1228"/>
      <c r="N176" s="1211"/>
    </row>
    <row r="177" spans="1:14" ht="20.100000000000001" customHeight="1">
      <c r="B177" s="1208" t="s">
        <v>629</v>
      </c>
      <c r="H177" s="1211" t="s">
        <v>901</v>
      </c>
      <c r="I177" s="1903">
        <v>2000</v>
      </c>
      <c r="J177" s="1853" t="s">
        <v>628</v>
      </c>
      <c r="K177" s="2047">
        <v>-79</v>
      </c>
      <c r="L177" s="1228"/>
      <c r="N177" s="1211"/>
    </row>
    <row r="178" spans="1:14" ht="20.100000000000001" customHeight="1">
      <c r="B178" s="1208" t="s">
        <v>571</v>
      </c>
      <c r="E178" s="1903">
        <v>5</v>
      </c>
      <c r="F178" s="1208" t="s">
        <v>620</v>
      </c>
      <c r="H178" s="1211" t="s">
        <v>901</v>
      </c>
      <c r="I178" s="1861">
        <f>I177*E178/100</f>
        <v>100</v>
      </c>
      <c r="J178" s="1853" t="s">
        <v>628</v>
      </c>
      <c r="K178" s="2044">
        <v>-80</v>
      </c>
      <c r="L178" s="1228"/>
      <c r="N178" s="1211"/>
    </row>
    <row r="179" spans="1:14" ht="20.100000000000001" customHeight="1">
      <c r="B179" s="1208" t="s">
        <v>449</v>
      </c>
      <c r="H179" s="1211" t="s">
        <v>901</v>
      </c>
      <c r="I179" s="1861">
        <f>I178*I321/1000</f>
        <v>277.12799999999999</v>
      </c>
      <c r="J179" s="1853" t="s">
        <v>898</v>
      </c>
      <c r="K179" s="2044">
        <v>-81</v>
      </c>
      <c r="L179" s="1228"/>
      <c r="N179" s="1211"/>
    </row>
    <row r="180" spans="1:14" ht="20.100000000000001" customHeight="1">
      <c r="B180" s="1367" t="s">
        <v>344</v>
      </c>
      <c r="D180" s="1853" t="s">
        <v>416</v>
      </c>
      <c r="E180" s="1908">
        <v>7000</v>
      </c>
      <c r="H180" s="1211" t="s">
        <v>901</v>
      </c>
      <c r="I180" s="1904">
        <f>150000/E180</f>
        <v>21.428571428571427</v>
      </c>
      <c r="J180" s="1853" t="s">
        <v>898</v>
      </c>
      <c r="K180" s="2044">
        <v>-82</v>
      </c>
      <c r="L180" s="1228"/>
      <c r="N180" s="1211"/>
    </row>
    <row r="181" spans="1:14" ht="20.100000000000001" customHeight="1">
      <c r="B181" s="1208" t="s">
        <v>38</v>
      </c>
      <c r="H181" s="1211" t="s">
        <v>901</v>
      </c>
      <c r="I181" s="1861">
        <f>IF(กรอกราคาวัสดุ!$C$6=2,'ค่าเสื่อมราคา(แก้ไข26ธค.60)'!H64,'ค่าเสื่อมราคา(แก้ไข26ธค.60)'!G64)</f>
        <v>46.17</v>
      </c>
      <c r="J181" s="1853" t="s">
        <v>918</v>
      </c>
      <c r="K181" s="2044">
        <v>-83</v>
      </c>
      <c r="L181" s="1228"/>
      <c r="N181" s="1211"/>
    </row>
    <row r="182" spans="1:14" ht="20.100000000000001" customHeight="1">
      <c r="B182" s="1208" t="s">
        <v>39</v>
      </c>
      <c r="H182" s="1211" t="s">
        <v>901</v>
      </c>
      <c r="I182" s="1861">
        <f>IF(กรอกราคาวัสดุ!$C$6=2,'ค่าเสื่อมราคา(แก้ไข26ธค.60)'!H23,'ค่าเสื่อมราคา(แก้ไข26ธค.60)'!G23)</f>
        <v>58.37</v>
      </c>
      <c r="J182" s="1853" t="s">
        <v>918</v>
      </c>
      <c r="K182" s="2044">
        <v>-84</v>
      </c>
      <c r="L182" s="1228"/>
      <c r="N182" s="1211"/>
    </row>
    <row r="183" spans="1:14" ht="20.100000000000001" customHeight="1">
      <c r="B183" s="1208" t="s">
        <v>838</v>
      </c>
      <c r="H183" s="1211" t="s">
        <v>901</v>
      </c>
      <c r="I183" s="1861">
        <f>IF(กรอกราคาวัสดุ!$C$6=2,'ค่าเสื่อมราคา(แก้ไข26ธค.60)'!H65,'ค่าเสื่อมราคา(แก้ไข26ธค.60)'!G65)</f>
        <v>50.42</v>
      </c>
      <c r="J183" s="1853" t="s">
        <v>918</v>
      </c>
      <c r="K183" s="2044">
        <v>-85</v>
      </c>
      <c r="L183" s="1228"/>
      <c r="N183" s="1211"/>
    </row>
    <row r="184" spans="1:14" ht="20.100000000000001" customHeight="1">
      <c r="B184" s="1208" t="s">
        <v>834</v>
      </c>
      <c r="H184" s="1211" t="s">
        <v>901</v>
      </c>
      <c r="I184" s="1909">
        <f>ROUND((I176+I179+I180+I181+I182+I183),2)</f>
        <v>750.43</v>
      </c>
      <c r="J184" s="1853" t="s">
        <v>918</v>
      </c>
      <c r="K184" s="2043"/>
      <c r="L184" s="1228"/>
      <c r="N184" s="1211"/>
    </row>
    <row r="185" spans="1:14" ht="20.100000000000001" customHeight="1">
      <c r="A185" s="1910"/>
      <c r="C185" s="1888"/>
      <c r="F185" s="1888"/>
      <c r="H185" s="1211"/>
      <c r="I185" s="1861"/>
      <c r="J185" s="1853"/>
      <c r="K185" s="2043"/>
      <c r="L185" s="1228"/>
      <c r="N185" s="1211"/>
    </row>
    <row r="186" spans="1:14" ht="20.100000000000001" customHeight="1">
      <c r="B186" s="1911" t="s">
        <v>48</v>
      </c>
      <c r="C186" s="1912"/>
      <c r="H186" s="1211"/>
      <c r="I186" s="1861"/>
      <c r="J186" s="1853"/>
      <c r="K186" s="2043"/>
      <c r="L186" s="1228"/>
      <c r="N186" s="1211"/>
    </row>
    <row r="187" spans="1:14" ht="20.100000000000001" customHeight="1">
      <c r="B187" s="1208" t="s">
        <v>49</v>
      </c>
      <c r="H187" s="1211" t="s">
        <v>901</v>
      </c>
      <c r="I187" s="1913">
        <v>1.0129999999999999</v>
      </c>
      <c r="J187" s="1853"/>
      <c r="K187" s="2043" t="s">
        <v>336</v>
      </c>
      <c r="L187" s="1228"/>
      <c r="N187" s="1211"/>
    </row>
    <row r="188" spans="1:14" ht="20.100000000000001" customHeight="1">
      <c r="B188" s="1208" t="s">
        <v>1920</v>
      </c>
      <c r="F188" s="1208" t="s">
        <v>109</v>
      </c>
      <c r="H188" s="1211" t="s">
        <v>901</v>
      </c>
      <c r="I188" s="1861">
        <f>D21+I21</f>
        <v>28062.18</v>
      </c>
      <c r="J188" s="1853" t="s">
        <v>918</v>
      </c>
      <c r="K188" s="2043" t="s">
        <v>110</v>
      </c>
      <c r="L188" s="1228"/>
      <c r="N188" s="1211"/>
    </row>
    <row r="189" spans="1:14" ht="20.100000000000001" customHeight="1">
      <c r="B189" s="1208" t="s">
        <v>1921</v>
      </c>
      <c r="F189" s="1208" t="s">
        <v>109</v>
      </c>
      <c r="H189" s="1211" t="s">
        <v>901</v>
      </c>
      <c r="I189" s="1861">
        <f>D17+I17</f>
        <v>27635.510000000002</v>
      </c>
      <c r="J189" s="1853" t="s">
        <v>918</v>
      </c>
      <c r="K189" s="2043" t="s">
        <v>50</v>
      </c>
      <c r="L189" s="1228"/>
      <c r="N189" s="1211"/>
    </row>
    <row r="190" spans="1:14" ht="20.100000000000001" customHeight="1">
      <c r="B190" s="1208" t="s">
        <v>1922</v>
      </c>
      <c r="F190" s="1208" t="s">
        <v>109</v>
      </c>
      <c r="H190" s="1211" t="s">
        <v>901</v>
      </c>
      <c r="I190" s="1861">
        <f>D18+I18</f>
        <v>31017.18</v>
      </c>
      <c r="J190" s="1853" t="s">
        <v>918</v>
      </c>
      <c r="K190" s="2043" t="s">
        <v>1579</v>
      </c>
      <c r="L190" s="1228"/>
      <c r="N190" s="1211"/>
    </row>
    <row r="191" spans="1:14" ht="20.100000000000001" customHeight="1">
      <c r="B191" s="1208" t="s">
        <v>1923</v>
      </c>
      <c r="F191" s="1208" t="s">
        <v>109</v>
      </c>
      <c r="H191" s="1211" t="s">
        <v>901</v>
      </c>
      <c r="I191" s="1861">
        <f>D19+I19</f>
        <v>41052.18</v>
      </c>
      <c r="J191" s="1853" t="s">
        <v>918</v>
      </c>
      <c r="K191" s="2043" t="s">
        <v>1580</v>
      </c>
      <c r="L191" s="1228"/>
      <c r="N191" s="1211"/>
    </row>
    <row r="192" spans="1:14" ht="20.100000000000001" customHeight="1">
      <c r="B192" s="1208" t="s">
        <v>1924</v>
      </c>
      <c r="F192" s="1208" t="s">
        <v>109</v>
      </c>
      <c r="H192" s="1211" t="s">
        <v>901</v>
      </c>
      <c r="I192" s="1861">
        <f>D23+I23+35</f>
        <v>31590.510000000002</v>
      </c>
      <c r="J192" s="1853" t="s">
        <v>918</v>
      </c>
      <c r="K192" s="2043" t="s">
        <v>1581</v>
      </c>
      <c r="L192" s="1228"/>
      <c r="N192" s="1211"/>
    </row>
    <row r="193" spans="1:17" ht="20.100000000000001" customHeight="1">
      <c r="B193" s="1208" t="s">
        <v>1925</v>
      </c>
      <c r="F193" s="1208" t="s">
        <v>109</v>
      </c>
      <c r="H193" s="1211" t="s">
        <v>901</v>
      </c>
      <c r="I193" s="1861">
        <f>D25+I25+35</f>
        <v>30562.18</v>
      </c>
      <c r="J193" s="1853" t="s">
        <v>918</v>
      </c>
      <c r="K193" s="2043" t="s">
        <v>1582</v>
      </c>
      <c r="L193" s="1228"/>
      <c r="N193" s="1211"/>
    </row>
    <row r="194" spans="1:17" ht="20.100000000000001" customHeight="1">
      <c r="B194" s="1208" t="s">
        <v>1926</v>
      </c>
      <c r="F194" s="1208" t="s">
        <v>109</v>
      </c>
      <c r="H194" s="1211" t="s">
        <v>901</v>
      </c>
      <c r="I194" s="1861">
        <f>D22+I22</f>
        <v>43022.18</v>
      </c>
      <c r="J194" s="1853" t="s">
        <v>918</v>
      </c>
      <c r="K194" s="2043" t="s">
        <v>1588</v>
      </c>
      <c r="L194" s="1228"/>
      <c r="N194" s="1211"/>
    </row>
    <row r="195" spans="1:17" ht="20.100000000000001" customHeight="1">
      <c r="B195" s="1208" t="s">
        <v>1927</v>
      </c>
      <c r="F195" s="1208" t="s">
        <v>109</v>
      </c>
      <c r="H195" s="1211" t="s">
        <v>901</v>
      </c>
      <c r="I195" s="1861">
        <f>D22+I22+25</f>
        <v>43047.18</v>
      </c>
      <c r="J195" s="1853" t="s">
        <v>918</v>
      </c>
      <c r="K195" s="2043" t="s">
        <v>1593</v>
      </c>
      <c r="L195" s="1228"/>
      <c r="N195" s="1211"/>
    </row>
    <row r="196" spans="1:17" ht="20.100000000000001" customHeight="1">
      <c r="B196" s="1208" t="s">
        <v>52</v>
      </c>
      <c r="F196" s="1208" t="s">
        <v>111</v>
      </c>
      <c r="H196" s="1211" t="s">
        <v>901</v>
      </c>
      <c r="I196" s="1861">
        <f>D13+I13</f>
        <v>596.94000000000005</v>
      </c>
      <c r="J196" s="1853" t="s">
        <v>918</v>
      </c>
      <c r="K196" s="2043" t="s">
        <v>112</v>
      </c>
      <c r="L196" s="1228"/>
      <c r="N196" s="1211"/>
    </row>
    <row r="197" spans="1:17" ht="20.100000000000001" customHeight="1">
      <c r="B197" s="1208" t="s">
        <v>51</v>
      </c>
      <c r="F197" s="1208" t="s">
        <v>111</v>
      </c>
      <c r="H197" s="1211" t="s">
        <v>901</v>
      </c>
      <c r="I197" s="1861">
        <f>D11+I11</f>
        <v>498.94</v>
      </c>
      <c r="J197" s="1853" t="s">
        <v>918</v>
      </c>
      <c r="K197" s="2043" t="s">
        <v>54</v>
      </c>
      <c r="L197" s="1208"/>
      <c r="M197" s="1242" t="s">
        <v>56</v>
      </c>
      <c r="N197" s="1242"/>
      <c r="O197" s="1242"/>
      <c r="P197" s="1211"/>
    </row>
    <row r="198" spans="1:17" ht="20.100000000000001" customHeight="1">
      <c r="B198" s="1208" t="s">
        <v>53</v>
      </c>
      <c r="F198" s="1208" t="s">
        <v>111</v>
      </c>
      <c r="H198" s="1211" t="s">
        <v>901</v>
      </c>
      <c r="I198" s="1861">
        <f>D14+I14</f>
        <v>445.94</v>
      </c>
      <c r="J198" s="1853" t="s">
        <v>918</v>
      </c>
      <c r="K198" s="2043" t="s">
        <v>55</v>
      </c>
      <c r="L198" s="1208"/>
      <c r="M198" s="1242" t="s">
        <v>57</v>
      </c>
      <c r="N198" s="1914" t="s">
        <v>788</v>
      </c>
      <c r="O198" s="1914" t="s">
        <v>789</v>
      </c>
      <c r="P198" s="1914"/>
      <c r="Q198" s="1242"/>
    </row>
    <row r="199" spans="1:17" ht="20.100000000000001" customHeight="1">
      <c r="B199" s="1208" t="s">
        <v>455</v>
      </c>
      <c r="F199" s="1208" t="s">
        <v>111</v>
      </c>
      <c r="H199" s="1211" t="s">
        <v>901</v>
      </c>
      <c r="I199" s="1861">
        <f>D16+I16</f>
        <v>526.29</v>
      </c>
      <c r="J199" s="1853" t="s">
        <v>918</v>
      </c>
      <c r="K199" s="2043" t="s">
        <v>456</v>
      </c>
      <c r="L199" s="1208"/>
      <c r="M199" s="1208"/>
      <c r="N199" s="1915">
        <v>57.5</v>
      </c>
      <c r="O199" s="1915">
        <v>60.61</v>
      </c>
      <c r="P199" s="1916">
        <f>IF(กรอกราคาวัสดุ!$C$6=1,N199,O199)</f>
        <v>57.5</v>
      </c>
      <c r="Q199" s="1242"/>
    </row>
    <row r="200" spans="1:17" ht="20.100000000000001" customHeight="1">
      <c r="B200" s="1208" t="s">
        <v>58</v>
      </c>
      <c r="F200" s="1208" t="s">
        <v>111</v>
      </c>
      <c r="H200" s="1211" t="s">
        <v>901</v>
      </c>
      <c r="I200" s="1853">
        <f>D</f>
        <v>11.65</v>
      </c>
      <c r="J200" s="1208" t="s">
        <v>906</v>
      </c>
      <c r="K200" s="2043" t="s">
        <v>59</v>
      </c>
      <c r="L200" s="1242"/>
      <c r="M200" s="1208"/>
    </row>
    <row r="201" spans="1:17" ht="20.100000000000001" customHeight="1">
      <c r="A201" s="1207" t="s">
        <v>632</v>
      </c>
      <c r="B201" s="1207"/>
      <c r="C201" s="1207"/>
      <c r="D201" s="1207"/>
      <c r="E201" s="1207"/>
      <c r="F201" s="1207"/>
      <c r="G201" s="1207"/>
      <c r="H201" s="1207"/>
      <c r="I201" s="1207"/>
      <c r="J201" s="1207"/>
      <c r="K201" s="2050"/>
      <c r="L201" s="1208"/>
      <c r="M201" s="1228"/>
      <c r="N201" s="1211"/>
      <c r="O201" s="1211"/>
    </row>
    <row r="202" spans="1:17" ht="20.100000000000001" customHeight="1">
      <c r="A202" s="1207" t="s">
        <v>451</v>
      </c>
      <c r="B202" s="1207"/>
      <c r="C202" s="1207"/>
      <c r="D202" s="1207"/>
      <c r="E202" s="1207"/>
      <c r="F202" s="1207"/>
      <c r="G202" s="1207"/>
      <c r="H202" s="1207"/>
      <c r="I202" s="1207"/>
      <c r="J202" s="1207"/>
      <c r="K202" s="2050"/>
      <c r="L202" s="1208"/>
      <c r="M202" s="1228"/>
      <c r="N202" s="1211"/>
      <c r="O202" s="1211"/>
    </row>
    <row r="203" spans="1:17" ht="20.100000000000001" customHeight="1">
      <c r="B203" s="1208" t="s">
        <v>1458</v>
      </c>
      <c r="H203" s="1211" t="s">
        <v>901</v>
      </c>
      <c r="I203" s="1861">
        <f>1*I189/1000</f>
        <v>27.635510000000004</v>
      </c>
      <c r="J203" s="1853" t="s">
        <v>113</v>
      </c>
      <c r="K203" s="2044">
        <v>-86</v>
      </c>
      <c r="L203" s="1208"/>
      <c r="M203" s="1228"/>
      <c r="N203" s="1211"/>
      <c r="O203" s="1211"/>
    </row>
    <row r="204" spans="1:17" ht="20.100000000000001" customHeight="1">
      <c r="B204" s="1208" t="s">
        <v>841</v>
      </c>
      <c r="H204" s="1211" t="s">
        <v>901</v>
      </c>
      <c r="I204" s="1861">
        <f>IF(กรอกราคาวัสดุ!$C$6=2,'ค่าเสื่อมราคา(แก้ไข26ธค.60)'!H35,'ค่าเสื่อมราคา(แก้ไข26ธค.60)'!G35)</f>
        <v>8.0499999999999989</v>
      </c>
      <c r="J204" s="1853" t="s">
        <v>113</v>
      </c>
      <c r="K204" s="2044">
        <v>-87</v>
      </c>
      <c r="L204" s="1208"/>
      <c r="M204" s="1228"/>
      <c r="N204" s="1211"/>
      <c r="O204" s="1211"/>
    </row>
    <row r="205" spans="1:17" ht="20.100000000000001" customHeight="1">
      <c r="B205" s="1208" t="s">
        <v>835</v>
      </c>
      <c r="D205" s="1896"/>
      <c r="H205" s="1211" t="s">
        <v>901</v>
      </c>
      <c r="I205" s="1902">
        <f>ROUND(SUM(I203:I204),2)</f>
        <v>35.69</v>
      </c>
      <c r="J205" s="1853" t="s">
        <v>113</v>
      </c>
      <c r="K205" s="2044"/>
      <c r="L205" s="1208"/>
      <c r="M205" s="1228"/>
      <c r="N205" s="1211"/>
      <c r="O205" s="1211"/>
    </row>
    <row r="206" spans="1:17" ht="20.100000000000001" customHeight="1">
      <c r="A206" s="1207" t="s">
        <v>452</v>
      </c>
      <c r="B206" s="1207"/>
      <c r="C206" s="1207"/>
      <c r="D206" s="1207"/>
      <c r="E206" s="1207"/>
      <c r="F206" s="1207"/>
      <c r="G206" s="1207"/>
      <c r="H206" s="1207"/>
      <c r="I206" s="1207"/>
      <c r="J206" s="1207"/>
      <c r="K206" s="2050"/>
      <c r="L206" s="1208"/>
      <c r="M206" s="1228"/>
      <c r="N206" s="1211"/>
      <c r="O206" s="1211"/>
    </row>
    <row r="207" spans="1:17" ht="20.100000000000001" customHeight="1">
      <c r="B207" s="1208" t="s">
        <v>453</v>
      </c>
      <c r="H207" s="1211" t="s">
        <v>901</v>
      </c>
      <c r="I207" s="1861">
        <f>0.8*I189/1000</f>
        <v>22.108408000000004</v>
      </c>
      <c r="J207" s="1853" t="s">
        <v>113</v>
      </c>
      <c r="K207" s="2044">
        <v>-88</v>
      </c>
      <c r="L207" s="1208"/>
      <c r="M207" s="1228"/>
      <c r="N207" s="1211"/>
      <c r="O207" s="1211"/>
    </row>
    <row r="208" spans="1:17" ht="20.100000000000001" customHeight="1">
      <c r="B208" s="1208" t="s">
        <v>841</v>
      </c>
      <c r="H208" s="1211" t="s">
        <v>901</v>
      </c>
      <c r="I208" s="1861">
        <f>IF(กรอกราคาวัสดุ!$C$6=2,'ค่าเสื่อมราคา(แก้ไข26ธค.60)'!H35,'ค่าเสื่อมราคา(แก้ไข26ธค.60)'!G35)</f>
        <v>8.0499999999999989</v>
      </c>
      <c r="J208" s="1853" t="s">
        <v>113</v>
      </c>
      <c r="K208" s="2044">
        <v>-89</v>
      </c>
      <c r="L208" s="1208"/>
      <c r="M208" s="1228"/>
      <c r="N208" s="1211"/>
      <c r="O208" s="1211"/>
    </row>
    <row r="209" spans="1:15" ht="20.100000000000001" customHeight="1">
      <c r="B209" s="1208" t="s">
        <v>836</v>
      </c>
      <c r="D209" s="1896"/>
      <c r="H209" s="1211" t="s">
        <v>901</v>
      </c>
      <c r="I209" s="1902">
        <f>ROUND(SUM(I207:I208),2)</f>
        <v>30.16</v>
      </c>
      <c r="J209" s="1853" t="s">
        <v>113</v>
      </c>
      <c r="K209" s="2044"/>
      <c r="L209" s="1208"/>
      <c r="M209" s="1228"/>
      <c r="N209" s="1211"/>
      <c r="O209" s="1211"/>
    </row>
    <row r="210" spans="1:15" ht="20.100000000000001" customHeight="1">
      <c r="A210" s="1207" t="s">
        <v>450</v>
      </c>
      <c r="B210" s="1207"/>
      <c r="C210" s="1207"/>
      <c r="D210" s="1207"/>
      <c r="E210" s="1207"/>
      <c r="F210" s="1207"/>
      <c r="G210" s="1207"/>
      <c r="H210" s="1207"/>
      <c r="I210" s="1207"/>
      <c r="J210" s="1207"/>
      <c r="K210" s="2050"/>
      <c r="L210" s="1208"/>
      <c r="M210" s="1228"/>
      <c r="N210" s="1211"/>
      <c r="O210" s="1211"/>
    </row>
    <row r="211" spans="1:15" ht="20.100000000000001" customHeight="1">
      <c r="B211" s="1208" t="s">
        <v>633</v>
      </c>
      <c r="H211" s="1211" t="s">
        <v>901</v>
      </c>
      <c r="I211" s="1861">
        <f>0.3*I188/1000</f>
        <v>8.4186540000000001</v>
      </c>
      <c r="J211" s="1853" t="s">
        <v>113</v>
      </c>
      <c r="K211" s="2044">
        <v>-90</v>
      </c>
      <c r="L211" s="1208"/>
      <c r="M211" s="1228"/>
      <c r="N211" s="1211"/>
      <c r="O211" s="1211"/>
    </row>
    <row r="212" spans="1:15" ht="20.100000000000001" customHeight="1">
      <c r="B212" s="1208" t="s">
        <v>841</v>
      </c>
      <c r="H212" s="1211" t="s">
        <v>901</v>
      </c>
      <c r="I212" s="1861">
        <f>IF(กรอกราคาวัสดุ!$C$6=2,'ค่าเสื่อมราคา(แก้ไข26ธค.60)'!H36,'ค่าเสื่อมราคา(แก้ไข26ธค.60)'!G36)</f>
        <v>7.77</v>
      </c>
      <c r="J212" s="1853" t="s">
        <v>113</v>
      </c>
      <c r="K212" s="2044">
        <v>-91</v>
      </c>
      <c r="L212" s="1208"/>
      <c r="M212" s="1228"/>
      <c r="N212" s="1211"/>
      <c r="O212" s="1211"/>
    </row>
    <row r="213" spans="1:15" ht="20.100000000000001" customHeight="1">
      <c r="B213" s="1208" t="s">
        <v>837</v>
      </c>
      <c r="D213" s="1896"/>
      <c r="H213" s="1211" t="s">
        <v>901</v>
      </c>
      <c r="I213" s="1902">
        <f>ROUND(SUM(I211:I212),2)</f>
        <v>16.190000000000001</v>
      </c>
      <c r="J213" s="1853" t="s">
        <v>113</v>
      </c>
      <c r="K213" s="2044"/>
      <c r="L213" s="1208"/>
      <c r="M213" s="1228"/>
      <c r="N213" s="1211"/>
      <c r="O213" s="1211"/>
    </row>
    <row r="214" spans="1:15" ht="20.100000000000001" customHeight="1">
      <c r="A214" s="1207" t="s">
        <v>114</v>
      </c>
      <c r="B214" s="1207"/>
      <c r="C214" s="1207"/>
      <c r="D214" s="1207"/>
      <c r="E214" s="1207"/>
      <c r="F214" s="1207"/>
      <c r="G214" s="1207"/>
      <c r="H214" s="1207"/>
      <c r="I214" s="1207"/>
      <c r="J214" s="1207"/>
      <c r="K214" s="2050"/>
      <c r="L214" s="1208"/>
      <c r="M214" s="1228"/>
      <c r="N214" s="1211"/>
      <c r="O214" s="1211"/>
    </row>
    <row r="215" spans="1:15" ht="20.100000000000001" customHeight="1">
      <c r="A215" s="1207" t="s">
        <v>115</v>
      </c>
      <c r="B215" s="1207"/>
      <c r="C215" s="1207"/>
      <c r="D215" s="1207"/>
      <c r="E215" s="1207"/>
      <c r="F215" s="1207"/>
      <c r="G215" s="1207"/>
      <c r="H215" s="1207"/>
      <c r="I215" s="1207"/>
      <c r="J215" s="1207"/>
      <c r="K215" s="2050"/>
      <c r="L215" s="1208"/>
      <c r="M215" s="1228"/>
      <c r="N215" s="1211"/>
      <c r="O215" s="1211"/>
    </row>
    <row r="216" spans="1:15" ht="20.100000000000001" customHeight="1">
      <c r="A216" s="1209"/>
      <c r="H216" s="1211"/>
      <c r="I216" s="1861"/>
      <c r="J216" s="1853"/>
      <c r="K216" s="2044"/>
      <c r="L216" s="1208"/>
      <c r="M216" s="1228"/>
      <c r="N216" s="1211"/>
      <c r="O216" s="1211"/>
    </row>
    <row r="217" spans="1:15" ht="20.100000000000001" customHeight="1">
      <c r="A217" s="1209"/>
      <c r="B217" s="1619" t="s">
        <v>487</v>
      </c>
      <c r="C217" s="1619" t="s">
        <v>102</v>
      </c>
      <c r="D217" s="1619" t="s">
        <v>103</v>
      </c>
      <c r="E217" s="1619" t="s">
        <v>104</v>
      </c>
      <c r="H217" s="1211"/>
      <c r="I217" s="1861"/>
      <c r="J217" s="1853"/>
      <c r="K217" s="2044"/>
      <c r="L217" s="1208"/>
      <c r="M217" s="1228"/>
      <c r="N217" s="1211"/>
      <c r="O217" s="1211"/>
    </row>
    <row r="218" spans="1:15" ht="20.100000000000001" customHeight="1">
      <c r="A218" s="1209"/>
      <c r="B218" s="1619" t="s">
        <v>788</v>
      </c>
      <c r="C218" s="1917">
        <f>TRUNC(IF(กรอกราคาวัสดุ!$C$6=1,'ค่าเสื่อมราคา(แก้ไข26ธค.60)'!G38,0),2)</f>
        <v>18.190000000000001</v>
      </c>
      <c r="D218" s="1917">
        <f>TRUNC(IF(กรอกราคาวัสดุ!$C$6=1,'ค่าเสื่อมราคา(แก้ไข26ธค.60)'!G73,0),2)</f>
        <v>3.01</v>
      </c>
      <c r="E218" s="1917">
        <f>TRUNC(IF(กรอกราคาวัสดุ!$C$6=1,'ค่าเสื่อมราคา(แก้ไข26ธค.60)'!G72,0),2)</f>
        <v>13.38</v>
      </c>
      <c r="H218" s="1211"/>
      <c r="I218" s="1861"/>
      <c r="J218" s="1853"/>
      <c r="K218" s="2044"/>
      <c r="L218" s="1208"/>
      <c r="M218" s="1228"/>
      <c r="N218" s="1211"/>
      <c r="O218" s="1211"/>
    </row>
    <row r="219" spans="1:15" ht="20.100000000000001" customHeight="1">
      <c r="A219" s="1209"/>
      <c r="B219" s="1619" t="s">
        <v>117</v>
      </c>
      <c r="C219" s="1918">
        <f>TRUNC(IF(กรอกราคาวัสดุ!$C$6=2,'ค่าเสื่อมราคา(แก้ไข26ธค.60)'!H38,0),2)</f>
        <v>0</v>
      </c>
      <c r="D219" s="1918">
        <f>TRUNC(IF(กรอกราคาวัสดุ!$C$6=2,'ค่าเสื่อมราคา(แก้ไข26ธค.60)'!H73,0),2)</f>
        <v>0</v>
      </c>
      <c r="E219" s="1918">
        <f>TRUNC(IF(กรอกราคาวัสดุ!$C$6=2,'ค่าเสื่อมราคา(แก้ไข26ธค.60)'!H72,0),2)</f>
        <v>0</v>
      </c>
      <c r="H219" s="1211"/>
      <c r="I219" s="1861"/>
      <c r="J219" s="1853"/>
      <c r="K219" s="2044"/>
      <c r="L219" s="1208"/>
      <c r="M219" s="1228"/>
      <c r="N219" s="1211"/>
      <c r="O219" s="1211"/>
    </row>
    <row r="220" spans="1:15" ht="20.100000000000001" customHeight="1">
      <c r="B220" s="1208" t="s">
        <v>118</v>
      </c>
      <c r="H220" s="1211" t="s">
        <v>901</v>
      </c>
      <c r="I220" s="1913">
        <f>F6</f>
        <v>1</v>
      </c>
      <c r="J220" s="1853" t="s">
        <v>784</v>
      </c>
      <c r="K220" s="2044" t="s">
        <v>119</v>
      </c>
      <c r="L220" s="1208"/>
      <c r="M220" s="1228"/>
      <c r="N220" s="1211"/>
      <c r="O220" s="1211"/>
    </row>
    <row r="221" spans="1:15" ht="20.100000000000001" customHeight="1">
      <c r="B221" s="1208" t="s">
        <v>120</v>
      </c>
      <c r="H221" s="1211" t="s">
        <v>901</v>
      </c>
      <c r="I221" s="1913">
        <f>ROUNDDOWN(IF(I220&lt;4,1,l/4),0)</f>
        <v>1</v>
      </c>
      <c r="J221" s="1853" t="s">
        <v>784</v>
      </c>
      <c r="K221" s="2044"/>
      <c r="L221" s="1208"/>
      <c r="M221" s="1228"/>
      <c r="N221" s="1211"/>
      <c r="O221" s="1211"/>
    </row>
    <row r="222" spans="1:15" ht="20.100000000000001" customHeight="1">
      <c r="B222" s="1208" t="s">
        <v>121</v>
      </c>
      <c r="F222" s="1263"/>
      <c r="H222" s="1211" t="s">
        <v>901</v>
      </c>
      <c r="I222" s="1919">
        <f>VLOOKUP($I$221,'Oil(แก้ไข26 ธค.60)'!$B$5:$D$1006,3)</f>
        <v>11.65</v>
      </c>
      <c r="J222" s="1853" t="s">
        <v>898</v>
      </c>
      <c r="K222" s="2051">
        <v>-92</v>
      </c>
      <c r="L222" s="1649"/>
      <c r="M222" s="1920"/>
      <c r="N222" s="1649"/>
      <c r="O222" s="1649"/>
    </row>
    <row r="223" spans="1:15" ht="20.100000000000001" customHeight="1">
      <c r="B223" s="1208" t="s">
        <v>122</v>
      </c>
      <c r="H223" s="1211" t="s">
        <v>901</v>
      </c>
      <c r="I223" s="1919">
        <f>VLOOKUP($I$221,'Oil(แก้ไข26 ธค.60)'!$B$5:$D$1006,3)</f>
        <v>11.65</v>
      </c>
      <c r="J223" s="1853" t="s">
        <v>898</v>
      </c>
      <c r="K223" s="2044">
        <v>-93</v>
      </c>
      <c r="L223" s="1208"/>
      <c r="M223" s="1228"/>
      <c r="N223" s="1211"/>
      <c r="O223" s="1211"/>
    </row>
    <row r="224" spans="1:15" ht="20.100000000000001" customHeight="1">
      <c r="B224" s="1208" t="s">
        <v>457</v>
      </c>
      <c r="H224" s="1211"/>
      <c r="I224" s="1861"/>
      <c r="J224" s="1853"/>
      <c r="K224" s="2044"/>
      <c r="L224" s="1208"/>
      <c r="M224" s="1228"/>
      <c r="N224" s="1211"/>
      <c r="O224" s="1211"/>
    </row>
    <row r="225" spans="1:15" ht="20.100000000000001" customHeight="1">
      <c r="B225" s="1208" t="s">
        <v>100</v>
      </c>
      <c r="H225" s="1211" t="s">
        <v>901</v>
      </c>
      <c r="I225" s="1861">
        <f>I196+I188</f>
        <v>28659.119999999999</v>
      </c>
      <c r="J225" s="1853" t="s">
        <v>918</v>
      </c>
      <c r="K225" s="2044">
        <v>-94</v>
      </c>
      <c r="L225" s="1208"/>
      <c r="M225" s="1228"/>
      <c r="N225" s="1211"/>
      <c r="O225" s="1211"/>
    </row>
    <row r="226" spans="1:15" ht="20.100000000000001" customHeight="1">
      <c r="B226" s="1208" t="s">
        <v>841</v>
      </c>
      <c r="E226" s="1208"/>
      <c r="H226" s="1900" t="str">
        <f>IF(กรอกราคาวัสดุ!$C$6=2,"ฝนชุก A=","ปกติ A=")</f>
        <v>ปกติ A=</v>
      </c>
      <c r="I226" s="1921">
        <f>IF(กรอกราคาวัสดุ!$C$6=2,+$C$219,$C$218)</f>
        <v>18.190000000000001</v>
      </c>
      <c r="J226" s="1853" t="s">
        <v>113</v>
      </c>
      <c r="K226" s="2044">
        <v>-95</v>
      </c>
      <c r="L226" s="1208"/>
      <c r="M226" s="1228"/>
      <c r="N226" s="1211"/>
      <c r="O226" s="1211"/>
    </row>
    <row r="227" spans="1:15" ht="20.100000000000001" customHeight="1">
      <c r="B227" s="1208" t="s">
        <v>454</v>
      </c>
      <c r="E227" s="1900"/>
      <c r="F227" s="1922"/>
      <c r="H227" s="1208" t="s">
        <v>901</v>
      </c>
      <c r="I227" s="1861">
        <f>ROUND(0.01286*I196+0.00123*I188+0.01222*D,2)</f>
        <v>42.34</v>
      </c>
      <c r="J227" s="1853" t="s">
        <v>113</v>
      </c>
      <c r="K227" s="2044">
        <v>-96</v>
      </c>
      <c r="L227" s="1208"/>
      <c r="M227" s="1228"/>
      <c r="N227" s="1211"/>
      <c r="O227" s="1211"/>
    </row>
    <row r="228" spans="1:15" ht="20.100000000000001" customHeight="1">
      <c r="B228" s="1208" t="s">
        <v>842</v>
      </c>
      <c r="E228" s="1208"/>
      <c r="H228" s="1211" t="s">
        <v>901</v>
      </c>
      <c r="I228" s="1861">
        <f>SUM(I226:I227)</f>
        <v>60.53</v>
      </c>
      <c r="J228" s="1853" t="s">
        <v>113</v>
      </c>
      <c r="K228" s="2044">
        <v>-97</v>
      </c>
      <c r="L228" s="1208"/>
      <c r="M228" s="1228"/>
      <c r="N228" s="1211"/>
      <c r="O228" s="1211"/>
    </row>
    <row r="229" spans="1:15" ht="20.100000000000001" customHeight="1">
      <c r="B229" s="1208" t="s">
        <v>459</v>
      </c>
      <c r="H229" s="1211"/>
      <c r="I229" s="1861"/>
      <c r="J229" s="1853"/>
      <c r="K229" s="2044"/>
      <c r="L229" s="1208"/>
      <c r="M229" s="1228"/>
      <c r="N229" s="1211"/>
      <c r="O229" s="1211"/>
    </row>
    <row r="230" spans="1:15" ht="20.100000000000001" customHeight="1">
      <c r="B230" s="1208" t="s">
        <v>101</v>
      </c>
      <c r="H230" s="1211" t="s">
        <v>901</v>
      </c>
      <c r="I230" s="1861">
        <f>I189</f>
        <v>27635.510000000002</v>
      </c>
      <c r="J230" s="1853" t="s">
        <v>918</v>
      </c>
      <c r="K230" s="2044">
        <v>-98</v>
      </c>
      <c r="L230" s="1208"/>
      <c r="M230" s="1228"/>
      <c r="N230" s="1211"/>
      <c r="O230" s="1211"/>
    </row>
    <row r="231" spans="1:15" ht="20.100000000000001" customHeight="1">
      <c r="B231" s="1208" t="s">
        <v>790</v>
      </c>
      <c r="H231" s="1900" t="str">
        <f>IF(กรอกราคาวัสดุ!$C$6=2,"ฝนชุก  B=","ปกติ B=")</f>
        <v>ปกติ B=</v>
      </c>
      <c r="I231" s="1921">
        <f>IF(กรอกราคาวัสดุ!$C$6=2,+$D$219,$D$218)</f>
        <v>3.01</v>
      </c>
      <c r="J231" s="1853" t="s">
        <v>113</v>
      </c>
      <c r="K231" s="2044">
        <v>-99</v>
      </c>
      <c r="L231" s="1208"/>
      <c r="M231" s="1228"/>
      <c r="N231" s="1211"/>
      <c r="O231" s="1211"/>
    </row>
    <row r="232" spans="1:15" ht="20.100000000000001" customHeight="1">
      <c r="B232" s="1208" t="s">
        <v>458</v>
      </c>
      <c r="E232" s="1208"/>
      <c r="H232" s="1211" t="s">
        <v>901</v>
      </c>
      <c r="I232" s="1861">
        <f>0.00031*I189</f>
        <v>8.5670081000000007</v>
      </c>
      <c r="J232" s="1853" t="s">
        <v>113</v>
      </c>
      <c r="K232" s="2044">
        <v>-100</v>
      </c>
      <c r="L232" s="1208"/>
      <c r="M232" s="1228"/>
      <c r="N232" s="1211"/>
      <c r="O232" s="1211"/>
    </row>
    <row r="233" spans="1:15" ht="20.100000000000001" customHeight="1">
      <c r="B233" s="1208" t="s">
        <v>843</v>
      </c>
      <c r="E233" s="1208"/>
      <c r="H233" s="1211" t="s">
        <v>901</v>
      </c>
      <c r="I233" s="1861">
        <f>SUM(I231:I232)</f>
        <v>11.5770081</v>
      </c>
      <c r="J233" s="1853" t="s">
        <v>113</v>
      </c>
      <c r="K233" s="2044">
        <v>101</v>
      </c>
      <c r="L233" s="1208"/>
      <c r="M233" s="1228"/>
      <c r="N233" s="1211"/>
      <c r="O233" s="1211"/>
    </row>
    <row r="234" spans="1:15" ht="20.100000000000001" customHeight="1">
      <c r="B234" s="1208" t="s">
        <v>460</v>
      </c>
      <c r="H234" s="1211"/>
      <c r="I234" s="1861"/>
      <c r="J234" s="1853"/>
      <c r="K234" s="2044"/>
      <c r="L234" s="1208"/>
      <c r="M234" s="1228"/>
      <c r="N234" s="1211"/>
      <c r="O234" s="1211"/>
    </row>
    <row r="235" spans="1:15" ht="20.100000000000001" customHeight="1">
      <c r="B235" s="1208" t="s">
        <v>100</v>
      </c>
      <c r="H235" s="1211" t="s">
        <v>901</v>
      </c>
      <c r="I235" s="1861">
        <f>I190+I197</f>
        <v>31516.12</v>
      </c>
      <c r="J235" s="1853" t="s">
        <v>918</v>
      </c>
      <c r="K235" s="2044">
        <v>-102</v>
      </c>
      <c r="L235" s="1208"/>
      <c r="M235" s="1228"/>
      <c r="N235" s="1211"/>
      <c r="O235" s="1211"/>
    </row>
    <row r="236" spans="1:15" ht="20.100000000000001" customHeight="1">
      <c r="B236" s="1208" t="s">
        <v>841</v>
      </c>
      <c r="H236" s="1900" t="str">
        <f>IF(กรอกราคาวัสดุ!$C$6=2,"ฝนชุก C=","ปกติ C=")</f>
        <v>ปกติ C=</v>
      </c>
      <c r="I236" s="1921">
        <f>IF(กรอกราคาวัสดุ!$C$6=2,+$E$219,$E$218)</f>
        <v>13.38</v>
      </c>
      <c r="J236" s="1853" t="s">
        <v>113</v>
      </c>
      <c r="K236" s="2044">
        <v>-103</v>
      </c>
      <c r="L236" s="1208"/>
      <c r="M236" s="1228"/>
      <c r="N236" s="1211"/>
      <c r="O236" s="1211"/>
    </row>
    <row r="237" spans="1:15" ht="20.100000000000001" customHeight="1">
      <c r="B237" s="1208" t="s">
        <v>461</v>
      </c>
      <c r="H237" s="1211" t="s">
        <v>901</v>
      </c>
      <c r="I237" s="1861">
        <f>ROUND((527.7+1.2155*I197+0.25779*I190+1.85*P)*1/185,2)</f>
        <v>49.47</v>
      </c>
      <c r="J237" s="1853" t="s">
        <v>113</v>
      </c>
      <c r="K237" s="2044">
        <v>-104</v>
      </c>
      <c r="L237" s="1208"/>
      <c r="M237" s="1228"/>
      <c r="N237" s="1211"/>
      <c r="O237" s="1211"/>
    </row>
    <row r="238" spans="1:15" ht="20.100000000000001" customHeight="1">
      <c r="B238" s="1208" t="s">
        <v>844</v>
      </c>
      <c r="H238" s="1211" t="s">
        <v>901</v>
      </c>
      <c r="I238" s="1861">
        <f>SUM(I236:I237)</f>
        <v>62.85</v>
      </c>
      <c r="J238" s="1853" t="s">
        <v>113</v>
      </c>
      <c r="K238" s="2044">
        <v>-105</v>
      </c>
      <c r="L238" s="1208"/>
      <c r="M238" s="1228"/>
      <c r="N238" s="1211"/>
      <c r="O238" s="1211"/>
    </row>
    <row r="239" spans="1:15" ht="20.100000000000001" customHeight="1">
      <c r="B239" s="1208" t="s">
        <v>363</v>
      </c>
      <c r="H239" s="1211" t="s">
        <v>901</v>
      </c>
      <c r="I239" s="1861">
        <f>ROUND(SUM(I228,I233,I238),2)</f>
        <v>134.96</v>
      </c>
      <c r="J239" s="1853" t="s">
        <v>113</v>
      </c>
      <c r="K239" s="2044"/>
      <c r="L239" s="1208"/>
      <c r="M239" s="1228"/>
      <c r="N239" s="1211"/>
      <c r="O239" s="1211"/>
    </row>
    <row r="240" spans="1:15" ht="20.100000000000001" customHeight="1">
      <c r="A240" s="1207" t="s">
        <v>865</v>
      </c>
      <c r="B240" s="1207"/>
      <c r="C240" s="1207"/>
      <c r="D240" s="1207"/>
      <c r="E240" s="1207"/>
      <c r="F240" s="1207"/>
      <c r="G240" s="1207"/>
      <c r="H240" s="1207"/>
      <c r="I240" s="1207"/>
      <c r="J240" s="1207"/>
      <c r="K240" s="2050"/>
      <c r="L240" s="1208"/>
      <c r="M240" s="1228"/>
      <c r="N240" s="1211"/>
      <c r="O240" s="1211"/>
    </row>
    <row r="241" spans="1:19" ht="20.100000000000001" customHeight="1">
      <c r="A241" s="1208" t="s">
        <v>866</v>
      </c>
      <c r="E241" s="1208"/>
      <c r="G241" s="1208"/>
      <c r="H241" s="1208"/>
      <c r="I241" s="1208"/>
      <c r="J241" s="1208"/>
      <c r="L241" s="1208"/>
      <c r="M241" s="1228"/>
      <c r="N241" s="1211"/>
      <c r="O241" s="1211"/>
    </row>
    <row r="242" spans="1:19" ht="20.100000000000001" customHeight="1">
      <c r="A242" s="1859" t="s">
        <v>820</v>
      </c>
      <c r="B242" s="1859"/>
      <c r="C242" s="1859"/>
      <c r="D242" s="1859"/>
      <c r="E242" s="1859"/>
      <c r="F242" s="1859"/>
      <c r="G242" s="1859"/>
      <c r="H242" s="1859"/>
      <c r="I242" s="1859"/>
      <c r="J242" s="1859"/>
      <c r="K242" s="2052"/>
      <c r="L242" s="1208"/>
      <c r="M242" s="1228"/>
      <c r="N242" s="1923">
        <f>IF(D248=1,O245,IF(D248=2,O247,IF(D248=3,O247,IF(D248=4,O247,IF(D248=5,O246,IF(D248=6,O246,IF(D248=7,O245)))))))</f>
        <v>5.2</v>
      </c>
      <c r="O242" s="1924" t="s">
        <v>494</v>
      </c>
    </row>
    <row r="243" spans="1:19" ht="20.100000000000001" customHeight="1">
      <c r="A243" s="1925">
        <v>12.1</v>
      </c>
      <c r="B243" s="1208" t="s">
        <v>1594</v>
      </c>
      <c r="C243" s="1367"/>
      <c r="E243" s="1926" t="s">
        <v>669</v>
      </c>
      <c r="F243" s="1927">
        <v>5</v>
      </c>
      <c r="G243" s="1367" t="s">
        <v>586</v>
      </c>
      <c r="H243" s="1928"/>
      <c r="I243" s="1929"/>
      <c r="J243" s="1929"/>
      <c r="K243" s="2053">
        <v>-106</v>
      </c>
      <c r="L243" s="2195" t="s">
        <v>808</v>
      </c>
      <c r="M243" s="2196"/>
      <c r="N243" s="2196"/>
      <c r="O243" s="2197"/>
      <c r="P243" s="1619" t="s">
        <v>802</v>
      </c>
    </row>
    <row r="244" spans="1:19" ht="20.100000000000001" customHeight="1">
      <c r="A244" s="1841"/>
      <c r="B244" s="1208" t="s">
        <v>11</v>
      </c>
      <c r="C244" s="1367"/>
      <c r="D244" s="1930"/>
      <c r="E244" s="1881"/>
      <c r="F244" s="1367"/>
      <c r="H244" s="1931" t="s">
        <v>901</v>
      </c>
      <c r="I244" s="1929">
        <f>SUM('ปร.4 road'!F34:F41)/I253</f>
        <v>0</v>
      </c>
      <c r="J244" s="1929" t="s">
        <v>187</v>
      </c>
      <c r="K244" s="2047">
        <v>-107</v>
      </c>
      <c r="L244" s="1619" t="s">
        <v>809</v>
      </c>
      <c r="M244" s="1619" t="s">
        <v>799</v>
      </c>
      <c r="N244" s="1619" t="s">
        <v>800</v>
      </c>
      <c r="O244" s="1619" t="s">
        <v>801</v>
      </c>
      <c r="P244" s="1619" t="s">
        <v>803</v>
      </c>
    </row>
    <row r="245" spans="1:19" ht="20.100000000000001" customHeight="1">
      <c r="A245" s="1928"/>
      <c r="B245" s="1932" t="s">
        <v>794</v>
      </c>
      <c r="C245" s="1881"/>
      <c r="D245" s="1933">
        <f>กรอกราคาวัสดุ!G39</f>
        <v>70</v>
      </c>
      <c r="E245" s="1368" t="s">
        <v>1591</v>
      </c>
      <c r="F245" s="1367"/>
      <c r="H245" s="1931" t="s">
        <v>901</v>
      </c>
      <c r="I245" s="1934">
        <f>((กรอกราคาวัสดุ!J39+80)*80)</f>
        <v>15878.400000000001</v>
      </c>
      <c r="J245" s="1935" t="s">
        <v>793</v>
      </c>
      <c r="K245" s="2047">
        <v>-108</v>
      </c>
      <c r="L245" s="1619">
        <v>1</v>
      </c>
      <c r="M245" s="1936" t="s">
        <v>804</v>
      </c>
      <c r="N245" s="1619">
        <v>5.0999999999999996</v>
      </c>
      <c r="O245" s="1619">
        <v>5.2</v>
      </c>
      <c r="P245" s="1621">
        <v>4.5</v>
      </c>
      <c r="Q245" s="1208" t="s">
        <v>1590</v>
      </c>
    </row>
    <row r="246" spans="1:19" ht="20.100000000000001" customHeight="1">
      <c r="A246" s="1928"/>
      <c r="B246" s="1367" t="s">
        <v>331</v>
      </c>
      <c r="C246" s="1928" t="s">
        <v>1598</v>
      </c>
      <c r="D246" s="1933"/>
      <c r="E246" s="1368"/>
      <c r="F246" s="1367"/>
      <c r="H246" s="1931" t="s">
        <v>901</v>
      </c>
      <c r="I246" s="1937" t="e">
        <f>I245/I244</f>
        <v>#DIV/0!</v>
      </c>
      <c r="J246" s="1929" t="s">
        <v>136</v>
      </c>
      <c r="K246" s="2047">
        <v>-109</v>
      </c>
      <c r="L246" s="1619">
        <v>2</v>
      </c>
      <c r="M246" s="1936" t="s">
        <v>805</v>
      </c>
      <c r="N246" s="1619">
        <v>5.4</v>
      </c>
      <c r="O246" s="1619">
        <v>5.5</v>
      </c>
      <c r="P246" s="1938" t="s">
        <v>807</v>
      </c>
      <c r="Q246" s="1208" t="s">
        <v>1589</v>
      </c>
    </row>
    <row r="247" spans="1:19" ht="20.100000000000001" customHeight="1">
      <c r="A247" s="1928"/>
      <c r="B247" s="1367" t="s">
        <v>12</v>
      </c>
      <c r="D247" s="2194" t="s">
        <v>1592</v>
      </c>
      <c r="E247" s="2194"/>
      <c r="F247" s="1367"/>
      <c r="H247" s="1931" t="s">
        <v>901</v>
      </c>
      <c r="I247" s="1934">
        <f>250000/10000</f>
        <v>25</v>
      </c>
      <c r="J247" s="1929" t="s">
        <v>136</v>
      </c>
      <c r="K247" s="2047">
        <v>-110</v>
      </c>
      <c r="L247" s="1619">
        <v>3</v>
      </c>
      <c r="M247" s="1936" t="s">
        <v>806</v>
      </c>
      <c r="N247" s="1619">
        <v>5.8</v>
      </c>
      <c r="O247" s="1619">
        <v>5.9</v>
      </c>
      <c r="P247" s="1938" t="s">
        <v>807</v>
      </c>
      <c r="Q247" s="1208" t="s">
        <v>816</v>
      </c>
    </row>
    <row r="248" spans="1:19" ht="20.100000000000001" customHeight="1">
      <c r="A248" s="1928"/>
      <c r="B248" s="1367" t="s">
        <v>818</v>
      </c>
      <c r="C248" s="1939" t="s">
        <v>1456</v>
      </c>
      <c r="D248" s="1940">
        <v>1</v>
      </c>
      <c r="E248" s="2205" t="s">
        <v>819</v>
      </c>
      <c r="F248" s="2206"/>
      <c r="H248" s="1931"/>
      <c r="I248" s="1934"/>
      <c r="J248" s="1929"/>
      <c r="K248" s="2047"/>
      <c r="L248" s="933" t="s">
        <v>462</v>
      </c>
      <c r="N248" s="1211"/>
      <c r="O248" s="1211"/>
    </row>
    <row r="249" spans="1:19" ht="20.100000000000001" customHeight="1">
      <c r="A249" s="1928"/>
      <c r="B249" s="1367" t="s">
        <v>1599</v>
      </c>
      <c r="C249" s="1941" t="s">
        <v>345</v>
      </c>
      <c r="D249" s="1941"/>
      <c r="E249" s="1881"/>
      <c r="F249" s="1367"/>
      <c r="H249" s="1931" t="s">
        <v>901</v>
      </c>
      <c r="I249" s="1942">
        <f>I192*N242/100</f>
        <v>1642.70652</v>
      </c>
      <c r="J249" s="1929" t="s">
        <v>136</v>
      </c>
      <c r="K249" s="2047">
        <v>-111</v>
      </c>
      <c r="L249" s="1208"/>
      <c r="M249" s="1208" t="s">
        <v>669</v>
      </c>
      <c r="N249" s="1208" t="s">
        <v>795</v>
      </c>
      <c r="O249" s="1208" t="s">
        <v>383</v>
      </c>
      <c r="P249" s="1208" t="s">
        <v>383</v>
      </c>
      <c r="Q249" s="1208" t="s">
        <v>798</v>
      </c>
      <c r="R249" s="1208" t="s">
        <v>798</v>
      </c>
    </row>
    <row r="250" spans="1:19" ht="20.100000000000001" customHeight="1">
      <c r="A250" s="1928"/>
      <c r="B250" s="1367" t="s">
        <v>13</v>
      </c>
      <c r="C250" s="1367"/>
      <c r="D250" s="1930"/>
      <c r="E250" s="1881"/>
      <c r="F250" s="1367"/>
      <c r="H250" s="1931" t="s">
        <v>901</v>
      </c>
      <c r="I250" s="1942">
        <f>0.74*I199</f>
        <v>389.45459999999997</v>
      </c>
      <c r="J250" s="1929" t="s">
        <v>136</v>
      </c>
      <c r="K250" s="2047">
        <v>-112</v>
      </c>
      <c r="L250" s="1208"/>
      <c r="M250" s="1208"/>
      <c r="O250" s="1211" t="s">
        <v>796</v>
      </c>
      <c r="P250" s="1211" t="s">
        <v>797</v>
      </c>
      <c r="Q250" s="1853" t="s">
        <v>796</v>
      </c>
      <c r="R250" s="1853" t="s">
        <v>797</v>
      </c>
      <c r="S250" s="1211" t="s">
        <v>810</v>
      </c>
    </row>
    <row r="251" spans="1:19" ht="20.100000000000001" customHeight="1">
      <c r="A251" s="1928"/>
      <c r="B251" s="1367" t="s">
        <v>1625</v>
      </c>
      <c r="C251" s="1367"/>
      <c r="D251" s="1930"/>
      <c r="E251" s="1881"/>
      <c r="F251" s="1367"/>
      <c r="H251" s="1931" t="s">
        <v>901</v>
      </c>
      <c r="I251" s="1934">
        <f>'ค่าเสื่อมราคา(แก้ไข26ธค.60)'!G48</f>
        <v>447.90999999999997</v>
      </c>
      <c r="J251" s="1929" t="s">
        <v>136</v>
      </c>
      <c r="K251" s="2047">
        <v>-113</v>
      </c>
      <c r="L251" s="1208"/>
      <c r="M251" s="1211">
        <v>2.5</v>
      </c>
      <c r="N251" s="1211">
        <v>0.75</v>
      </c>
      <c r="O251" s="1943">
        <f t="shared" ref="O251:O259" si="0">N251*$Q$251</f>
        <v>12.007499999999999</v>
      </c>
      <c r="P251" s="1943">
        <f t="shared" ref="P251:P259" si="1">N251*$R$251</f>
        <v>9.307500000000001</v>
      </c>
      <c r="Q251" s="1944">
        <f>IF(กรอกราคาวัสดุ!$C$6=1,'ค่าเสื่อมราคา(แก้ไข26ธค.60)'!G52,'ค่าเสื่อมราคา(แก้ไข26ธค.60)'!G52)</f>
        <v>16.009999999999998</v>
      </c>
      <c r="R251" s="1945">
        <f>IF(กรอกราคาวัสดุ!$C$6=1,'ค่าเสื่อมราคา(แก้ไข26ธค.60)'!G53,'ค่าเสื่อมราคา(แก้ไข26ธค.60)'!G53)</f>
        <v>12.41</v>
      </c>
      <c r="S251" s="1208">
        <v>16.66</v>
      </c>
    </row>
    <row r="252" spans="1:19" ht="20.100000000000001" customHeight="1">
      <c r="A252" s="1928"/>
      <c r="B252" s="1367" t="s">
        <v>14</v>
      </c>
      <c r="C252" s="1208" t="s">
        <v>792</v>
      </c>
      <c r="D252" s="1933">
        <f>F26</f>
        <v>1</v>
      </c>
      <c r="E252" s="1368" t="s">
        <v>784</v>
      </c>
      <c r="H252" s="1931" t="s">
        <v>901</v>
      </c>
      <c r="I252" s="1946" t="str">
        <f>I26</f>
        <v>8.32</v>
      </c>
      <c r="J252" s="1929" t="s">
        <v>136</v>
      </c>
      <c r="K252" s="2047">
        <v>-114</v>
      </c>
      <c r="L252" s="1208"/>
      <c r="M252" s="1211">
        <v>3</v>
      </c>
      <c r="N252" s="1211">
        <v>0.8</v>
      </c>
      <c r="O252" s="1943">
        <f t="shared" si="0"/>
        <v>12.808</v>
      </c>
      <c r="P252" s="1943">
        <f t="shared" si="1"/>
        <v>9.9280000000000008</v>
      </c>
      <c r="R252" s="1947"/>
      <c r="S252" s="1208">
        <v>13.89</v>
      </c>
    </row>
    <row r="253" spans="1:19" ht="20.100000000000001" customHeight="1">
      <c r="A253" s="1928"/>
      <c r="B253" s="1367" t="s">
        <v>813</v>
      </c>
      <c r="C253" s="1367"/>
      <c r="D253" s="1881" t="s">
        <v>925</v>
      </c>
      <c r="E253" s="1948">
        <f>F243</f>
        <v>5</v>
      </c>
      <c r="F253" s="1949" t="s">
        <v>586</v>
      </c>
      <c r="G253" s="1950" t="s">
        <v>811</v>
      </c>
      <c r="H253" s="1211" t="s">
        <v>901</v>
      </c>
      <c r="I253" s="1951">
        <f>ROUND(IF(E253=2.5,S251,IF(E253=3,S252,IF(E253=4,S253,IF(E253=5,S254,IF(E253=6,S255,IF(E253=7,S256,IF(E253=8,S257,S258))))))),2)</f>
        <v>8.33</v>
      </c>
      <c r="J253" s="1853" t="s">
        <v>812</v>
      </c>
      <c r="K253" s="2047">
        <v>-115</v>
      </c>
      <c r="L253" s="1208"/>
      <c r="M253" s="1211">
        <v>4</v>
      </c>
      <c r="N253" s="1211">
        <v>0.9</v>
      </c>
      <c r="O253" s="1952">
        <f t="shared" si="0"/>
        <v>14.408999999999999</v>
      </c>
      <c r="P253" s="1952">
        <f t="shared" si="1"/>
        <v>11.169</v>
      </c>
      <c r="S253" s="1208">
        <v>10.41</v>
      </c>
    </row>
    <row r="254" spans="1:19" ht="20.100000000000001" customHeight="1">
      <c r="A254" s="1928"/>
      <c r="B254" s="1367" t="s">
        <v>1605</v>
      </c>
      <c r="C254" s="1367"/>
      <c r="D254" s="1881"/>
      <c r="E254" s="1948">
        <f>F243</f>
        <v>5</v>
      </c>
      <c r="F254" s="1949" t="s">
        <v>586</v>
      </c>
      <c r="G254" s="1950"/>
      <c r="H254" s="1928" t="s">
        <v>901</v>
      </c>
      <c r="I254" s="1951">
        <f>ROUND(IF(E254=2.5,N251,IF(E254=3,N252,IF(E254=4,N253,IF(E254=5,N254,IF(E254=6,N255,IF(E254=7,N256,IF(E254=8,N257,N258)))))))*Q251*I253,2)</f>
        <v>133.36000000000001</v>
      </c>
      <c r="J254" s="1881" t="s">
        <v>815</v>
      </c>
      <c r="K254" s="2047">
        <v>-116</v>
      </c>
      <c r="L254" s="1208"/>
      <c r="M254" s="1211">
        <v>5</v>
      </c>
      <c r="N254" s="1211">
        <v>1</v>
      </c>
      <c r="O254" s="1952">
        <f t="shared" si="0"/>
        <v>16.009999999999998</v>
      </c>
      <c r="P254" s="1952">
        <f t="shared" si="1"/>
        <v>12.41</v>
      </c>
      <c r="S254" s="1208">
        <v>8.33</v>
      </c>
    </row>
    <row r="255" spans="1:19" ht="20.100000000000001" customHeight="1">
      <c r="A255" s="1928"/>
      <c r="B255" s="1367" t="s">
        <v>814</v>
      </c>
      <c r="C255" s="1367"/>
      <c r="D255" s="1881" t="s">
        <v>925</v>
      </c>
      <c r="E255" s="1948">
        <f>F243</f>
        <v>5</v>
      </c>
      <c r="F255" s="1949" t="s">
        <v>586</v>
      </c>
      <c r="G255" s="1950" t="s">
        <v>811</v>
      </c>
      <c r="H255" s="1211" t="s">
        <v>901</v>
      </c>
      <c r="I255" s="1951">
        <f>ROUND(IF(E255=2.5,S251,IF(E255=3,S252,IF(E255=4,S253,IF(E255=5,S254,IF(E255=6,S255,IF(E255=7,S256,IF(E255=8,S257,S258))))))),2)</f>
        <v>8.33</v>
      </c>
      <c r="J255" s="1853" t="s">
        <v>812</v>
      </c>
      <c r="K255" s="2047">
        <v>-117</v>
      </c>
      <c r="L255" s="1208"/>
      <c r="M255" s="1211">
        <v>6</v>
      </c>
      <c r="N255" s="1211">
        <v>1.6</v>
      </c>
      <c r="O255" s="1952">
        <f t="shared" si="0"/>
        <v>25.616</v>
      </c>
      <c r="P255" s="1952">
        <f t="shared" si="1"/>
        <v>19.856000000000002</v>
      </c>
      <c r="S255" s="1208">
        <v>6.94</v>
      </c>
    </row>
    <row r="256" spans="1:19" ht="20.100000000000001" customHeight="1">
      <c r="A256" s="1928"/>
      <c r="B256" s="1367" t="s">
        <v>1606</v>
      </c>
      <c r="C256" s="1367"/>
      <c r="D256" s="1367"/>
      <c r="E256" s="1948">
        <f>F243</f>
        <v>5</v>
      </c>
      <c r="F256" s="1949" t="s">
        <v>586</v>
      </c>
      <c r="H256" s="1928" t="s">
        <v>901</v>
      </c>
      <c r="I256" s="1951">
        <f>ROUND(IF(E256=2.5,N251,IF(E256=3,N252,IF(E256=4,N253,IF(E256=5,N254,IF(E256=6,N255,IF(E256=7,N256,IF(E256=8,N257,N258)))))))*R251*I255,2)</f>
        <v>103.38</v>
      </c>
      <c r="J256" s="1881" t="s">
        <v>815</v>
      </c>
      <c r="K256" s="2047">
        <v>-118</v>
      </c>
      <c r="L256" s="1208"/>
      <c r="M256" s="1211">
        <v>7</v>
      </c>
      <c r="N256" s="1211">
        <v>1.7</v>
      </c>
      <c r="O256" s="1952">
        <f t="shared" si="0"/>
        <v>27.216999999999995</v>
      </c>
      <c r="P256" s="1952">
        <f t="shared" si="1"/>
        <v>21.097000000000001</v>
      </c>
      <c r="S256" s="1208">
        <v>5.95</v>
      </c>
    </row>
    <row r="257" spans="1:19" ht="20.100000000000001" customHeight="1">
      <c r="A257" s="1928"/>
      <c r="B257" s="1367" t="s">
        <v>332</v>
      </c>
      <c r="C257" s="1367"/>
      <c r="D257" s="1948"/>
      <c r="E257" s="1367"/>
      <c r="F257" s="1942"/>
      <c r="G257" s="1930"/>
      <c r="H257" s="1928" t="s">
        <v>901</v>
      </c>
      <c r="I257" s="1953" t="e">
        <f>I246+I247+I249+I250+I251+I252+I254</f>
        <v>#DIV/0!</v>
      </c>
      <c r="J257" s="1881" t="s">
        <v>815</v>
      </c>
      <c r="K257" s="2047">
        <v>-119</v>
      </c>
      <c r="L257" s="1208"/>
      <c r="M257" s="1211">
        <v>8</v>
      </c>
      <c r="N257" s="1211">
        <v>1.8</v>
      </c>
      <c r="O257" s="1952">
        <f t="shared" si="0"/>
        <v>28.817999999999998</v>
      </c>
      <c r="P257" s="1952">
        <f t="shared" si="1"/>
        <v>22.338000000000001</v>
      </c>
      <c r="S257" s="1208">
        <v>5.21</v>
      </c>
    </row>
    <row r="258" spans="1:19" ht="20.100000000000001" customHeight="1">
      <c r="A258" s="1928"/>
      <c r="B258" s="1367" t="s">
        <v>333</v>
      </c>
      <c r="C258" s="1367"/>
      <c r="D258" s="1954"/>
      <c r="E258" s="1367"/>
      <c r="H258" s="1928" t="s">
        <v>901</v>
      </c>
      <c r="I258" s="1946" t="e">
        <f>I246+I247+I249+I250+I251+I252+I256</f>
        <v>#DIV/0!</v>
      </c>
      <c r="J258" s="1881" t="s">
        <v>815</v>
      </c>
      <c r="K258" s="2047">
        <v>-120</v>
      </c>
      <c r="L258" s="1208"/>
      <c r="M258" s="1211">
        <v>9</v>
      </c>
      <c r="N258" s="1211">
        <v>1.9</v>
      </c>
      <c r="O258" s="1952">
        <f t="shared" si="0"/>
        <v>30.418999999999993</v>
      </c>
      <c r="P258" s="1952">
        <f t="shared" si="1"/>
        <v>23.579000000000001</v>
      </c>
      <c r="S258" s="1208">
        <v>4.63</v>
      </c>
    </row>
    <row r="259" spans="1:19" ht="20.100000000000001" customHeight="1">
      <c r="A259" s="1928"/>
      <c r="B259" s="1930" t="s">
        <v>334</v>
      </c>
      <c r="C259" s="1367"/>
      <c r="D259" s="1930"/>
      <c r="E259" s="1881"/>
      <c r="F259" s="1367"/>
      <c r="H259" s="1931" t="s">
        <v>901</v>
      </c>
      <c r="I259" s="1861" t="e">
        <f>ROUND((I257/I253),2)</f>
        <v>#DIV/0!</v>
      </c>
      <c r="J259" s="1929" t="s">
        <v>113</v>
      </c>
      <c r="K259" s="2047"/>
      <c r="L259" s="1208"/>
      <c r="M259" s="1211">
        <v>10</v>
      </c>
      <c r="N259" s="1211">
        <v>2</v>
      </c>
      <c r="O259" s="1952">
        <f t="shared" si="0"/>
        <v>32.019999999999996</v>
      </c>
      <c r="P259" s="1952">
        <f t="shared" si="1"/>
        <v>24.82</v>
      </c>
    </row>
    <row r="260" spans="1:19" ht="20.100000000000001" customHeight="1">
      <c r="A260" s="1928"/>
      <c r="B260" s="1930" t="s">
        <v>335</v>
      </c>
      <c r="C260" s="1367"/>
      <c r="D260" s="1930"/>
      <c r="E260" s="1881"/>
      <c r="F260" s="1367"/>
      <c r="H260" s="1931" t="s">
        <v>901</v>
      </c>
      <c r="I260" s="1861" t="e">
        <f>ROUND((I258/I255),2)</f>
        <v>#DIV/0!</v>
      </c>
      <c r="J260" s="1929" t="s">
        <v>113</v>
      </c>
      <c r="K260" s="2047"/>
      <c r="L260" s="1208"/>
      <c r="N260" s="1211"/>
      <c r="O260" s="1952"/>
      <c r="P260" s="1952"/>
    </row>
    <row r="261" spans="1:19" ht="20.100000000000001" customHeight="1">
      <c r="A261" s="1928"/>
      <c r="B261" s="1367" t="s">
        <v>1029</v>
      </c>
      <c r="C261" s="1367"/>
      <c r="D261" s="1930"/>
      <c r="E261" s="1881"/>
      <c r="F261" s="1367"/>
      <c r="H261" s="1931"/>
      <c r="I261" s="1955">
        <f>((I189*1.4)+((กรอกราคาวัสดุ!D31+กรอกราคาวัสดุ!J31)*6.15)+((กรอกราคาวัสดุ!D17+กรอกราคาวัสดุ!J17)*0.077))/1000</f>
        <v>212.99635538000004</v>
      </c>
      <c r="J261" s="1929" t="s">
        <v>113</v>
      </c>
      <c r="K261" s="2047"/>
      <c r="L261" s="1208"/>
      <c r="M261" s="1228"/>
      <c r="N261" s="1211"/>
      <c r="O261" s="1211"/>
    </row>
    <row r="262" spans="1:19" ht="20.100000000000001" customHeight="1">
      <c r="A262" s="1925">
        <v>12.2</v>
      </c>
      <c r="B262" s="1208" t="s">
        <v>1595</v>
      </c>
      <c r="C262" s="1367"/>
      <c r="E262" s="1926" t="s">
        <v>669</v>
      </c>
      <c r="F262" s="1927">
        <v>5</v>
      </c>
      <c r="G262" s="1367" t="s">
        <v>586</v>
      </c>
      <c r="H262" s="1928"/>
      <c r="I262" s="1929"/>
      <c r="J262" s="1929"/>
      <c r="K262" s="2053"/>
      <c r="L262" s="1208"/>
      <c r="M262" s="1228"/>
      <c r="N262" s="1923">
        <f>IF(D267=1,O265,IF(D267=2,O267,IF(D267=3,O267,IF(D267=4,O267,IF(D267=5,O266,IF(D267=6,O266,IF(D267=7,O265)))))))</f>
        <v>5.2</v>
      </c>
      <c r="O262" s="1924" t="s">
        <v>494</v>
      </c>
    </row>
    <row r="263" spans="1:19" ht="20.100000000000001" customHeight="1">
      <c r="A263" s="1841"/>
      <c r="B263" s="1208" t="s">
        <v>11</v>
      </c>
      <c r="C263" s="1367"/>
      <c r="D263" s="1930"/>
      <c r="E263" s="1881"/>
      <c r="F263" s="1367"/>
      <c r="H263" s="1931" t="s">
        <v>901</v>
      </c>
      <c r="I263" s="1929">
        <f>SUM('ปร.4 road'!F34:F41)/I272</f>
        <v>0</v>
      </c>
      <c r="J263" s="1929" t="s">
        <v>187</v>
      </c>
      <c r="K263" s="2047"/>
      <c r="L263" s="2195" t="s">
        <v>808</v>
      </c>
      <c r="M263" s="2196"/>
      <c r="N263" s="2196"/>
      <c r="O263" s="2197"/>
      <c r="P263" s="1619" t="s">
        <v>802</v>
      </c>
    </row>
    <row r="264" spans="1:19" ht="20.100000000000001" customHeight="1">
      <c r="A264" s="1928"/>
      <c r="B264" s="1932" t="s">
        <v>794</v>
      </c>
      <c r="C264" s="1881"/>
      <c r="D264" s="1933">
        <f>กรอกราคาวัสดุ!G39</f>
        <v>70</v>
      </c>
      <c r="E264" s="1368" t="s">
        <v>1591</v>
      </c>
      <c r="F264" s="1367"/>
      <c r="H264" s="1931" t="s">
        <v>901</v>
      </c>
      <c r="I264" s="1934">
        <f>((กรอกราคาวัสดุ!J39+80)*80)</f>
        <v>15878.400000000001</v>
      </c>
      <c r="J264" s="1935" t="s">
        <v>793</v>
      </c>
      <c r="K264" s="2047"/>
      <c r="L264" s="1619" t="s">
        <v>809</v>
      </c>
      <c r="M264" s="1619" t="s">
        <v>799</v>
      </c>
      <c r="N264" s="1619" t="s">
        <v>800</v>
      </c>
      <c r="O264" s="1619" t="s">
        <v>801</v>
      </c>
      <c r="P264" s="1619" t="s">
        <v>803</v>
      </c>
    </row>
    <row r="265" spans="1:19" ht="20.100000000000001" customHeight="1">
      <c r="A265" s="1928"/>
      <c r="B265" s="1367" t="s">
        <v>331</v>
      </c>
      <c r="C265" s="1928"/>
      <c r="D265" s="1933"/>
      <c r="E265" s="1368"/>
      <c r="F265" s="1367"/>
      <c r="H265" s="1931" t="s">
        <v>901</v>
      </c>
      <c r="I265" s="1934" t="e">
        <f>I264/I263</f>
        <v>#DIV/0!</v>
      </c>
      <c r="J265" s="1929" t="s">
        <v>136</v>
      </c>
      <c r="K265" s="2047"/>
      <c r="L265" s="1619">
        <v>1</v>
      </c>
      <c r="M265" s="1936" t="s">
        <v>804</v>
      </c>
      <c r="N265" s="1619">
        <v>5.0999999999999996</v>
      </c>
      <c r="O265" s="1619">
        <v>5.2</v>
      </c>
      <c r="P265" s="1621">
        <v>4.5</v>
      </c>
      <c r="Q265" s="1208" t="s">
        <v>1590</v>
      </c>
    </row>
    <row r="266" spans="1:19" ht="20.100000000000001" customHeight="1">
      <c r="A266" s="1928"/>
      <c r="B266" s="1367" t="s">
        <v>12</v>
      </c>
      <c r="D266" s="2194" t="s">
        <v>1592</v>
      </c>
      <c r="E266" s="2194"/>
      <c r="F266" s="1367"/>
      <c r="H266" s="1931" t="s">
        <v>901</v>
      </c>
      <c r="I266" s="1934">
        <f>250000/10000</f>
        <v>25</v>
      </c>
      <c r="J266" s="1929" t="s">
        <v>136</v>
      </c>
      <c r="K266" s="2047"/>
      <c r="L266" s="1619">
        <v>2</v>
      </c>
      <c r="M266" s="1936" t="s">
        <v>805</v>
      </c>
      <c r="N266" s="1619">
        <v>5.4</v>
      </c>
      <c r="O266" s="1619">
        <v>5.5</v>
      </c>
      <c r="P266" s="1938" t="s">
        <v>807</v>
      </c>
      <c r="Q266" s="1208" t="s">
        <v>1589</v>
      </c>
    </row>
    <row r="267" spans="1:19" ht="20.100000000000001" customHeight="1">
      <c r="A267" s="1928"/>
      <c r="B267" s="1367" t="s">
        <v>818</v>
      </c>
      <c r="C267" s="1939" t="s">
        <v>1456</v>
      </c>
      <c r="D267" s="1940">
        <v>1</v>
      </c>
      <c r="E267" s="2205" t="s">
        <v>819</v>
      </c>
      <c r="F267" s="2206"/>
      <c r="H267" s="1931"/>
      <c r="I267" s="1934"/>
      <c r="J267" s="1929"/>
      <c r="K267" s="2047"/>
      <c r="L267" s="1619">
        <v>3</v>
      </c>
      <c r="M267" s="1936" t="s">
        <v>806</v>
      </c>
      <c r="N267" s="1619">
        <v>5.8</v>
      </c>
      <c r="O267" s="1619">
        <v>5.9</v>
      </c>
      <c r="P267" s="1938" t="s">
        <v>807</v>
      </c>
      <c r="Q267" s="1208" t="s">
        <v>816</v>
      </c>
    </row>
    <row r="268" spans="1:19" ht="20.100000000000001" customHeight="1">
      <c r="A268" s="1928"/>
      <c r="B268" s="1367" t="s">
        <v>1600</v>
      </c>
      <c r="C268" s="1941" t="s">
        <v>345</v>
      </c>
      <c r="D268" s="1941"/>
      <c r="E268" s="1881"/>
      <c r="F268" s="1367"/>
      <c r="H268" s="1931" t="s">
        <v>901</v>
      </c>
      <c r="I268" s="1942">
        <f>I193*N262/100</f>
        <v>1589.2333600000002</v>
      </c>
      <c r="J268" s="1929" t="s">
        <v>136</v>
      </c>
      <c r="K268" s="2047"/>
      <c r="L268" s="1208"/>
      <c r="M268" s="1228"/>
      <c r="N268" s="1211"/>
      <c r="O268" s="1211"/>
    </row>
    <row r="269" spans="1:19" ht="20.100000000000001" customHeight="1">
      <c r="A269" s="1928"/>
      <c r="B269" s="1367" t="s">
        <v>13</v>
      </c>
      <c r="C269" s="1367"/>
      <c r="D269" s="1930"/>
      <c r="E269" s="1881"/>
      <c r="F269" s="1367"/>
      <c r="H269" s="1931" t="s">
        <v>901</v>
      </c>
      <c r="I269" s="1942">
        <f>0.74*I199</f>
        <v>389.45459999999997</v>
      </c>
      <c r="J269" s="1929" t="s">
        <v>136</v>
      </c>
      <c r="K269" s="2047"/>
      <c r="L269" s="1208"/>
      <c r="M269" s="1228"/>
      <c r="N269" s="1211"/>
      <c r="O269" s="1211"/>
    </row>
    <row r="270" spans="1:19" ht="20.100000000000001" customHeight="1">
      <c r="A270" s="1928"/>
      <c r="B270" s="1367" t="s">
        <v>1624</v>
      </c>
      <c r="C270" s="1367"/>
      <c r="D270" s="1930"/>
      <c r="E270" s="1881"/>
      <c r="F270" s="1367"/>
      <c r="H270" s="1931" t="s">
        <v>901</v>
      </c>
      <c r="I270" s="1934">
        <f>'ค่าเสื่อมราคา(แก้ไข26ธค.60)'!G48*1.1</f>
        <v>492.70100000000002</v>
      </c>
      <c r="J270" s="1929" t="s">
        <v>136</v>
      </c>
      <c r="K270" s="2047"/>
      <c r="L270" s="1208"/>
      <c r="M270" s="1228"/>
      <c r="N270" s="1211"/>
      <c r="O270" s="1211"/>
    </row>
    <row r="271" spans="1:19" ht="20.100000000000001" customHeight="1">
      <c r="A271" s="1928"/>
      <c r="B271" s="1367" t="s">
        <v>14</v>
      </c>
      <c r="C271" s="1208" t="s">
        <v>792</v>
      </c>
      <c r="D271" s="1933">
        <f>F26</f>
        <v>1</v>
      </c>
      <c r="E271" s="1368" t="s">
        <v>784</v>
      </c>
      <c r="H271" s="1931" t="s">
        <v>901</v>
      </c>
      <c r="I271" s="1946" t="str">
        <f>I26</f>
        <v>8.32</v>
      </c>
      <c r="J271" s="1929" t="s">
        <v>136</v>
      </c>
      <c r="K271" s="2047"/>
      <c r="L271" s="1208"/>
      <c r="M271" s="1228"/>
      <c r="N271" s="1211"/>
      <c r="O271" s="1211"/>
    </row>
    <row r="272" spans="1:19" ht="20.100000000000001" customHeight="1">
      <c r="A272" s="1928"/>
      <c r="B272" s="1367" t="s">
        <v>813</v>
      </c>
      <c r="C272" s="1367"/>
      <c r="D272" s="1881" t="s">
        <v>925</v>
      </c>
      <c r="E272" s="1948">
        <f>F262</f>
        <v>5</v>
      </c>
      <c r="F272" s="1949" t="s">
        <v>586</v>
      </c>
      <c r="G272" s="1950" t="s">
        <v>811</v>
      </c>
      <c r="H272" s="1211" t="s">
        <v>901</v>
      </c>
      <c r="I272" s="1951">
        <f>ROUND(IF(E272=2.5,S251,IF(E272=3,S252,IF(E272=4,S253,IF(E272=5,S254,IF(E272=6,S255,IF(E272=7,S256,IF(E272=8,S257,S258))))))),2)</f>
        <v>8.33</v>
      </c>
      <c r="J272" s="1853" t="s">
        <v>812</v>
      </c>
      <c r="K272" s="2047"/>
      <c r="L272" s="1208"/>
      <c r="M272" s="1228"/>
      <c r="N272" s="1211"/>
      <c r="O272" s="1211"/>
    </row>
    <row r="273" spans="1:15" ht="20.100000000000001" customHeight="1">
      <c r="A273" s="1928"/>
      <c r="B273" s="1367" t="s">
        <v>1627</v>
      </c>
      <c r="C273" s="1367"/>
      <c r="D273" s="1881"/>
      <c r="E273" s="1948">
        <f>F262</f>
        <v>5</v>
      </c>
      <c r="F273" s="1949" t="s">
        <v>586</v>
      </c>
      <c r="G273" s="1950"/>
      <c r="H273" s="1928" t="s">
        <v>901</v>
      </c>
      <c r="I273" s="1951">
        <f>ROUND(IF(E273=2.5,N251,IF(E273=3,N252,IF(E273=4,N253,IF(E273=5,N254,IF(E273=6,N255,IF(E273=7,N256,IF(E273=8,N257,N258)))))))*Q251*I272,2)*1.1</f>
        <v>146.69600000000003</v>
      </c>
      <c r="J273" s="1881" t="s">
        <v>815</v>
      </c>
      <c r="K273" s="2047"/>
      <c r="L273" s="1208"/>
      <c r="M273" s="1228"/>
      <c r="N273" s="1211"/>
      <c r="O273" s="1211"/>
    </row>
    <row r="274" spans="1:15" ht="20.100000000000001" customHeight="1">
      <c r="A274" s="1928"/>
      <c r="B274" s="1367" t="s">
        <v>814</v>
      </c>
      <c r="C274" s="1367"/>
      <c r="D274" s="1881" t="s">
        <v>925</v>
      </c>
      <c r="E274" s="1948">
        <f>F262</f>
        <v>5</v>
      </c>
      <c r="F274" s="1949" t="s">
        <v>586</v>
      </c>
      <c r="G274" s="1950" t="s">
        <v>811</v>
      </c>
      <c r="H274" s="1211" t="s">
        <v>901</v>
      </c>
      <c r="I274" s="1951">
        <f>ROUND(IF(E274=2.5,S251,IF(E274=3,S252,IF(E274=4,S253,IF(E274=5,S254,IF(E274=6,S255,IF(E274=7,S256,IF(E274=8,S257,S258))))))),2)</f>
        <v>8.33</v>
      </c>
      <c r="J274" s="1853" t="s">
        <v>812</v>
      </c>
      <c r="K274" s="2047"/>
      <c r="L274" s="1208"/>
      <c r="M274" s="1228"/>
      <c r="N274" s="1211"/>
      <c r="O274" s="1211"/>
    </row>
    <row r="275" spans="1:15" ht="20.100000000000001" customHeight="1">
      <c r="A275" s="1928"/>
      <c r="B275" s="1367" t="s">
        <v>1626</v>
      </c>
      <c r="C275" s="1367"/>
      <c r="D275" s="1367"/>
      <c r="E275" s="1948">
        <f>F262</f>
        <v>5</v>
      </c>
      <c r="F275" s="1949" t="s">
        <v>586</v>
      </c>
      <c r="H275" s="1928" t="s">
        <v>901</v>
      </c>
      <c r="I275" s="1951">
        <f>ROUND(IF(E275=2.5,N251,IF(E275=3,N252,IF(E275=4,N253,IF(E275=5,N254,IF(E275=6,N255,IF(E275=7,N256,IF(E275=8,N257,N258)))))))*R251*I274,2)*1.1</f>
        <v>113.718</v>
      </c>
      <c r="J275" s="1881" t="s">
        <v>815</v>
      </c>
      <c r="K275" s="2047"/>
      <c r="L275" s="1208"/>
      <c r="M275" s="1228"/>
      <c r="N275" s="1211"/>
      <c r="O275" s="1211"/>
    </row>
    <row r="276" spans="1:15" ht="20.100000000000001" customHeight="1">
      <c r="A276" s="1928"/>
      <c r="B276" s="1367" t="s">
        <v>1601</v>
      </c>
      <c r="C276" s="1367"/>
      <c r="D276" s="1948"/>
      <c r="E276" s="1367"/>
      <c r="F276" s="1942"/>
      <c r="G276" s="1930"/>
      <c r="H276" s="1928" t="s">
        <v>901</v>
      </c>
      <c r="I276" s="1946" t="e">
        <f>I265+I266+I268+I269+I270+I271+I273</f>
        <v>#DIV/0!</v>
      </c>
      <c r="J276" s="1881" t="s">
        <v>815</v>
      </c>
      <c r="K276" s="2047"/>
      <c r="L276" s="1208"/>
      <c r="M276" s="1228"/>
      <c r="N276" s="1211"/>
      <c r="O276" s="1211"/>
    </row>
    <row r="277" spans="1:15" ht="20.100000000000001" customHeight="1">
      <c r="A277" s="1928"/>
      <c r="B277" s="1367" t="s">
        <v>1602</v>
      </c>
      <c r="C277" s="1367"/>
      <c r="D277" s="1954"/>
      <c r="E277" s="1367"/>
      <c r="H277" s="1928" t="s">
        <v>901</v>
      </c>
      <c r="I277" s="1946" t="e">
        <f>I265+I266+I268+I269+I270+I271+I275</f>
        <v>#DIV/0!</v>
      </c>
      <c r="J277" s="1881" t="s">
        <v>815</v>
      </c>
      <c r="K277" s="2047"/>
      <c r="L277" s="1208"/>
      <c r="M277" s="1228"/>
      <c r="N277" s="1211"/>
      <c r="O277" s="1211"/>
    </row>
    <row r="278" spans="1:15" ht="20.100000000000001" customHeight="1">
      <c r="A278" s="1928"/>
      <c r="B278" s="1930" t="s">
        <v>1603</v>
      </c>
      <c r="C278" s="1367"/>
      <c r="D278" s="1930"/>
      <c r="E278" s="1881"/>
      <c r="F278" s="1367"/>
      <c r="H278" s="1931" t="s">
        <v>901</v>
      </c>
      <c r="I278" s="1861" t="e">
        <f>ROUND((I276/I272),2)</f>
        <v>#DIV/0!</v>
      </c>
      <c r="J278" s="1929" t="s">
        <v>113</v>
      </c>
      <c r="K278" s="2047"/>
      <c r="L278" s="1208"/>
      <c r="M278" s="1228"/>
      <c r="N278" s="1211"/>
      <c r="O278" s="1211"/>
    </row>
    <row r="279" spans="1:15" ht="20.100000000000001" customHeight="1">
      <c r="A279" s="1928"/>
      <c r="B279" s="1930" t="s">
        <v>1604</v>
      </c>
      <c r="C279" s="1367"/>
      <c r="D279" s="1930"/>
      <c r="E279" s="1881"/>
      <c r="F279" s="1367"/>
      <c r="H279" s="1931" t="s">
        <v>901</v>
      </c>
      <c r="I279" s="1861" t="e">
        <f>ROUND((I277/I274),2)</f>
        <v>#DIV/0!</v>
      </c>
      <c r="J279" s="1929" t="s">
        <v>113</v>
      </c>
      <c r="K279" s="2047"/>
      <c r="L279" s="1208"/>
      <c r="M279" s="1228"/>
      <c r="N279" s="1211"/>
      <c r="O279" s="1211"/>
    </row>
    <row r="280" spans="1:15" ht="20.100000000000001" customHeight="1">
      <c r="A280" s="1859" t="s">
        <v>821</v>
      </c>
      <c r="B280" s="1859"/>
      <c r="C280" s="1859"/>
      <c r="D280" s="1859"/>
      <c r="E280" s="1859"/>
      <c r="F280" s="1859"/>
      <c r="G280" s="1859"/>
      <c r="H280" s="1859"/>
      <c r="I280" s="1859"/>
      <c r="J280" s="1859"/>
      <c r="K280" s="2052"/>
    </row>
    <row r="281" spans="1:15" ht="20.100000000000001" customHeight="1">
      <c r="A281" s="1928"/>
      <c r="B281" s="1859" t="s">
        <v>1620</v>
      </c>
      <c r="C281" s="1367"/>
      <c r="D281" s="1367"/>
      <c r="E281" s="1956"/>
      <c r="F281" s="1367"/>
      <c r="H281" s="1928"/>
      <c r="I281" s="1881"/>
      <c r="J281" s="1367"/>
      <c r="K281" s="2054"/>
    </row>
    <row r="282" spans="1:15" ht="20.100000000000001" customHeight="1">
      <c r="A282" s="1928"/>
      <c r="C282" s="1957" t="s">
        <v>1621</v>
      </c>
      <c r="D282" s="1367"/>
      <c r="E282" s="1956"/>
      <c r="F282" s="1367"/>
      <c r="H282" s="1928"/>
      <c r="I282" s="1881"/>
      <c r="J282" s="1367"/>
      <c r="K282" s="2054"/>
    </row>
    <row r="283" spans="1:15" ht="20.100000000000001" customHeight="1">
      <c r="A283" s="1928"/>
      <c r="C283" s="1957" t="s">
        <v>1622</v>
      </c>
      <c r="D283" s="1367"/>
      <c r="E283" s="1956"/>
      <c r="F283" s="1367"/>
      <c r="H283" s="1928"/>
      <c r="I283" s="1881"/>
      <c r="J283" s="1367"/>
      <c r="K283" s="2054"/>
    </row>
    <row r="284" spans="1:15" ht="20.100000000000001" customHeight="1">
      <c r="A284" s="1928"/>
      <c r="C284" s="1957" t="s">
        <v>1623</v>
      </c>
      <c r="D284" s="1367"/>
      <c r="E284" s="1956"/>
      <c r="F284" s="1367"/>
      <c r="H284" s="1928"/>
      <c r="I284" s="1956"/>
      <c r="J284" s="1958"/>
      <c r="K284" s="2047"/>
    </row>
    <row r="285" spans="1:15" ht="20.100000000000001" customHeight="1">
      <c r="A285" s="1928"/>
      <c r="C285" s="1367" t="s">
        <v>65</v>
      </c>
      <c r="D285" s="1367"/>
      <c r="E285" s="1956"/>
      <c r="F285" s="1367"/>
      <c r="H285" s="1928" t="s">
        <v>901</v>
      </c>
      <c r="I285" s="1959">
        <v>0.2</v>
      </c>
      <c r="J285" s="1367" t="s">
        <v>889</v>
      </c>
      <c r="K285" s="2047"/>
      <c r="L285" s="1208"/>
      <c r="N285" s="1228"/>
      <c r="O285" s="1211"/>
    </row>
    <row r="286" spans="1:15" ht="20.100000000000001" customHeight="1">
      <c r="A286" s="1928"/>
      <c r="C286" s="1367" t="s">
        <v>1611</v>
      </c>
      <c r="D286" s="1367"/>
      <c r="E286" s="1951"/>
      <c r="F286" s="2207" t="str">
        <f>"(ขุดลึกเฉลี่ย "&amp;I$285&amp;"0 ม.)"</f>
        <v>(ขุดลึกเฉลี่ย 0.20 ม.)</v>
      </c>
      <c r="G286" s="2207"/>
      <c r="H286" s="1928" t="s">
        <v>901</v>
      </c>
      <c r="I286" s="1951">
        <f>IF(กรอกราคาวัสดุ!$C$6=1,'ค่าเสื่อมราคา(แก้ไข26ธค.60)'!G70,'ค่าเสื่อมราคา(แก้ไข26ธค.60)'!H70)</f>
        <v>37.06</v>
      </c>
      <c r="J286" s="1367" t="s">
        <v>670</v>
      </c>
      <c r="K286" s="2047"/>
      <c r="L286" s="1208"/>
      <c r="M286" s="1367"/>
      <c r="N286" s="1228"/>
      <c r="O286" s="1211"/>
    </row>
    <row r="287" spans="1:15" ht="20.100000000000001" customHeight="1">
      <c r="A287" s="1928"/>
      <c r="C287" s="1367" t="s">
        <v>1609</v>
      </c>
      <c r="D287" s="1367"/>
      <c r="E287" s="1956"/>
      <c r="F287" s="1367"/>
      <c r="H287" s="1928" t="s">
        <v>901</v>
      </c>
      <c r="I287" s="1960">
        <v>2.15</v>
      </c>
      <c r="J287" s="1367" t="s">
        <v>1610</v>
      </c>
      <c r="K287" s="2047"/>
      <c r="L287" s="1208"/>
      <c r="M287" s="1367"/>
      <c r="N287" s="1228"/>
      <c r="O287" s="1211"/>
    </row>
    <row r="288" spans="1:15" ht="20.100000000000001" customHeight="1">
      <c r="A288" s="1928"/>
      <c r="C288" s="1367" t="s">
        <v>1618</v>
      </c>
      <c r="D288" s="1367"/>
      <c r="E288" s="1956"/>
      <c r="F288" s="1367"/>
      <c r="H288" s="1928" t="s">
        <v>901</v>
      </c>
      <c r="I288" s="1956">
        <v>0</v>
      </c>
      <c r="J288" s="1367" t="s">
        <v>1610</v>
      </c>
      <c r="K288" s="2047"/>
      <c r="L288" s="1208"/>
      <c r="M288" s="1367"/>
      <c r="N288" s="1228"/>
      <c r="O288" s="1211"/>
    </row>
    <row r="289" spans="1:15" ht="20.100000000000001" customHeight="1">
      <c r="A289" s="1928"/>
      <c r="C289" s="1367" t="s">
        <v>1613</v>
      </c>
      <c r="D289" s="1367"/>
      <c r="E289" s="1956"/>
      <c r="F289" s="1367"/>
      <c r="H289" s="1928" t="s">
        <v>901</v>
      </c>
      <c r="I289" s="1956">
        <v>0</v>
      </c>
      <c r="J289" s="1367" t="s">
        <v>136</v>
      </c>
      <c r="K289" s="2047"/>
      <c r="L289" s="1208"/>
      <c r="M289" s="1367"/>
      <c r="N289" s="1228"/>
      <c r="O289" s="1211"/>
    </row>
    <row r="290" spans="1:15" ht="20.100000000000001" customHeight="1">
      <c r="A290" s="1928"/>
      <c r="C290" s="1367" t="s">
        <v>1614</v>
      </c>
      <c r="D290" s="1367"/>
      <c r="E290" s="1956"/>
      <c r="F290" s="1367"/>
      <c r="H290" s="1928" t="s">
        <v>901</v>
      </c>
      <c r="I290" s="1956">
        <v>0</v>
      </c>
      <c r="J290" s="1367" t="s">
        <v>670</v>
      </c>
      <c r="K290" s="2047"/>
      <c r="L290" s="1208"/>
      <c r="M290" s="2208" t="s">
        <v>605</v>
      </c>
      <c r="N290" s="2208"/>
      <c r="O290" s="2208"/>
    </row>
    <row r="291" spans="1:15" ht="20.100000000000001" customHeight="1">
      <c r="A291" s="1928"/>
      <c r="C291" s="1367" t="s">
        <v>1608</v>
      </c>
      <c r="D291" s="1367"/>
      <c r="E291" s="1956"/>
      <c r="F291" s="1367"/>
      <c r="H291" s="1928" t="s">
        <v>901</v>
      </c>
      <c r="I291" s="1959">
        <v>3.2</v>
      </c>
      <c r="J291" s="1367" t="s">
        <v>494</v>
      </c>
      <c r="K291" s="2047"/>
      <c r="L291" s="1208"/>
      <c r="M291" s="1228"/>
      <c r="N291" s="1211" t="s">
        <v>925</v>
      </c>
      <c r="O291" s="1228"/>
    </row>
    <row r="292" spans="1:15" ht="20.100000000000001" customHeight="1">
      <c r="A292" s="1928"/>
      <c r="C292" s="1367" t="s">
        <v>1619</v>
      </c>
      <c r="D292" s="1367"/>
      <c r="E292" s="1956"/>
      <c r="F292" s="2207" t="str">
        <f>"(ขุดลึกเฉลี่ย "&amp;I$285&amp;"0 ม.)"</f>
        <v>(ขุดลึกเฉลี่ย 0.20 ม.)</v>
      </c>
      <c r="G292" s="2207"/>
      <c r="H292" s="1928" t="s">
        <v>901</v>
      </c>
      <c r="I292" s="1961">
        <f>(I285*(I291/100)*I287)</f>
        <v>1.376E-2</v>
      </c>
      <c r="J292" s="1958" t="s">
        <v>64</v>
      </c>
      <c r="K292" s="2047"/>
      <c r="L292" s="1208"/>
      <c r="M292" s="1962" t="s">
        <v>606</v>
      </c>
      <c r="N292" s="1783">
        <v>0.15</v>
      </c>
      <c r="O292" s="1963">
        <f>IF(กรอกราคาวัสดุ!$C$6=1,'ค่าเสื่อมราคา(แก้ไข26ธค.60)'!G69,'ค่าเสื่อมราคา(แก้ไข26ธค.60)'!G69)</f>
        <v>29.659999999999997</v>
      </c>
    </row>
    <row r="293" spans="1:15" ht="20.100000000000001" customHeight="1">
      <c r="A293" s="1928"/>
      <c r="C293" s="1367" t="s">
        <v>1617</v>
      </c>
      <c r="D293" s="1367"/>
      <c r="E293" s="1956"/>
      <c r="F293" s="1367"/>
      <c r="H293" s="1928" t="s">
        <v>901</v>
      </c>
      <c r="I293" s="1956">
        <f>I321</f>
        <v>2771.28</v>
      </c>
      <c r="J293" s="1367" t="s">
        <v>136</v>
      </c>
      <c r="L293" s="1208"/>
      <c r="M293" s="1962" t="s">
        <v>607</v>
      </c>
      <c r="N293" s="1783">
        <v>0.2</v>
      </c>
      <c r="O293" s="1963">
        <f>IF(กรอกราคาวัสดุ!$C$6=1,'ค่าเสื่อมราคา(แก้ไข26ธค.60)'!G70,'ค่าเสื่อมราคา(แก้ไข26ธค.60)'!G70)</f>
        <v>37.06</v>
      </c>
    </row>
    <row r="294" spans="1:15" ht="20.100000000000001" customHeight="1">
      <c r="A294" s="1928"/>
      <c r="C294" s="1208" t="s">
        <v>449</v>
      </c>
      <c r="E294" s="1208"/>
      <c r="G294" s="1208"/>
      <c r="H294" s="1928" t="s">
        <v>901</v>
      </c>
      <c r="I294" s="1956">
        <f>ROUND((I292*I293),2)</f>
        <v>38.130000000000003</v>
      </c>
      <c r="J294" s="1367" t="s">
        <v>670</v>
      </c>
      <c r="K294" s="2047"/>
      <c r="L294" s="1208"/>
      <c r="M294" s="1962" t="s">
        <v>608</v>
      </c>
      <c r="N294" s="1783">
        <v>0.25</v>
      </c>
      <c r="O294" s="1963">
        <f>IF(กรอกราคาวัสดุ!$C$6=1,'ค่าเสื่อมราคา(แก้ไข26ธค.60)'!G71,'ค่าเสื่อมราคา(แก้ไข26ธค.60)'!G71)</f>
        <v>49.43</v>
      </c>
    </row>
    <row r="295" spans="1:15" ht="20.100000000000001" customHeight="1">
      <c r="A295" s="1928"/>
      <c r="C295" s="1367" t="s">
        <v>1615</v>
      </c>
      <c r="D295" s="1367"/>
      <c r="E295" s="1956"/>
      <c r="F295" s="1367"/>
      <c r="H295" s="1928" t="s">
        <v>901</v>
      </c>
      <c r="I295" s="1956">
        <f>SUM(I286,I294)</f>
        <v>75.19</v>
      </c>
      <c r="J295" s="1958" t="s">
        <v>113</v>
      </c>
      <c r="K295" s="2047"/>
      <c r="L295" s="1208"/>
      <c r="M295" s="1228"/>
      <c r="N295" s="1211"/>
      <c r="O295" s="1211"/>
    </row>
    <row r="296" spans="1:15" ht="20.100000000000001" customHeight="1">
      <c r="A296" s="1928"/>
      <c r="C296" s="2068" t="s">
        <v>1612</v>
      </c>
      <c r="D296" s="1367"/>
      <c r="E296" s="1956"/>
      <c r="F296" s="1367"/>
      <c r="H296" s="1928" t="s">
        <v>901</v>
      </c>
      <c r="I296" s="1951">
        <f>IF(กรอกราคาวัสดุ!$C$6=1,'ค่าเสื่อมราคา(แก้ไข26ธค.60)'!G67)*I285</f>
        <v>10.084000000000001</v>
      </c>
      <c r="J296" s="1958" t="s">
        <v>113</v>
      </c>
      <c r="K296" s="2047"/>
      <c r="L296" s="1208"/>
      <c r="M296" s="1964"/>
      <c r="N296" s="1211"/>
      <c r="O296" s="1211"/>
    </row>
    <row r="297" spans="1:15" ht="20.100000000000001" customHeight="1">
      <c r="A297" s="1928"/>
      <c r="C297" s="1367" t="s">
        <v>1616</v>
      </c>
      <c r="D297" s="1367"/>
      <c r="E297" s="1956"/>
      <c r="F297" s="1367"/>
      <c r="H297" s="1928" t="s">
        <v>901</v>
      </c>
      <c r="I297" s="1956">
        <f>ROUND((I295+I296),2)</f>
        <v>85.27</v>
      </c>
      <c r="J297" s="1958" t="s">
        <v>113</v>
      </c>
      <c r="K297" s="2047"/>
      <c r="L297" s="1208"/>
      <c r="M297" s="1228"/>
      <c r="N297" s="1211"/>
      <c r="O297" s="1211"/>
    </row>
    <row r="298" spans="1:15" ht="20.100000000000001" customHeight="1">
      <c r="A298" s="1965" t="s">
        <v>822</v>
      </c>
      <c r="B298" s="1965"/>
      <c r="C298" s="1965"/>
      <c r="D298" s="1965"/>
      <c r="E298" s="1965"/>
      <c r="F298" s="1965"/>
      <c r="G298" s="1965"/>
      <c r="H298" s="1965"/>
      <c r="I298" s="1965"/>
      <c r="J298" s="1965"/>
      <c r="K298" s="2055"/>
      <c r="L298" s="1367"/>
      <c r="M298" s="1228"/>
      <c r="N298" s="1211"/>
      <c r="O298" s="1211"/>
    </row>
    <row r="299" spans="1:15" ht="20.100000000000001" customHeight="1">
      <c r="A299" s="1966"/>
      <c r="B299" s="1367" t="s">
        <v>337</v>
      </c>
      <c r="C299" s="1367"/>
      <c r="D299" s="1367"/>
      <c r="E299" s="1951"/>
      <c r="F299" s="1367"/>
      <c r="H299" s="1928"/>
      <c r="I299" s="1881"/>
      <c r="J299" s="1928"/>
      <c r="K299" s="2056"/>
      <c r="L299" s="1367"/>
      <c r="M299" s="1228"/>
      <c r="N299" s="1211"/>
      <c r="O299" s="1211"/>
    </row>
    <row r="300" spans="1:15" ht="20.100000000000001" customHeight="1">
      <c r="A300" s="1966"/>
      <c r="B300" s="1367" t="s">
        <v>1065</v>
      </c>
      <c r="C300" s="1367"/>
      <c r="D300" s="1367"/>
      <c r="E300" s="1951"/>
      <c r="F300" s="1367"/>
      <c r="H300" s="1928" t="s">
        <v>901</v>
      </c>
      <c r="I300" s="1951">
        <f>IF(กรอกราคาวัสดุ!$C$6=1,'ค่าเสื่อมราคา(แก้ไข26ธค.60)'!G34,'ค่าเสื่อมราคา(แก้ไข26ธค.60)'!H34)</f>
        <v>11.95</v>
      </c>
      <c r="J300" s="1367" t="s">
        <v>670</v>
      </c>
      <c r="K300" s="2044"/>
      <c r="L300" s="1367"/>
      <c r="M300" s="1228"/>
      <c r="N300" s="1211"/>
      <c r="O300" s="1211"/>
    </row>
    <row r="301" spans="1:15" ht="20.100000000000001" customHeight="1">
      <c r="A301" s="1966"/>
      <c r="B301" s="1367" t="s">
        <v>904</v>
      </c>
      <c r="C301" s="1367"/>
      <c r="D301" s="1951" t="s">
        <v>1066</v>
      </c>
      <c r="E301" s="1967">
        <v>0.2</v>
      </c>
      <c r="F301" s="1367" t="s">
        <v>1067</v>
      </c>
      <c r="H301" s="1928" t="s">
        <v>901</v>
      </c>
      <c r="I301" s="1951">
        <f>IF(กรอกราคาวัสดุ!$C$6=1,'ค่าเสื่อมราคา(แก้ไข26ธค.60)'!G33,'ค่าเสื่อมราคา(แก้ไข26ธค.60)'!H33)</f>
        <v>14.89</v>
      </c>
      <c r="J301" s="1367" t="s">
        <v>670</v>
      </c>
      <c r="K301" s="2044"/>
      <c r="L301" s="1367"/>
      <c r="M301" s="1228"/>
      <c r="N301" s="1211"/>
      <c r="O301" s="1211"/>
    </row>
    <row r="302" spans="1:15" ht="20.100000000000001" customHeight="1">
      <c r="A302" s="1966"/>
      <c r="B302" s="1367" t="s">
        <v>0</v>
      </c>
      <c r="C302" s="1367"/>
      <c r="D302" s="1951" t="s">
        <v>1066</v>
      </c>
      <c r="E302" s="1967">
        <v>0.2</v>
      </c>
      <c r="F302" s="1367" t="s">
        <v>1067</v>
      </c>
      <c r="H302" s="1928" t="s">
        <v>901</v>
      </c>
      <c r="I302" s="1951">
        <f>ROUND(I167*E302,2)</f>
        <v>127.48</v>
      </c>
      <c r="J302" s="1367" t="s">
        <v>670</v>
      </c>
      <c r="K302" s="2044"/>
      <c r="L302" s="1367"/>
      <c r="M302" s="1228"/>
      <c r="N302" s="1211"/>
      <c r="O302" s="1211"/>
    </row>
    <row r="303" spans="1:15" ht="20.100000000000001" customHeight="1">
      <c r="A303" s="1966"/>
      <c r="B303" s="1367" t="s">
        <v>1</v>
      </c>
      <c r="C303" s="1367"/>
      <c r="D303" s="1367"/>
      <c r="E303" s="1951"/>
      <c r="F303" s="1367"/>
      <c r="H303" s="1928" t="s">
        <v>901</v>
      </c>
      <c r="I303" s="1951">
        <f>I203</f>
        <v>27.635510000000004</v>
      </c>
      <c r="J303" s="1367" t="s">
        <v>670</v>
      </c>
      <c r="K303" s="2044"/>
      <c r="L303" s="1367"/>
      <c r="M303" s="1228"/>
      <c r="N303" s="1211"/>
      <c r="O303" s="1211"/>
    </row>
    <row r="304" spans="1:15" ht="20.100000000000001" customHeight="1">
      <c r="A304" s="1966"/>
      <c r="B304" s="1367" t="s">
        <v>338</v>
      </c>
      <c r="C304" s="1367"/>
      <c r="D304" s="1951" t="s">
        <v>1066</v>
      </c>
      <c r="E304" s="1968">
        <f>E301</f>
        <v>0.2</v>
      </c>
      <c r="F304" s="1367" t="s">
        <v>1067</v>
      </c>
      <c r="H304" s="1928" t="s">
        <v>901</v>
      </c>
      <c r="I304" s="1951">
        <f>IF(กรอกราคาวัสดุ!$C$6=1,'ค่าเสื่อมราคา(แก้ไข26ธค.60)'!G28,'ค่าเสื่อมราคา(แก้ไข26ธค.60)'!H28)*E304</f>
        <v>5.1140000000000008</v>
      </c>
      <c r="J304" s="1367" t="s">
        <v>670</v>
      </c>
      <c r="K304" s="2044"/>
      <c r="L304" s="1367"/>
      <c r="M304" s="1228"/>
      <c r="N304" s="1211"/>
      <c r="O304" s="1211"/>
    </row>
    <row r="305" spans="1:15" ht="20.100000000000001" customHeight="1">
      <c r="A305" s="1966"/>
      <c r="B305" s="1367" t="s">
        <v>339</v>
      </c>
      <c r="C305" s="1367"/>
      <c r="D305" s="1951" t="s">
        <v>1066</v>
      </c>
      <c r="E305" s="1968">
        <f>E304</f>
        <v>0.2</v>
      </c>
      <c r="F305" s="1367" t="s">
        <v>1067</v>
      </c>
      <c r="H305" s="1928" t="s">
        <v>901</v>
      </c>
      <c r="I305" s="1951">
        <f>IF(กรอกราคาวัสดุ!$C$6=1,'ค่าเสื่อมราคา(แก้ไข26ธค.60)'!G29,'ค่าเสื่อมราคา(แก้ไข26ธค.60)'!H29)*E304</f>
        <v>18.398000000000003</v>
      </c>
      <c r="J305" s="1367" t="s">
        <v>670</v>
      </c>
      <c r="K305" s="2044"/>
      <c r="L305" s="1367"/>
      <c r="M305" s="1228"/>
      <c r="N305" s="1211"/>
      <c r="O305" s="1211"/>
    </row>
    <row r="306" spans="1:15" ht="20.100000000000001" customHeight="1">
      <c r="A306" s="1966"/>
      <c r="B306" s="1367" t="s">
        <v>340</v>
      </c>
      <c r="C306" s="1367"/>
      <c r="D306" s="1367"/>
      <c r="E306" s="1951"/>
      <c r="F306" s="1367"/>
      <c r="H306" s="1928" t="s">
        <v>901</v>
      </c>
      <c r="I306" s="1951">
        <f>IF(I303&gt;0,'ค่าเสื่อมราคา(แก้ไข26ธค.60)'!G35,0)</f>
        <v>8.0499999999999989</v>
      </c>
      <c r="J306" s="1367" t="s">
        <v>670</v>
      </c>
      <c r="K306" s="2044"/>
      <c r="L306" s="1367"/>
      <c r="M306" s="1228"/>
      <c r="N306" s="1211"/>
      <c r="O306" s="1211"/>
    </row>
    <row r="307" spans="1:15" ht="20.100000000000001" customHeight="1">
      <c r="A307" s="1966"/>
      <c r="B307" s="1367" t="s">
        <v>463</v>
      </c>
      <c r="C307" s="1367"/>
      <c r="D307" s="1367"/>
      <c r="E307" s="1951"/>
      <c r="F307" s="1367"/>
      <c r="H307" s="1367"/>
      <c r="I307" s="1951">
        <f>SUM(I304:I306)</f>
        <v>31.562000000000005</v>
      </c>
      <c r="J307" s="1367" t="s">
        <v>670</v>
      </c>
      <c r="K307" s="2044"/>
      <c r="L307" s="1367"/>
      <c r="M307" s="1228"/>
      <c r="N307" s="1211"/>
      <c r="O307" s="1211"/>
    </row>
    <row r="308" spans="1:15" ht="20.100000000000001" customHeight="1">
      <c r="A308" s="1966"/>
      <c r="B308" s="1367" t="s">
        <v>341</v>
      </c>
      <c r="C308" s="1367"/>
      <c r="D308" s="1367"/>
      <c r="E308" s="1951"/>
      <c r="F308" s="1367"/>
      <c r="H308" s="1367" t="s">
        <v>901</v>
      </c>
      <c r="I308" s="1969">
        <f>SUM(I300:I302)</f>
        <v>154.32</v>
      </c>
      <c r="J308" s="1367" t="s">
        <v>670</v>
      </c>
      <c r="K308" s="2044"/>
      <c r="L308" s="1367"/>
      <c r="M308" s="1228"/>
      <c r="N308" s="1211"/>
      <c r="O308" s="1211"/>
    </row>
    <row r="309" spans="1:15" ht="20.100000000000001" customHeight="1">
      <c r="A309" s="1859" t="s">
        <v>823</v>
      </c>
      <c r="B309" s="1859"/>
      <c r="C309" s="1859"/>
      <c r="D309" s="1859"/>
      <c r="E309" s="1859"/>
      <c r="F309" s="1859"/>
      <c r="G309" s="1859"/>
      <c r="H309" s="1859"/>
      <c r="I309" s="1859"/>
      <c r="J309" s="1859"/>
      <c r="K309" s="2052"/>
      <c r="L309" s="1367"/>
      <c r="M309" s="1228"/>
      <c r="N309" s="1211"/>
      <c r="O309" s="1211"/>
    </row>
    <row r="310" spans="1:15" ht="20.100000000000001" customHeight="1">
      <c r="A310" s="1966"/>
      <c r="B310" s="1367" t="s">
        <v>3</v>
      </c>
      <c r="C310" s="1367"/>
      <c r="D310" s="1367"/>
      <c r="E310" s="1951"/>
      <c r="F310" s="1367"/>
      <c r="H310" s="1928" t="s">
        <v>901</v>
      </c>
      <c r="I310" s="1951">
        <f>I213</f>
        <v>16.190000000000001</v>
      </c>
      <c r="J310" s="1367" t="s">
        <v>670</v>
      </c>
      <c r="K310" s="2044"/>
      <c r="L310" s="1367"/>
      <c r="M310" s="1228"/>
      <c r="N310" s="1211"/>
      <c r="O310" s="1211"/>
    </row>
    <row r="311" spans="1:15" ht="20.100000000000001" customHeight="1">
      <c r="A311" s="1966"/>
      <c r="B311" s="1367" t="s">
        <v>2</v>
      </c>
      <c r="C311" s="1367"/>
      <c r="D311" s="1367"/>
      <c r="E311" s="1951"/>
      <c r="F311" s="1367"/>
      <c r="H311" s="1928"/>
      <c r="I311" s="1956"/>
      <c r="J311" s="1367"/>
      <c r="K311" s="2044"/>
      <c r="L311" s="1367"/>
      <c r="M311" s="1228"/>
      <c r="N311" s="1211"/>
      <c r="O311" s="1211"/>
    </row>
    <row r="312" spans="1:15" ht="20.100000000000001" customHeight="1">
      <c r="A312" s="1966"/>
      <c r="B312" s="1367" t="s">
        <v>44</v>
      </c>
      <c r="C312" s="1367"/>
      <c r="D312" s="1367"/>
      <c r="E312" s="1951"/>
      <c r="F312" s="1367"/>
      <c r="H312" s="1928" t="s">
        <v>901</v>
      </c>
      <c r="I312" s="1951">
        <f>I187*(P199+0.73857*I198+0.02183*I197+0.0615*I194)+D</f>
        <v>3094.8308158679997</v>
      </c>
      <c r="J312" s="1367" t="s">
        <v>670</v>
      </c>
      <c r="K312" s="2044"/>
      <c r="L312" s="1367"/>
      <c r="M312" s="1228"/>
      <c r="N312" s="1211"/>
      <c r="O312" s="1211"/>
    </row>
    <row r="313" spans="1:15" ht="20.100000000000001" customHeight="1">
      <c r="A313" s="1966"/>
      <c r="B313" s="1367" t="s">
        <v>669</v>
      </c>
      <c r="C313" s="1970">
        <f>D257</f>
        <v>0</v>
      </c>
      <c r="D313" s="1881" t="s">
        <v>45</v>
      </c>
      <c r="E313" s="1971" t="e">
        <f>41.667/C313</f>
        <v>#DIV/0!</v>
      </c>
      <c r="F313" s="1367" t="s">
        <v>671</v>
      </c>
      <c r="H313" s="1928" t="s">
        <v>901</v>
      </c>
      <c r="I313" s="1972" t="e">
        <f>I312/E313</f>
        <v>#DIV/0!</v>
      </c>
      <c r="J313" s="1367" t="s">
        <v>46</v>
      </c>
      <c r="K313" s="2044"/>
      <c r="L313" s="1367"/>
      <c r="M313" s="1228"/>
      <c r="N313" s="1211"/>
      <c r="O313" s="1211"/>
    </row>
    <row r="314" spans="1:15" ht="20.100000000000001" customHeight="1">
      <c r="A314" s="1966"/>
      <c r="B314" s="1367" t="s">
        <v>47</v>
      </c>
      <c r="C314" s="1367"/>
      <c r="D314" s="1367"/>
      <c r="E314" s="1951"/>
      <c r="F314" s="1367"/>
      <c r="H314" s="1928" t="s">
        <v>901</v>
      </c>
      <c r="I314" s="1951" t="e">
        <f>I310+I313</f>
        <v>#DIV/0!</v>
      </c>
      <c r="J314" s="1367" t="s">
        <v>670</v>
      </c>
      <c r="K314" s="2044"/>
      <c r="L314" s="1367"/>
      <c r="M314" s="1228"/>
      <c r="N314" s="1211"/>
      <c r="O314" s="1211"/>
    </row>
    <row r="315" spans="1:15" ht="20.100000000000001" customHeight="1">
      <c r="A315" s="1966"/>
      <c r="B315" s="1367" t="s">
        <v>342</v>
      </c>
      <c r="C315" s="1367"/>
      <c r="D315" s="1367"/>
      <c r="E315" s="1951"/>
      <c r="F315" s="1367"/>
      <c r="H315" s="1928" t="s">
        <v>901</v>
      </c>
      <c r="I315" s="1956">
        <f>I256</f>
        <v>103.38</v>
      </c>
      <c r="J315" s="1367" t="s">
        <v>670</v>
      </c>
      <c r="K315" s="2044"/>
      <c r="L315" s="1367"/>
      <c r="M315" s="1228"/>
      <c r="N315" s="1211"/>
      <c r="O315" s="1211"/>
    </row>
    <row r="316" spans="1:15" ht="20.100000000000001" customHeight="1">
      <c r="A316" s="1966"/>
      <c r="B316" s="1367" t="s">
        <v>343</v>
      </c>
      <c r="C316" s="1367"/>
      <c r="D316" s="1367"/>
      <c r="E316" s="1951"/>
      <c r="F316" s="1367"/>
      <c r="H316" s="1928" t="s">
        <v>901</v>
      </c>
      <c r="I316" s="1969" t="e">
        <f>I314</f>
        <v>#DIV/0!</v>
      </c>
      <c r="J316" s="1367" t="s">
        <v>670</v>
      </c>
      <c r="K316" s="2044"/>
      <c r="L316" s="1367"/>
      <c r="M316" s="1228"/>
      <c r="N316" s="1211"/>
      <c r="O316" s="1211"/>
    </row>
    <row r="317" spans="1:15" ht="20.100000000000001" customHeight="1">
      <c r="A317" s="1207" t="s">
        <v>824</v>
      </c>
      <c r="B317" s="1207"/>
      <c r="C317" s="1207"/>
      <c r="D317" s="1207"/>
      <c r="E317" s="1207"/>
      <c r="F317" s="1207"/>
      <c r="G317" s="1207"/>
      <c r="H317" s="1207"/>
      <c r="I317" s="1207"/>
      <c r="J317" s="1207"/>
      <c r="K317" s="2050"/>
      <c r="L317" s="1208"/>
      <c r="M317" s="1228"/>
      <c r="N317" s="1211"/>
      <c r="O317" s="1211"/>
    </row>
    <row r="318" spans="1:15" ht="20.100000000000001" customHeight="1">
      <c r="A318" s="1209"/>
      <c r="B318" s="1208" t="s">
        <v>61</v>
      </c>
      <c r="H318" s="1928" t="s">
        <v>901</v>
      </c>
      <c r="I318" s="1861">
        <f>ROUND(D27+I27,2)</f>
        <v>253.73</v>
      </c>
      <c r="J318" s="1853" t="s">
        <v>898</v>
      </c>
      <c r="K318" s="2044"/>
      <c r="L318" s="1208"/>
      <c r="M318" s="1228"/>
      <c r="N318" s="1211"/>
      <c r="O318" s="1211"/>
    </row>
    <row r="319" spans="1:15" ht="20.100000000000001" customHeight="1">
      <c r="B319" s="1208" t="s">
        <v>60</v>
      </c>
      <c r="H319" s="1928" t="s">
        <v>901</v>
      </c>
      <c r="I319" s="1861">
        <f>ROUND(D28+I28,2)</f>
        <v>338.73</v>
      </c>
      <c r="J319" s="1853" t="s">
        <v>898</v>
      </c>
      <c r="K319" s="2051"/>
      <c r="L319" s="1208"/>
      <c r="M319" s="1228"/>
      <c r="N319" s="1211"/>
      <c r="O319" s="1211"/>
    </row>
    <row r="320" spans="1:15" ht="20.100000000000001" customHeight="1">
      <c r="B320" s="1208" t="s">
        <v>62</v>
      </c>
      <c r="H320" s="1928" t="s">
        <v>901</v>
      </c>
      <c r="I320" s="1861">
        <f>ROUND(D15+I15,2)</f>
        <v>636.94000000000005</v>
      </c>
      <c r="J320" s="1853" t="s">
        <v>898</v>
      </c>
      <c r="K320" s="2044"/>
      <c r="L320" s="1208"/>
      <c r="M320" s="1228"/>
      <c r="N320" s="1211"/>
      <c r="O320" s="1211"/>
    </row>
    <row r="321" spans="2:19" ht="20.100000000000001" customHeight="1">
      <c r="B321" s="1208" t="s">
        <v>63</v>
      </c>
      <c r="H321" s="1928" t="s">
        <v>901</v>
      </c>
      <c r="I321" s="1861">
        <f>ROUND(D29+I29,2)</f>
        <v>2771.28</v>
      </c>
      <c r="J321" s="1853" t="s">
        <v>136</v>
      </c>
      <c r="K321" s="2044"/>
      <c r="L321" s="1208"/>
      <c r="M321" s="1228"/>
      <c r="N321" s="1211" t="s">
        <v>964</v>
      </c>
      <c r="O321" s="1211"/>
      <c r="P321" s="1211" t="s">
        <v>965</v>
      </c>
      <c r="Q321" s="1211"/>
      <c r="R321" s="1211" t="s">
        <v>966</v>
      </c>
    </row>
    <row r="322" spans="2:19" ht="20.100000000000001" customHeight="1">
      <c r="B322" s="1208" t="s">
        <v>512</v>
      </c>
      <c r="H322" s="1928" t="s">
        <v>901</v>
      </c>
      <c r="I322" s="1861">
        <f>IF(I321=0,0,ROUND((I321*0.42)+(I319*1.44),2))</f>
        <v>1651.71</v>
      </c>
      <c r="J322" s="1853" t="s">
        <v>898</v>
      </c>
      <c r="K322" s="2044"/>
      <c r="L322" s="1208"/>
      <c r="M322" s="1228" t="s">
        <v>963</v>
      </c>
      <c r="N322" s="1228" t="s">
        <v>963</v>
      </c>
      <c r="O322" s="1211" t="s">
        <v>578</v>
      </c>
      <c r="P322" s="1211" t="s">
        <v>578</v>
      </c>
      <c r="Q322" s="1208" t="s">
        <v>580</v>
      </c>
      <c r="R322" s="1208" t="s">
        <v>580</v>
      </c>
    </row>
    <row r="323" spans="2:19" ht="20.100000000000001" customHeight="1">
      <c r="B323" s="1208" t="s">
        <v>969</v>
      </c>
      <c r="H323" s="1928" t="s">
        <v>901</v>
      </c>
      <c r="I323" s="1861">
        <f>IF(I321=0,0,ROUND((I321*0.252)+(I319*0.624)+(I320*1),2))</f>
        <v>1546.67</v>
      </c>
      <c r="J323" s="1853" t="s">
        <v>898</v>
      </c>
      <c r="K323" s="2044"/>
      <c r="L323" s="1208" t="s">
        <v>1711</v>
      </c>
      <c r="M323" s="1228">
        <v>240</v>
      </c>
      <c r="N323" s="1973">
        <f>M323*1.05</f>
        <v>252</v>
      </c>
      <c r="O323" s="1265">
        <v>0.52</v>
      </c>
      <c r="P323" s="1974">
        <f>O323*1.2</f>
        <v>0.624</v>
      </c>
      <c r="Q323" s="1975">
        <v>0.87</v>
      </c>
      <c r="R323" s="1974">
        <f>Q323*1.15</f>
        <v>1.0004999999999999</v>
      </c>
      <c r="S323" s="1211"/>
    </row>
    <row r="324" spans="2:19" ht="20.100000000000001" customHeight="1">
      <c r="B324" s="1208" t="s">
        <v>1896</v>
      </c>
      <c r="H324" s="1928" t="s">
        <v>901</v>
      </c>
      <c r="I324" s="1861">
        <f>IF(I321=0,0,ROUND((I321*0.304)+(I319*0.744)+(I320*0.833),2))</f>
        <v>1625.06</v>
      </c>
      <c r="J324" s="1853" t="s">
        <v>898</v>
      </c>
      <c r="K324" s="2044"/>
      <c r="L324" s="1211" t="s">
        <v>1707</v>
      </c>
      <c r="M324" s="1228">
        <v>290</v>
      </c>
      <c r="N324" s="1973">
        <f>M324*1.05</f>
        <v>304.5</v>
      </c>
      <c r="O324" s="1265">
        <v>0.62</v>
      </c>
      <c r="P324" s="1974">
        <f>O324*1.2</f>
        <v>0.74399999999999999</v>
      </c>
      <c r="Q324" s="1975">
        <v>0.72499999999999998</v>
      </c>
      <c r="R324" s="1974">
        <f>Q324*1.15</f>
        <v>0.83374999999999988</v>
      </c>
    </row>
    <row r="325" spans="2:19" ht="20.100000000000001" customHeight="1">
      <c r="B325" s="1208" t="s">
        <v>967</v>
      </c>
      <c r="H325" s="1928" t="s">
        <v>901</v>
      </c>
      <c r="I325" s="1861">
        <f>IF(I321=0,0,ROUND((I321*0.336)+(I319*0.715)+(I320*0.878),2))</f>
        <v>1732.58</v>
      </c>
      <c r="J325" s="1853" t="s">
        <v>898</v>
      </c>
      <c r="K325" s="2044"/>
      <c r="L325" s="1211" t="s">
        <v>1708</v>
      </c>
      <c r="M325" s="1228">
        <v>320</v>
      </c>
      <c r="N325" s="1973">
        <f>M325*1.05</f>
        <v>336</v>
      </c>
      <c r="O325" s="1265">
        <v>0.59599999999999997</v>
      </c>
      <c r="P325" s="1974">
        <f>O325*1.2</f>
        <v>0.71519999999999995</v>
      </c>
      <c r="Q325" s="1975">
        <v>0.76400000000000001</v>
      </c>
      <c r="R325" s="1974">
        <f>Q325*1.15</f>
        <v>0.87859999999999994</v>
      </c>
    </row>
    <row r="326" spans="2:19" ht="20.100000000000001" customHeight="1">
      <c r="B326" s="1208" t="s">
        <v>968</v>
      </c>
      <c r="H326" s="1928" t="s">
        <v>901</v>
      </c>
      <c r="I326" s="1861">
        <f>IF(I321=0,0,ROUND((I321*0.367)+(I319*0.686)+(I320*0.846),2))</f>
        <v>1788.28</v>
      </c>
      <c r="J326" s="1853" t="s">
        <v>898</v>
      </c>
      <c r="K326" s="2044"/>
      <c r="L326" s="1211" t="s">
        <v>1709</v>
      </c>
      <c r="M326" s="1228">
        <v>350</v>
      </c>
      <c r="N326" s="1973">
        <f>M326*1.05</f>
        <v>367.5</v>
      </c>
      <c r="O326" s="1265">
        <v>0.57199999999999995</v>
      </c>
      <c r="P326" s="1974">
        <f>O326*1.2</f>
        <v>0.6863999999999999</v>
      </c>
      <c r="Q326" s="1975">
        <v>0.73599999999999999</v>
      </c>
      <c r="R326" s="1974">
        <f>Q326*1.15</f>
        <v>0.84639999999999993</v>
      </c>
    </row>
    <row r="327" spans="2:19" ht="20.100000000000001" customHeight="1">
      <c r="B327" s="1208" t="s">
        <v>1897</v>
      </c>
      <c r="H327" s="1928" t="s">
        <v>901</v>
      </c>
      <c r="I327" s="1861">
        <f>IF(I321=0,0,ROUND((I321*0.42)+(I319*0.628)+(I320*0.837),2))</f>
        <v>1909.78</v>
      </c>
      <c r="J327" s="1853" t="s">
        <v>898</v>
      </c>
      <c r="K327" s="2044"/>
      <c r="L327" s="1211" t="s">
        <v>1710</v>
      </c>
      <c r="M327" s="1228">
        <v>400</v>
      </c>
      <c r="N327" s="1973">
        <f>M327*1.05</f>
        <v>420</v>
      </c>
      <c r="O327" s="1265">
        <v>0.52400000000000002</v>
      </c>
      <c r="P327" s="1974">
        <f>O327*1.2</f>
        <v>0.62880000000000003</v>
      </c>
      <c r="Q327" s="1975">
        <v>0.72799999999999998</v>
      </c>
      <c r="R327" s="1974">
        <f>Q327*1.15</f>
        <v>0.83719999999999994</v>
      </c>
    </row>
    <row r="328" spans="2:19" ht="20.100000000000001" customHeight="1">
      <c r="B328" s="1208" t="s">
        <v>1930</v>
      </c>
      <c r="H328" s="1928" t="s">
        <v>901</v>
      </c>
      <c r="I328" s="1861">
        <f t="shared" ref="I328:I337" si="2">ROUND(D30+I30,2)</f>
        <v>26850.82</v>
      </c>
      <c r="J328" s="1853" t="s">
        <v>136</v>
      </c>
      <c r="K328" s="2051"/>
    </row>
    <row r="329" spans="2:19" ht="20.100000000000001" customHeight="1">
      <c r="B329" s="1208" t="s">
        <v>1928</v>
      </c>
      <c r="H329" s="1928" t="s">
        <v>901</v>
      </c>
      <c r="I329" s="1861">
        <f t="shared" si="2"/>
        <v>25215.4</v>
      </c>
      <c r="J329" s="1853" t="s">
        <v>136</v>
      </c>
      <c r="K329" s="2051"/>
      <c r="L329" s="1208"/>
      <c r="M329" s="1228"/>
      <c r="N329" s="1211"/>
      <c r="O329" s="1211"/>
    </row>
    <row r="330" spans="2:19" ht="20.100000000000001" customHeight="1">
      <c r="B330" s="1208" t="s">
        <v>1929</v>
      </c>
      <c r="H330" s="1928" t="s">
        <v>901</v>
      </c>
      <c r="I330" s="1861">
        <f t="shared" si="2"/>
        <v>28166.39</v>
      </c>
      <c r="J330" s="1853" t="s">
        <v>136</v>
      </c>
      <c r="K330" s="2051"/>
      <c r="L330" s="1208"/>
      <c r="M330" s="1228"/>
      <c r="N330" s="1211"/>
      <c r="O330" s="1211"/>
    </row>
    <row r="331" spans="2:19" ht="20.100000000000001" customHeight="1">
      <c r="B331" s="1208" t="s">
        <v>1931</v>
      </c>
      <c r="H331" s="1928" t="s">
        <v>901</v>
      </c>
      <c r="I331" s="1861">
        <f t="shared" si="2"/>
        <v>27576.39</v>
      </c>
      <c r="J331" s="1853" t="s">
        <v>136</v>
      </c>
      <c r="K331" s="2051"/>
      <c r="L331" s="1208"/>
      <c r="M331" s="1228"/>
      <c r="N331" s="1211"/>
      <c r="O331" s="1211"/>
    </row>
    <row r="332" spans="2:19" ht="20.100000000000001" customHeight="1">
      <c r="B332" s="1208" t="s">
        <v>1932</v>
      </c>
      <c r="H332" s="1928" t="s">
        <v>901</v>
      </c>
      <c r="I332" s="1861">
        <f t="shared" si="2"/>
        <v>28164.26</v>
      </c>
      <c r="J332" s="1853" t="s">
        <v>136</v>
      </c>
      <c r="K332" s="2051"/>
      <c r="L332" s="1208"/>
      <c r="M332" s="1228"/>
      <c r="N332" s="1211"/>
      <c r="O332" s="1211"/>
    </row>
    <row r="333" spans="2:19" ht="20.100000000000001" customHeight="1">
      <c r="B333" s="1208" t="s">
        <v>1933</v>
      </c>
      <c r="H333" s="1928" t="s">
        <v>901</v>
      </c>
      <c r="I333" s="1861">
        <f t="shared" si="2"/>
        <v>28164.26</v>
      </c>
      <c r="J333" s="1853" t="s">
        <v>136</v>
      </c>
      <c r="K333" s="2051"/>
      <c r="L333" s="1208"/>
      <c r="M333" s="1228"/>
      <c r="N333" s="1211"/>
      <c r="O333" s="1211"/>
    </row>
    <row r="334" spans="2:19" ht="20.100000000000001" customHeight="1">
      <c r="B334" s="1208" t="s">
        <v>1934</v>
      </c>
      <c r="H334" s="1928" t="s">
        <v>901</v>
      </c>
      <c r="I334" s="1861">
        <f t="shared" si="2"/>
        <v>24851.16</v>
      </c>
      <c r="J334" s="1853" t="s">
        <v>136</v>
      </c>
      <c r="K334" s="2051"/>
      <c r="L334" s="1208"/>
      <c r="M334" s="1228"/>
      <c r="N334" s="1211"/>
      <c r="O334" s="1211"/>
    </row>
    <row r="335" spans="2:19" ht="20.100000000000001" customHeight="1">
      <c r="B335" s="1208" t="s">
        <v>1935</v>
      </c>
      <c r="H335" s="1928" t="s">
        <v>901</v>
      </c>
      <c r="I335" s="1861">
        <f t="shared" si="2"/>
        <v>24637.87</v>
      </c>
      <c r="J335" s="1853" t="s">
        <v>136</v>
      </c>
      <c r="K335" s="2051"/>
      <c r="L335" s="1208"/>
      <c r="M335" s="1228"/>
      <c r="N335" s="1211"/>
      <c r="O335" s="1211"/>
    </row>
    <row r="336" spans="2:19" ht="20.100000000000001" customHeight="1">
      <c r="B336" s="1208" t="s">
        <v>1936</v>
      </c>
      <c r="H336" s="1928" t="s">
        <v>901</v>
      </c>
      <c r="I336" s="1861">
        <f t="shared" si="2"/>
        <v>25245.25</v>
      </c>
      <c r="J336" s="1853" t="s">
        <v>136</v>
      </c>
      <c r="K336" s="2051"/>
      <c r="L336" s="1208"/>
      <c r="M336" s="1228"/>
      <c r="N336" s="1211"/>
      <c r="O336" s="1211"/>
    </row>
    <row r="337" spans="1:15" ht="20.100000000000001" customHeight="1">
      <c r="B337" s="1208" t="s">
        <v>1937</v>
      </c>
      <c r="H337" s="1928" t="s">
        <v>901</v>
      </c>
      <c r="I337" s="1861">
        <f t="shared" si="2"/>
        <v>25245.25</v>
      </c>
      <c r="J337" s="1853" t="s">
        <v>136</v>
      </c>
      <c r="K337" s="2051"/>
      <c r="L337" s="1208"/>
      <c r="M337" s="1228"/>
      <c r="N337" s="1211"/>
      <c r="O337" s="1211"/>
    </row>
    <row r="338" spans="1:15" ht="20.100000000000001" customHeight="1">
      <c r="H338" s="1928"/>
      <c r="I338" s="1861"/>
      <c r="J338" s="1853"/>
      <c r="K338" s="2051"/>
      <c r="L338" s="1208"/>
      <c r="M338" s="1228"/>
      <c r="N338" s="1211"/>
      <c r="O338" s="1211"/>
    </row>
    <row r="339" spans="1:15" ht="20.100000000000001" customHeight="1">
      <c r="H339" s="1928"/>
      <c r="I339" s="1861"/>
      <c r="J339" s="1853"/>
      <c r="K339" s="2051"/>
      <c r="L339" s="1208"/>
      <c r="M339" s="1228"/>
      <c r="N339" s="1211"/>
      <c r="O339" s="1211"/>
    </row>
    <row r="340" spans="1:15" ht="20.100000000000001" customHeight="1">
      <c r="H340" s="1928"/>
      <c r="I340" s="1861"/>
      <c r="J340" s="1853"/>
      <c r="K340" s="2051"/>
      <c r="L340" s="1208"/>
      <c r="M340" s="1228"/>
      <c r="N340" s="1211"/>
      <c r="O340" s="1211"/>
    </row>
    <row r="341" spans="1:15" ht="20.100000000000001" customHeight="1">
      <c r="H341" s="1928"/>
      <c r="I341" s="1861"/>
      <c r="J341" s="1853"/>
      <c r="K341" s="2051"/>
      <c r="L341" s="1208"/>
      <c r="M341" s="1228"/>
      <c r="N341" s="1211"/>
      <c r="O341" s="1211"/>
    </row>
    <row r="342" spans="1:15" ht="20.100000000000001" customHeight="1">
      <c r="H342" s="1928"/>
      <c r="I342" s="1861"/>
      <c r="J342" s="1853"/>
      <c r="K342" s="2051"/>
      <c r="L342" s="1208"/>
      <c r="M342" s="1228"/>
      <c r="N342" s="1211"/>
      <c r="O342" s="1211"/>
    </row>
    <row r="343" spans="1:15" ht="20.100000000000001" customHeight="1">
      <c r="H343" s="1928"/>
      <c r="I343" s="1861"/>
      <c r="J343" s="1853"/>
      <c r="K343" s="2051"/>
      <c r="L343" s="1208"/>
      <c r="M343" s="1228"/>
      <c r="N343" s="1211"/>
      <c r="O343" s="1211"/>
    </row>
    <row r="344" spans="1:15" ht="20.100000000000001" customHeight="1">
      <c r="H344" s="1928"/>
      <c r="I344" s="1861"/>
      <c r="J344" s="1853"/>
      <c r="K344" s="2051"/>
      <c r="L344" s="1208"/>
      <c r="M344" s="1228"/>
      <c r="N344" s="1211"/>
      <c r="O344" s="1211"/>
    </row>
    <row r="345" spans="1:15" ht="20.100000000000001" customHeight="1">
      <c r="A345" s="1207" t="s">
        <v>825</v>
      </c>
      <c r="B345" s="1207"/>
      <c r="C345" s="1207"/>
      <c r="D345" s="1207"/>
      <c r="E345" s="1207"/>
      <c r="F345" s="1207"/>
      <c r="G345" s="1207"/>
      <c r="H345" s="1207"/>
      <c r="I345" s="1207"/>
      <c r="J345" s="1207"/>
      <c r="K345" s="2050"/>
      <c r="L345" s="1208"/>
      <c r="M345" s="1228"/>
      <c r="N345" s="1211"/>
      <c r="O345" s="1211"/>
    </row>
    <row r="346" spans="1:15" ht="20.100000000000001" customHeight="1">
      <c r="B346" s="1240" t="s">
        <v>1938</v>
      </c>
      <c r="C346" s="1228"/>
      <c r="D346" s="1228"/>
      <c r="H346" s="1928" t="s">
        <v>901</v>
      </c>
      <c r="I346" s="1861"/>
      <c r="J346" s="1853"/>
      <c r="K346" s="2044"/>
      <c r="L346" s="1208"/>
      <c r="M346" s="1228"/>
      <c r="N346" s="1211"/>
      <c r="O346" s="1211"/>
    </row>
    <row r="347" spans="1:15" ht="20.100000000000001" customHeight="1">
      <c r="A347" s="1895"/>
      <c r="B347" s="1208" t="s">
        <v>513</v>
      </c>
      <c r="D347" s="1853" t="s">
        <v>901</v>
      </c>
      <c r="E347" s="1861">
        <f>2+('ขนาด ท่อ'!D6+('ขนาด ท่อ'!E6*2))*1.5</f>
        <v>2.7800000000000002</v>
      </c>
      <c r="F347" s="1208" t="s">
        <v>870</v>
      </c>
      <c r="H347" s="1928" t="s">
        <v>901</v>
      </c>
      <c r="I347" s="1976">
        <f>E347*80</f>
        <v>222.40000000000003</v>
      </c>
      <c r="J347" s="1853" t="s">
        <v>869</v>
      </c>
      <c r="K347" s="2051"/>
      <c r="L347" s="1208"/>
      <c r="M347" s="1228"/>
      <c r="N347" s="1211"/>
      <c r="O347" s="1211"/>
    </row>
    <row r="348" spans="1:15" ht="20.100000000000001" customHeight="1">
      <c r="B348" s="1208" t="s">
        <v>959</v>
      </c>
      <c r="H348" s="1928" t="s">
        <v>901</v>
      </c>
      <c r="I348" s="1861">
        <f>กรอกราคาวัสดุ!D51</f>
        <v>429.91</v>
      </c>
      <c r="J348" s="1853" t="s">
        <v>869</v>
      </c>
      <c r="K348" s="2051"/>
      <c r="L348" s="1208"/>
      <c r="M348" s="1228"/>
      <c r="N348" s="1211"/>
      <c r="O348" s="1211"/>
    </row>
    <row r="349" spans="1:15" ht="20.100000000000001" customHeight="1">
      <c r="B349" s="1208" t="s">
        <v>990</v>
      </c>
      <c r="H349" s="1928" t="s">
        <v>901</v>
      </c>
      <c r="I349" s="1861">
        <f>((กรอกราคาวัสดุ!J51*13)+300)/32</f>
        <v>85.985624999999999</v>
      </c>
      <c r="J349" s="1853" t="s">
        <v>869</v>
      </c>
      <c r="K349" s="2051"/>
      <c r="L349" s="1208"/>
      <c r="M349" s="1228"/>
      <c r="N349" s="1211"/>
      <c r="O349" s="1211"/>
    </row>
    <row r="350" spans="1:15" ht="20.100000000000001" customHeight="1">
      <c r="B350" s="1208" t="s">
        <v>514</v>
      </c>
      <c r="H350" s="1928" t="s">
        <v>901</v>
      </c>
      <c r="I350" s="1861">
        <f>'ขนาด ท่อ'!M6</f>
        <v>140</v>
      </c>
      <c r="J350" s="1853" t="s">
        <v>869</v>
      </c>
      <c r="K350" s="2051"/>
      <c r="L350" s="1208"/>
      <c r="M350" s="1228"/>
      <c r="N350" s="1211"/>
      <c r="O350" s="1211"/>
    </row>
    <row r="351" spans="1:15" ht="20.100000000000001" customHeight="1">
      <c r="B351" s="1208" t="s">
        <v>871</v>
      </c>
      <c r="D351" s="1853" t="s">
        <v>901</v>
      </c>
      <c r="E351" s="1881">
        <f>ROUND(0.05*(0.4+0.06+0.06+0.6),2)</f>
        <v>0.06</v>
      </c>
      <c r="F351" s="1208" t="s">
        <v>870</v>
      </c>
      <c r="H351" s="1367" t="s">
        <v>901</v>
      </c>
      <c r="I351" s="1898">
        <f>+E351*$I$323</f>
        <v>92.800200000000004</v>
      </c>
      <c r="J351" s="1853" t="s">
        <v>918</v>
      </c>
      <c r="K351" s="2051"/>
      <c r="L351" s="1208"/>
      <c r="M351" s="1228"/>
      <c r="N351" s="1211"/>
      <c r="O351" s="1211"/>
    </row>
    <row r="352" spans="1:15" ht="20.100000000000001" customHeight="1">
      <c r="F352" s="1208" t="s">
        <v>872</v>
      </c>
      <c r="H352" s="1928" t="s">
        <v>901</v>
      </c>
      <c r="I352" s="1861">
        <f>SUM(I347:I351)</f>
        <v>971.0958250000001</v>
      </c>
      <c r="J352" s="1853" t="s">
        <v>918</v>
      </c>
      <c r="K352" s="2044"/>
      <c r="L352" s="1208"/>
      <c r="M352" s="1228"/>
      <c r="N352" s="1211"/>
      <c r="O352" s="1211"/>
    </row>
    <row r="353" spans="1:15" ht="20.100000000000001" customHeight="1">
      <c r="B353" s="1896" t="s">
        <v>1939</v>
      </c>
      <c r="H353" s="1928" t="s">
        <v>901</v>
      </c>
      <c r="I353" s="1902">
        <f>IF(I352=0,0,ROUNDDOWN(I352,-1))</f>
        <v>970</v>
      </c>
      <c r="J353" s="1853" t="s">
        <v>918</v>
      </c>
      <c r="K353" s="2044"/>
      <c r="L353" s="1208"/>
      <c r="M353" s="1228"/>
      <c r="N353" s="1211"/>
      <c r="O353" s="1211"/>
    </row>
    <row r="354" spans="1:15" ht="20.100000000000001" customHeight="1">
      <c r="B354" s="1240" t="s">
        <v>1940</v>
      </c>
      <c r="C354" s="1228"/>
      <c r="D354" s="1228"/>
      <c r="H354" s="1928" t="s">
        <v>901</v>
      </c>
      <c r="I354" s="1861"/>
      <c r="J354" s="1853"/>
      <c r="K354" s="2044"/>
      <c r="L354" s="1208"/>
      <c r="M354" s="1228"/>
      <c r="N354" s="1211"/>
      <c r="O354" s="1211"/>
    </row>
    <row r="355" spans="1:15" ht="20.100000000000001" customHeight="1">
      <c r="A355" s="1895"/>
      <c r="B355" s="1208" t="s">
        <v>513</v>
      </c>
      <c r="D355" s="1853" t="s">
        <v>901</v>
      </c>
      <c r="E355" s="1861">
        <f>2+('ขนาด ท่อ'!D8+('ขนาด ท่อ'!E8*2))*1.5</f>
        <v>3.125</v>
      </c>
      <c r="F355" s="1208" t="s">
        <v>870</v>
      </c>
      <c r="H355" s="1928" t="s">
        <v>901</v>
      </c>
      <c r="I355" s="1976">
        <f>E355*80</f>
        <v>250</v>
      </c>
      <c r="J355" s="1853" t="s">
        <v>869</v>
      </c>
      <c r="K355" s="2051"/>
      <c r="L355" s="1208"/>
      <c r="M355" s="1228"/>
      <c r="N355" s="1211"/>
      <c r="O355" s="1211"/>
    </row>
    <row r="356" spans="1:15" ht="20.100000000000001" customHeight="1">
      <c r="B356" s="1208" t="s">
        <v>959</v>
      </c>
      <c r="H356" s="1928" t="s">
        <v>901</v>
      </c>
      <c r="I356" s="1861">
        <f>กรอกราคาวัสดุ!D52</f>
        <v>682.24</v>
      </c>
      <c r="J356" s="1853" t="s">
        <v>869</v>
      </c>
      <c r="K356" s="2051"/>
      <c r="L356" s="1208"/>
      <c r="M356" s="1228"/>
      <c r="N356" s="1211"/>
      <c r="O356" s="1211"/>
    </row>
    <row r="357" spans="1:15" ht="20.100000000000001" customHeight="1">
      <c r="B357" s="1208" t="s">
        <v>990</v>
      </c>
      <c r="H357" s="1928" t="s">
        <v>901</v>
      </c>
      <c r="I357" s="1861">
        <f>((กรอกราคาวัสดุ!J52*13)+300)/24</f>
        <v>114.64749999999999</v>
      </c>
      <c r="J357" s="1853" t="s">
        <v>869</v>
      </c>
      <c r="K357" s="2051"/>
      <c r="L357" s="1208"/>
      <c r="M357" s="1228"/>
      <c r="N357" s="1211"/>
      <c r="O357" s="1211"/>
    </row>
    <row r="358" spans="1:15" ht="20.100000000000001" customHeight="1">
      <c r="B358" s="1208" t="s">
        <v>514</v>
      </c>
      <c r="H358" s="1928" t="s">
        <v>901</v>
      </c>
      <c r="I358" s="1861">
        <f>'ขนาด ท่อ'!M8</f>
        <v>345</v>
      </c>
      <c r="J358" s="1853" t="s">
        <v>869</v>
      </c>
      <c r="K358" s="2051"/>
      <c r="L358" s="1208"/>
      <c r="M358" s="1228"/>
      <c r="N358" s="1211"/>
      <c r="O358" s="1211"/>
    </row>
    <row r="359" spans="1:15" ht="20.100000000000001" customHeight="1">
      <c r="B359" s="1208" t="s">
        <v>871</v>
      </c>
      <c r="D359" s="1853" t="s">
        <v>901</v>
      </c>
      <c r="E359" s="1853">
        <f>ROUND((0.6+0.15)*0.05,2)</f>
        <v>0.04</v>
      </c>
      <c r="F359" s="1208" t="s">
        <v>870</v>
      </c>
      <c r="H359" s="1367" t="s">
        <v>901</v>
      </c>
      <c r="I359" s="1861">
        <f>+E359*$I$323</f>
        <v>61.866800000000005</v>
      </c>
      <c r="J359" s="1853" t="s">
        <v>918</v>
      </c>
      <c r="K359" s="2044"/>
      <c r="L359" s="1898"/>
      <c r="M359" s="1228"/>
      <c r="N359" s="1211"/>
      <c r="O359" s="1211"/>
    </row>
    <row r="360" spans="1:15" ht="20.100000000000001" customHeight="1">
      <c r="F360" s="1208" t="s">
        <v>872</v>
      </c>
      <c r="H360" s="1928" t="s">
        <v>901</v>
      </c>
      <c r="I360" s="1861">
        <f>SUM(I355:I359)</f>
        <v>1453.7543000000001</v>
      </c>
      <c r="J360" s="1853" t="s">
        <v>918</v>
      </c>
      <c r="K360" s="2044"/>
      <c r="L360" s="1208"/>
      <c r="M360" s="1228"/>
      <c r="N360" s="1211"/>
      <c r="O360" s="1211"/>
    </row>
    <row r="361" spans="1:15" ht="20.100000000000001" customHeight="1">
      <c r="B361" s="1896" t="s">
        <v>1941</v>
      </c>
      <c r="H361" s="1928" t="s">
        <v>901</v>
      </c>
      <c r="I361" s="1902">
        <f>IF(I360=0,0,ROUNDDOWN(I360,-1))</f>
        <v>1450</v>
      </c>
      <c r="J361" s="1853" t="s">
        <v>918</v>
      </c>
      <c r="K361" s="2044"/>
      <c r="L361" s="1208"/>
      <c r="M361" s="1228"/>
      <c r="N361" s="1211"/>
      <c r="O361" s="1211"/>
    </row>
    <row r="362" spans="1:15" ht="20.100000000000001" customHeight="1">
      <c r="B362" s="1240" t="s">
        <v>1942</v>
      </c>
      <c r="H362" s="1928" t="s">
        <v>901</v>
      </c>
      <c r="I362" s="1861"/>
      <c r="J362" s="1853"/>
      <c r="K362" s="2044"/>
      <c r="L362" s="1208"/>
      <c r="M362" s="1228"/>
      <c r="N362" s="1211"/>
      <c r="O362" s="1211"/>
    </row>
    <row r="363" spans="1:15" ht="20.100000000000001" customHeight="1">
      <c r="A363" s="1895"/>
      <c r="B363" s="1208" t="s">
        <v>513</v>
      </c>
      <c r="D363" s="1853" t="s">
        <v>901</v>
      </c>
      <c r="E363" s="1861">
        <f>2+('ขนาด ท่อ'!D9+('ขนาด ท่อ'!E9*2))*1.5</f>
        <v>3.4849999999999999</v>
      </c>
      <c r="F363" s="1208" t="s">
        <v>870</v>
      </c>
      <c r="H363" s="1928" t="s">
        <v>901</v>
      </c>
      <c r="I363" s="1976">
        <f>E363*80</f>
        <v>278.8</v>
      </c>
      <c r="J363" s="1853" t="s">
        <v>869</v>
      </c>
      <c r="K363" s="2051"/>
      <c r="L363" s="1208"/>
      <c r="M363" s="1228"/>
      <c r="N363" s="1211"/>
      <c r="O363" s="1211"/>
    </row>
    <row r="364" spans="1:15" ht="20.100000000000001" customHeight="1">
      <c r="B364" s="1208" t="s">
        <v>959</v>
      </c>
      <c r="H364" s="1928" t="s">
        <v>901</v>
      </c>
      <c r="I364" s="1861">
        <f>กรอกราคาวัสดุ!D53</f>
        <v>1196.26</v>
      </c>
      <c r="J364" s="1853" t="s">
        <v>869</v>
      </c>
      <c r="K364" s="2051"/>
      <c r="L364" s="1208"/>
      <c r="M364" s="1228"/>
      <c r="N364" s="1211"/>
      <c r="O364" s="1211"/>
    </row>
    <row r="365" spans="1:15" ht="20.100000000000001" customHeight="1">
      <c r="B365" s="1208" t="s">
        <v>990</v>
      </c>
      <c r="H365" s="1928" t="s">
        <v>901</v>
      </c>
      <c r="I365" s="1861">
        <f>((กรอกราคาวัสดุ!J53*13)+300)/18</f>
        <v>152.86333333333334</v>
      </c>
      <c r="J365" s="1853" t="s">
        <v>869</v>
      </c>
      <c r="K365" s="2051"/>
      <c r="L365" s="1208"/>
      <c r="M365" s="1228"/>
      <c r="N365" s="1211"/>
      <c r="O365" s="1211"/>
    </row>
    <row r="366" spans="1:15" ht="20.100000000000001" customHeight="1">
      <c r="B366" s="1208" t="s">
        <v>514</v>
      </c>
      <c r="H366" s="1928" t="s">
        <v>901</v>
      </c>
      <c r="I366" s="1861">
        <f>'ขนาด ท่อ'!M9</f>
        <v>421</v>
      </c>
      <c r="J366" s="1853" t="s">
        <v>869</v>
      </c>
      <c r="K366" s="2051"/>
      <c r="L366" s="1208"/>
      <c r="M366" s="1228"/>
      <c r="N366" s="1211"/>
      <c r="O366" s="1211"/>
    </row>
    <row r="367" spans="1:15" ht="20.100000000000001" customHeight="1">
      <c r="B367" s="1208" t="s">
        <v>871</v>
      </c>
      <c r="D367" s="1853" t="s">
        <v>901</v>
      </c>
      <c r="E367" s="1881">
        <f>ROUND(0.05*(1+0.11+0.11+0.6),2)</f>
        <v>0.09</v>
      </c>
      <c r="F367" s="1208" t="s">
        <v>870</v>
      </c>
      <c r="H367" s="1367" t="s">
        <v>901</v>
      </c>
      <c r="I367" s="1898">
        <f>+E367*$I$323</f>
        <v>139.2003</v>
      </c>
      <c r="J367" s="1853" t="s">
        <v>918</v>
      </c>
      <c r="K367" s="2044"/>
      <c r="L367" s="1898"/>
      <c r="M367" s="1228"/>
      <c r="N367" s="1211"/>
      <c r="O367" s="1211"/>
    </row>
    <row r="368" spans="1:15" ht="20.100000000000001" customHeight="1">
      <c r="F368" s="1208" t="s">
        <v>872</v>
      </c>
      <c r="H368" s="1928" t="s">
        <v>901</v>
      </c>
      <c r="I368" s="1861">
        <f>SUM(I363:I367)</f>
        <v>2188.1236333333331</v>
      </c>
      <c r="J368" s="1853" t="s">
        <v>918</v>
      </c>
      <c r="K368" s="2044"/>
      <c r="L368" s="1208"/>
      <c r="M368" s="1228"/>
      <c r="N368" s="1211"/>
      <c r="O368" s="1211"/>
    </row>
    <row r="369" spans="1:15" ht="20.100000000000001" customHeight="1">
      <c r="B369" s="1896" t="s">
        <v>1943</v>
      </c>
      <c r="H369" s="1928" t="s">
        <v>901</v>
      </c>
      <c r="I369" s="1902">
        <f>IF(I368=0,0,ROUNDDOWN(I368,-1))</f>
        <v>2180</v>
      </c>
      <c r="J369" s="1853" t="s">
        <v>918</v>
      </c>
      <c r="K369" s="2044"/>
      <c r="L369" s="1208"/>
      <c r="M369" s="1228"/>
      <c r="N369" s="1211"/>
      <c r="O369" s="1211"/>
    </row>
    <row r="370" spans="1:15" ht="20.100000000000001" customHeight="1">
      <c r="B370" s="1240" t="s">
        <v>1944</v>
      </c>
      <c r="H370" s="1928" t="s">
        <v>901</v>
      </c>
      <c r="I370" s="1861"/>
      <c r="J370" s="1853"/>
      <c r="K370" s="2044"/>
      <c r="L370" s="1208"/>
      <c r="M370" s="1228"/>
      <c r="N370" s="1211"/>
      <c r="O370" s="1211"/>
    </row>
    <row r="371" spans="1:15" ht="20.100000000000001" customHeight="1">
      <c r="A371" s="1895"/>
      <c r="B371" s="1208" t="s">
        <v>513</v>
      </c>
      <c r="D371" s="1853" t="s">
        <v>901</v>
      </c>
      <c r="E371" s="1861">
        <f>2+('ขนาด ท่อ'!D10+('ขนาด ท่อ'!E10*2))*1.5</f>
        <v>3.83</v>
      </c>
      <c r="F371" s="1208" t="s">
        <v>870</v>
      </c>
      <c r="H371" s="1928" t="s">
        <v>901</v>
      </c>
      <c r="I371" s="1976">
        <f>E371*80</f>
        <v>306.39999999999998</v>
      </c>
      <c r="J371" s="1853" t="s">
        <v>869</v>
      </c>
      <c r="K371" s="2051"/>
      <c r="L371" s="1208"/>
      <c r="M371" s="1228"/>
      <c r="N371" s="1211"/>
      <c r="O371" s="1211"/>
    </row>
    <row r="372" spans="1:15" ht="20.100000000000001" customHeight="1">
      <c r="B372" s="1208" t="s">
        <v>959</v>
      </c>
      <c r="H372" s="1928" t="s">
        <v>901</v>
      </c>
      <c r="I372" s="1861">
        <f>กรอกราคาวัสดุ!D54</f>
        <v>1850.47</v>
      </c>
      <c r="J372" s="1853" t="s">
        <v>869</v>
      </c>
      <c r="K372" s="2051"/>
      <c r="L372" s="1208"/>
      <c r="M372" s="1228"/>
      <c r="N372" s="1211"/>
      <c r="O372" s="1211"/>
    </row>
    <row r="373" spans="1:15" ht="20.100000000000001" customHeight="1">
      <c r="B373" s="1208" t="s">
        <v>990</v>
      </c>
      <c r="H373" s="1928" t="s">
        <v>901</v>
      </c>
      <c r="I373" s="1861">
        <f>((กรอกราคาวัสดุ!J54*13)+300)/10</f>
        <v>275.154</v>
      </c>
      <c r="J373" s="1853" t="s">
        <v>869</v>
      </c>
      <c r="K373" s="2051"/>
      <c r="L373" s="1208"/>
      <c r="M373" s="1228"/>
      <c r="N373" s="1211"/>
      <c r="O373" s="1211"/>
    </row>
    <row r="374" spans="1:15" ht="20.100000000000001" customHeight="1">
      <c r="B374" s="1208" t="s">
        <v>514</v>
      </c>
      <c r="H374" s="1928" t="s">
        <v>901</v>
      </c>
      <c r="I374" s="1861">
        <f>'ขนาด ท่อ'!M10</f>
        <v>510</v>
      </c>
      <c r="J374" s="1853" t="s">
        <v>869</v>
      </c>
      <c r="K374" s="2051"/>
      <c r="L374" s="1208"/>
      <c r="M374" s="1228"/>
      <c r="N374" s="1211"/>
      <c r="O374" s="1211"/>
    </row>
    <row r="375" spans="1:15" ht="20.100000000000001" customHeight="1">
      <c r="B375" s="1208" t="s">
        <v>871</v>
      </c>
      <c r="D375" s="1853" t="s">
        <v>901</v>
      </c>
      <c r="E375" s="1881">
        <f>ROUND(0.05*(1+0.11+0.11+0.6),2)</f>
        <v>0.09</v>
      </c>
      <c r="F375" s="1208" t="s">
        <v>870</v>
      </c>
      <c r="H375" s="1367" t="s">
        <v>901</v>
      </c>
      <c r="I375" s="1898">
        <f>+E375*$I$323</f>
        <v>139.2003</v>
      </c>
      <c r="J375" s="1853" t="s">
        <v>918</v>
      </c>
      <c r="K375" s="2044"/>
      <c r="L375" s="1898"/>
      <c r="M375" s="1228"/>
      <c r="N375" s="1211"/>
      <c r="O375" s="1211"/>
    </row>
    <row r="376" spans="1:15" ht="20.100000000000001" customHeight="1">
      <c r="F376" s="1208" t="s">
        <v>872</v>
      </c>
      <c r="H376" s="1928" t="s">
        <v>901</v>
      </c>
      <c r="I376" s="1861">
        <f>SUM(I371:I375)</f>
        <v>3081.2242999999999</v>
      </c>
      <c r="J376" s="1853" t="s">
        <v>918</v>
      </c>
      <c r="K376" s="2044"/>
      <c r="L376" s="1208"/>
      <c r="M376" s="1228"/>
      <c r="N376" s="1211"/>
      <c r="O376" s="1211"/>
    </row>
    <row r="377" spans="1:15" ht="20.100000000000001" customHeight="1">
      <c r="B377" s="1896" t="s">
        <v>1945</v>
      </c>
      <c r="H377" s="1928" t="s">
        <v>901</v>
      </c>
      <c r="I377" s="1902">
        <f>IF(I376=0,0,ROUNDDOWN(I376,-1))</f>
        <v>3080</v>
      </c>
      <c r="J377" s="1853" t="s">
        <v>918</v>
      </c>
      <c r="K377" s="2044"/>
      <c r="L377" s="1208"/>
      <c r="M377" s="1228"/>
      <c r="N377" s="1211"/>
      <c r="O377" s="1211"/>
    </row>
    <row r="378" spans="1:15" ht="20.100000000000001" customHeight="1">
      <c r="B378" s="1240" t="s">
        <v>1946</v>
      </c>
      <c r="H378" s="1928" t="s">
        <v>901</v>
      </c>
      <c r="I378" s="1861"/>
      <c r="J378" s="1853"/>
      <c r="K378" s="2044"/>
      <c r="L378" s="1208"/>
      <c r="M378" s="1228"/>
      <c r="N378" s="1211"/>
      <c r="O378" s="1211"/>
    </row>
    <row r="379" spans="1:15" ht="20.100000000000001" customHeight="1">
      <c r="A379" s="1895"/>
      <c r="B379" s="1208" t="s">
        <v>513</v>
      </c>
      <c r="D379" s="1853" t="s">
        <v>901</v>
      </c>
      <c r="E379" s="1861">
        <f>2+('ขนาด ท่อ'!D11+('ขนาด ท่อ'!E11*2))*1.5</f>
        <v>4.1749999999999998</v>
      </c>
      <c r="F379" s="1208" t="s">
        <v>870</v>
      </c>
      <c r="H379" s="1928" t="s">
        <v>901</v>
      </c>
      <c r="I379" s="1976">
        <f>E379*80</f>
        <v>334</v>
      </c>
      <c r="J379" s="1853" t="s">
        <v>869</v>
      </c>
      <c r="K379" s="2051"/>
      <c r="L379" s="1208"/>
      <c r="M379" s="1228"/>
      <c r="N379" s="1211"/>
      <c r="O379" s="1211"/>
    </row>
    <row r="380" spans="1:15" ht="20.100000000000001" customHeight="1">
      <c r="B380" s="1208" t="s">
        <v>959</v>
      </c>
      <c r="D380" s="1853" t="s">
        <v>901</v>
      </c>
      <c r="H380" s="1928" t="s">
        <v>901</v>
      </c>
      <c r="I380" s="1861">
        <f>กรอกราคาวัสดุ!D55</f>
        <v>2878.5</v>
      </c>
      <c r="J380" s="1853" t="s">
        <v>869</v>
      </c>
      <c r="K380" s="2051"/>
      <c r="L380" s="1208"/>
      <c r="M380" s="1228"/>
      <c r="N380" s="1211"/>
      <c r="O380" s="1211"/>
    </row>
    <row r="381" spans="1:15" ht="20.100000000000001" customHeight="1">
      <c r="B381" s="1208" t="s">
        <v>990</v>
      </c>
      <c r="D381" s="1853" t="s">
        <v>901</v>
      </c>
      <c r="H381" s="1928" t="s">
        <v>901</v>
      </c>
      <c r="I381" s="1861">
        <f>((กรอกราคาวัสดุ!J55*13)+300)/8</f>
        <v>343.9425</v>
      </c>
      <c r="J381" s="1853" t="s">
        <v>869</v>
      </c>
      <c r="K381" s="2051"/>
      <c r="L381" s="1208"/>
      <c r="M381" s="1228"/>
      <c r="N381" s="1211"/>
      <c r="O381" s="1211"/>
    </row>
    <row r="382" spans="1:15" ht="20.100000000000001" customHeight="1">
      <c r="B382" s="1208" t="s">
        <v>514</v>
      </c>
      <c r="D382" s="1853" t="s">
        <v>901</v>
      </c>
      <c r="H382" s="1928" t="s">
        <v>901</v>
      </c>
      <c r="I382" s="1861">
        <f>'ขนาด ท่อ'!M11</f>
        <v>575</v>
      </c>
      <c r="J382" s="1853" t="s">
        <v>869</v>
      </c>
      <c r="K382" s="2051"/>
      <c r="L382" s="1208"/>
      <c r="M382" s="1228"/>
      <c r="N382" s="1211"/>
      <c r="O382" s="1211"/>
    </row>
    <row r="383" spans="1:15" ht="20.100000000000001" customHeight="1">
      <c r="B383" s="1208" t="s">
        <v>871</v>
      </c>
      <c r="D383" s="1853" t="s">
        <v>901</v>
      </c>
      <c r="E383" s="1881">
        <f>ROUND(0.05*(1.2+0.125+0.125+0.6),2)</f>
        <v>0.1</v>
      </c>
      <c r="F383" s="1208" t="s">
        <v>870</v>
      </c>
      <c r="H383" s="1367" t="s">
        <v>901</v>
      </c>
      <c r="I383" s="1898">
        <f>+E383*$I$323</f>
        <v>154.66700000000003</v>
      </c>
      <c r="J383" s="1853" t="s">
        <v>918</v>
      </c>
      <c r="K383" s="2044"/>
      <c r="L383" s="1898"/>
      <c r="M383" s="1228"/>
      <c r="N383" s="1211"/>
      <c r="O383" s="1211"/>
    </row>
    <row r="384" spans="1:15" ht="20.100000000000001" customHeight="1">
      <c r="F384" s="1208" t="s">
        <v>872</v>
      </c>
      <c r="H384" s="1928" t="s">
        <v>901</v>
      </c>
      <c r="I384" s="1861">
        <f>SUM(I379:I383)</f>
        <v>4286.1095000000005</v>
      </c>
      <c r="J384" s="1853" t="s">
        <v>918</v>
      </c>
      <c r="K384" s="2044"/>
      <c r="L384" s="1208"/>
      <c r="M384" s="1228"/>
      <c r="N384" s="1211"/>
      <c r="O384" s="1211"/>
    </row>
    <row r="385" spans="1:18" ht="20.100000000000001" customHeight="1">
      <c r="B385" s="1896" t="s">
        <v>1947</v>
      </c>
      <c r="H385" s="1928" t="s">
        <v>901</v>
      </c>
      <c r="I385" s="1902">
        <f>IF(I384=0,0,ROUNDDOWN(I384,-1))</f>
        <v>4280</v>
      </c>
      <c r="J385" s="1853" t="s">
        <v>918</v>
      </c>
      <c r="K385" s="2044"/>
      <c r="L385" s="1208"/>
      <c r="M385" s="1228"/>
      <c r="N385" s="1211"/>
      <c r="O385" s="1211"/>
    </row>
    <row r="386" spans="1:18" ht="20.100000000000001" customHeight="1">
      <c r="B386" s="1240" t="s">
        <v>1948</v>
      </c>
      <c r="H386" s="1928" t="s">
        <v>901</v>
      </c>
      <c r="I386" s="1861"/>
      <c r="J386" s="1853"/>
      <c r="K386" s="2044"/>
      <c r="L386" s="1208"/>
      <c r="M386" s="1228"/>
      <c r="N386" s="1211"/>
      <c r="O386" s="1211"/>
    </row>
    <row r="387" spans="1:18" ht="20.100000000000001" customHeight="1">
      <c r="A387" s="1895"/>
      <c r="B387" s="1208" t="s">
        <v>513</v>
      </c>
      <c r="D387" s="1853" t="s">
        <v>901</v>
      </c>
      <c r="E387" s="1861">
        <f>2+('ขนาด ท่อ'!D13+('ขนาด ท่อ'!E13*2))*1.5</f>
        <v>4.7</v>
      </c>
      <c r="F387" s="1208" t="s">
        <v>870</v>
      </c>
      <c r="H387" s="1928" t="s">
        <v>901</v>
      </c>
      <c r="I387" s="1976">
        <f>E387*80</f>
        <v>376</v>
      </c>
      <c r="J387" s="1853" t="s">
        <v>869</v>
      </c>
      <c r="K387" s="2051"/>
      <c r="L387" s="1208"/>
      <c r="M387" s="1228"/>
      <c r="N387" s="1211"/>
      <c r="O387" s="1211"/>
    </row>
    <row r="388" spans="1:18" ht="20.100000000000001" customHeight="1">
      <c r="A388" s="1895"/>
      <c r="B388" s="1208" t="s">
        <v>959</v>
      </c>
      <c r="D388" s="1853" t="s">
        <v>901</v>
      </c>
      <c r="H388" s="1928" t="s">
        <v>901</v>
      </c>
      <c r="I388" s="1861">
        <f>กรอกราคาวัสดุ!D56</f>
        <v>4859.8100000000004</v>
      </c>
      <c r="J388" s="1853" t="s">
        <v>869</v>
      </c>
      <c r="K388" s="2044"/>
      <c r="L388" s="1208"/>
      <c r="M388" s="1228"/>
      <c r="N388" s="1211"/>
      <c r="O388" s="1211"/>
    </row>
    <row r="389" spans="1:18" ht="20.100000000000001" customHeight="1">
      <c r="B389" s="1208" t="s">
        <v>990</v>
      </c>
      <c r="D389" s="1853" t="s">
        <v>901</v>
      </c>
      <c r="H389" s="1928" t="s">
        <v>901</v>
      </c>
      <c r="I389" s="1861">
        <f>((กรอกราคาวัสดุ!J56*13)+300)/5</f>
        <v>550.30799999999999</v>
      </c>
      <c r="J389" s="1853" t="s">
        <v>869</v>
      </c>
      <c r="K389" s="2051"/>
      <c r="L389" s="1208"/>
      <c r="M389" s="1228"/>
      <c r="N389" s="1211"/>
      <c r="O389" s="1211"/>
    </row>
    <row r="390" spans="1:18" ht="20.100000000000001" customHeight="1">
      <c r="B390" s="1208" t="s">
        <v>514</v>
      </c>
      <c r="D390" s="1853" t="s">
        <v>901</v>
      </c>
      <c r="H390" s="1928" t="s">
        <v>901</v>
      </c>
      <c r="I390" s="1861">
        <f>'ขนาด ท่อ'!M13</f>
        <v>635</v>
      </c>
      <c r="J390" s="1853" t="s">
        <v>869</v>
      </c>
      <c r="K390" s="2051"/>
      <c r="L390" s="1208"/>
      <c r="M390" s="1228"/>
      <c r="N390" s="1211"/>
      <c r="O390" s="1211"/>
    </row>
    <row r="391" spans="1:18" ht="20.100000000000001" customHeight="1">
      <c r="B391" s="1208" t="s">
        <v>871</v>
      </c>
      <c r="D391" s="1853" t="s">
        <v>901</v>
      </c>
      <c r="E391" s="1881">
        <f>ROUND(0.05*(1.5+0.15+0.15+0.6),2)</f>
        <v>0.12</v>
      </c>
      <c r="F391" s="1208" t="s">
        <v>870</v>
      </c>
      <c r="H391" s="1367" t="s">
        <v>901</v>
      </c>
      <c r="I391" s="1898">
        <f>+E391*$I$323</f>
        <v>185.60040000000001</v>
      </c>
      <c r="J391" s="1853" t="s">
        <v>918</v>
      </c>
      <c r="K391" s="2044"/>
      <c r="L391" s="1898"/>
      <c r="M391" s="1228"/>
      <c r="N391" s="1211"/>
      <c r="O391" s="1211"/>
    </row>
    <row r="392" spans="1:18" ht="20.100000000000001" customHeight="1">
      <c r="F392" s="1208" t="s">
        <v>872</v>
      </c>
      <c r="H392" s="1928" t="s">
        <v>901</v>
      </c>
      <c r="I392" s="1861">
        <f>SUM(I387:I391)</f>
        <v>6606.7184000000007</v>
      </c>
      <c r="J392" s="1853" t="s">
        <v>918</v>
      </c>
      <c r="K392" s="2044"/>
      <c r="L392" s="1208"/>
      <c r="M392" s="1228"/>
      <c r="N392" s="1211"/>
      <c r="O392" s="1211"/>
    </row>
    <row r="393" spans="1:18" ht="20.100000000000001" customHeight="1">
      <c r="B393" s="1896" t="s">
        <v>1949</v>
      </c>
      <c r="H393" s="1928" t="s">
        <v>901</v>
      </c>
      <c r="I393" s="1902">
        <f>IF(I392=0,0,ROUNDDOWN(I392,-1))</f>
        <v>6600</v>
      </c>
      <c r="J393" s="1853" t="s">
        <v>918</v>
      </c>
      <c r="K393" s="2044"/>
      <c r="L393" s="1208"/>
      <c r="M393" s="1228"/>
      <c r="N393" s="1211"/>
      <c r="O393" s="1211"/>
    </row>
    <row r="394" spans="1:18" ht="20.100000000000001" customHeight="1">
      <c r="A394" s="1209">
        <v>18</v>
      </c>
      <c r="B394" s="1207" t="s">
        <v>348</v>
      </c>
      <c r="H394" s="1928" t="s">
        <v>901</v>
      </c>
      <c r="I394" s="1861"/>
      <c r="J394" s="1853"/>
      <c r="K394" s="2044"/>
      <c r="L394" s="1208"/>
      <c r="M394" s="1228"/>
      <c r="N394" s="1211"/>
      <c r="O394" s="1211"/>
    </row>
    <row r="395" spans="1:18" ht="20.100000000000001" customHeight="1">
      <c r="A395" s="1209"/>
      <c r="B395" s="1240" t="s">
        <v>1950</v>
      </c>
      <c r="H395" s="1928" t="s">
        <v>901</v>
      </c>
      <c r="I395" s="1272"/>
      <c r="J395" s="1853"/>
      <c r="K395" s="2057"/>
      <c r="L395" s="1208"/>
      <c r="M395" s="1228"/>
      <c r="N395" s="1211"/>
      <c r="O395" s="1211"/>
    </row>
    <row r="396" spans="1:18" ht="20.100000000000001" customHeight="1">
      <c r="B396" s="1208" t="s">
        <v>200</v>
      </c>
      <c r="E396" s="1976">
        <f>งานกำแพงปากท่อ!D66</f>
        <v>2.3705508881569224</v>
      </c>
      <c r="F396" s="1208" t="s">
        <v>870</v>
      </c>
      <c r="H396" s="1928" t="s">
        <v>901</v>
      </c>
      <c r="I396" s="1861">
        <f>$I$324*E396</f>
        <v>3852.2874263082881</v>
      </c>
      <c r="J396" s="1853" t="s">
        <v>918</v>
      </c>
      <c r="K396" s="2044"/>
      <c r="L396" s="1952"/>
      <c r="M396" s="1208"/>
      <c r="N396" s="1263"/>
      <c r="P396" s="1952"/>
      <c r="R396" s="1263"/>
    </row>
    <row r="397" spans="1:18" ht="20.100000000000001" customHeight="1">
      <c r="B397" s="1208" t="s">
        <v>349</v>
      </c>
      <c r="E397" s="1976">
        <f>งานกำแพงปากท่อ!D73</f>
        <v>6.1756800000000008E-2</v>
      </c>
      <c r="F397" s="1208" t="s">
        <v>187</v>
      </c>
      <c r="H397" s="1928" t="s">
        <v>901</v>
      </c>
      <c r="I397" s="1861">
        <f>I329*E397/10</f>
        <v>155.72224147200001</v>
      </c>
      <c r="J397" s="1853" t="s">
        <v>918</v>
      </c>
      <c r="K397" s="2044"/>
      <c r="L397" s="1952"/>
      <c r="M397" s="1208"/>
      <c r="N397" s="1263"/>
      <c r="P397" s="1952"/>
      <c r="R397" s="1263"/>
    </row>
    <row r="398" spans="1:18" ht="20.100000000000001" customHeight="1">
      <c r="B398" s="1208" t="s">
        <v>892</v>
      </c>
      <c r="E398" s="1976">
        <f>E397*20</f>
        <v>1.2351360000000002</v>
      </c>
      <c r="F398" s="1208" t="s">
        <v>887</v>
      </c>
      <c r="H398" s="1928" t="s">
        <v>901</v>
      </c>
      <c r="I398" s="1861">
        <f>กรอกราคาวัสดุ!$D$57*E398</f>
        <v>107.35802112000002</v>
      </c>
      <c r="J398" s="1853" t="s">
        <v>918</v>
      </c>
      <c r="K398" s="2044"/>
      <c r="L398" s="1952"/>
      <c r="M398" s="1208"/>
      <c r="N398" s="1263"/>
      <c r="P398" s="1952"/>
      <c r="R398" s="1263"/>
    </row>
    <row r="399" spans="1:18" ht="20.100000000000001" customHeight="1">
      <c r="B399" s="1208" t="s">
        <v>350</v>
      </c>
      <c r="E399" s="1976">
        <f>งานกำแพงปากท่อ!D69</f>
        <v>4.2</v>
      </c>
      <c r="F399" s="1208" t="s">
        <v>890</v>
      </c>
      <c r="H399" s="1928" t="s">
        <v>901</v>
      </c>
      <c r="I399" s="1861">
        <f>กรอกราคาวัสดุ!$D$58*E399</f>
        <v>2763.18</v>
      </c>
      <c r="J399" s="1853" t="s">
        <v>918</v>
      </c>
      <c r="K399" s="2044"/>
      <c r="L399" s="1952"/>
      <c r="M399" s="1208"/>
      <c r="N399" s="1263"/>
      <c r="P399" s="1952"/>
      <c r="R399" s="1263"/>
    </row>
    <row r="400" spans="1:18" ht="20.100000000000001" customHeight="1">
      <c r="C400" s="1208" t="s">
        <v>351</v>
      </c>
      <c r="H400" s="1928" t="s">
        <v>901</v>
      </c>
      <c r="I400" s="1272">
        <f>E399*กรอกราคาวัสดุ!D70</f>
        <v>558.6</v>
      </c>
      <c r="J400" s="1853" t="s">
        <v>918</v>
      </c>
      <c r="K400" s="2044"/>
      <c r="M400" s="1208"/>
      <c r="N400" s="1267"/>
      <c r="P400" s="1211"/>
      <c r="R400" s="1267"/>
    </row>
    <row r="401" spans="1:25" ht="20.100000000000001" customHeight="1">
      <c r="D401" s="1208" t="s">
        <v>352</v>
      </c>
      <c r="H401" s="1928" t="s">
        <v>901</v>
      </c>
      <c r="I401" s="1861">
        <f>SUM(I396:I400)*2</f>
        <v>14874.295377800576</v>
      </c>
      <c r="J401" s="1853" t="s">
        <v>918</v>
      </c>
      <c r="K401" s="2044"/>
      <c r="M401" s="1853"/>
      <c r="N401" s="1263"/>
      <c r="P401" s="1211"/>
      <c r="R401" s="1263"/>
    </row>
    <row r="402" spans="1:25" ht="20.100000000000001" customHeight="1">
      <c r="B402" s="1896" t="s">
        <v>1951</v>
      </c>
      <c r="H402" s="1928" t="s">
        <v>901</v>
      </c>
      <c r="I402" s="1977">
        <f>ROUNDDOWN(I401,-1)</f>
        <v>14870</v>
      </c>
      <c r="J402" s="1853" t="s">
        <v>918</v>
      </c>
      <c r="K402" s="2044"/>
      <c r="M402" s="1853"/>
      <c r="N402" s="1263"/>
      <c r="P402" s="1211"/>
      <c r="R402" s="1263"/>
    </row>
    <row r="403" spans="1:25" ht="20.100000000000001" customHeight="1">
      <c r="B403" s="1896" t="s">
        <v>1952</v>
      </c>
      <c r="H403" s="1928" t="s">
        <v>901</v>
      </c>
      <c r="I403" s="1978">
        <f>ROUNDDOWN((+I402*1.41),-1)</f>
        <v>20960</v>
      </c>
      <c r="J403" s="1853" t="s">
        <v>918</v>
      </c>
      <c r="K403" s="2044"/>
      <c r="M403" s="1853"/>
      <c r="N403" s="1263"/>
      <c r="P403" s="1211"/>
      <c r="R403" s="1263"/>
    </row>
    <row r="404" spans="1:25" ht="20.100000000000001" customHeight="1">
      <c r="B404" s="1896" t="s">
        <v>1953</v>
      </c>
      <c r="H404" s="1928" t="s">
        <v>901</v>
      </c>
      <c r="I404" s="1979">
        <f>ROUNDDOWN((+I402*1.7),-1)</f>
        <v>25270</v>
      </c>
      <c r="J404" s="1853" t="s">
        <v>918</v>
      </c>
      <c r="K404" s="2044"/>
      <c r="M404" s="1853"/>
      <c r="N404" s="1263"/>
      <c r="P404" s="1211"/>
      <c r="R404" s="1263"/>
    </row>
    <row r="405" spans="1:25" ht="20.100000000000001" customHeight="1">
      <c r="A405" s="1209"/>
      <c r="B405" s="1240" t="s">
        <v>1954</v>
      </c>
      <c r="H405" s="1928" t="s">
        <v>901</v>
      </c>
      <c r="I405" s="1861"/>
      <c r="J405" s="1853"/>
      <c r="K405" s="2044"/>
      <c r="L405" s="1208"/>
      <c r="M405" s="1228"/>
      <c r="N405" s="1211"/>
      <c r="O405" s="1211"/>
    </row>
    <row r="406" spans="1:25" ht="20.100000000000001" customHeight="1">
      <c r="B406" s="1208" t="s">
        <v>200</v>
      </c>
      <c r="E406" s="1976">
        <f>งานกำแพงปากท่อ!D85</f>
        <v>2.9560308881569224</v>
      </c>
      <c r="F406" s="1208" t="s">
        <v>870</v>
      </c>
      <c r="H406" s="1928" t="s">
        <v>901</v>
      </c>
      <c r="I406" s="1861">
        <f>$I$324*E406</f>
        <v>4803.7275551082885</v>
      </c>
      <c r="J406" s="1853" t="s">
        <v>918</v>
      </c>
      <c r="K406" s="2044"/>
      <c r="L406" s="1952"/>
      <c r="M406" s="1208"/>
      <c r="N406" s="1263"/>
      <c r="P406" s="1952"/>
      <c r="R406" s="1263"/>
    </row>
    <row r="407" spans="1:25" ht="20.100000000000001" customHeight="1">
      <c r="B407" s="1208" t="s">
        <v>349</v>
      </c>
      <c r="E407" s="1976">
        <f>งานกำแพงปากท่อ!D92</f>
        <v>7.7842939999999999E-2</v>
      </c>
      <c r="F407" s="1208" t="s">
        <v>187</v>
      </c>
      <c r="H407" s="1928" t="s">
        <v>901</v>
      </c>
      <c r="I407" s="1861">
        <f>I329*E407/10</f>
        <v>196.28408692760001</v>
      </c>
      <c r="J407" s="1853" t="s">
        <v>918</v>
      </c>
      <c r="K407" s="2044"/>
      <c r="L407" s="1952"/>
      <c r="M407" s="1208"/>
      <c r="N407" s="1263"/>
      <c r="P407" s="1952"/>
      <c r="R407" s="1263"/>
    </row>
    <row r="408" spans="1:25" ht="20.100000000000001" customHeight="1">
      <c r="B408" s="1208" t="s">
        <v>892</v>
      </c>
      <c r="E408" s="1976">
        <f>E407*20</f>
        <v>1.5568588000000001</v>
      </c>
      <c r="F408" s="1208" t="s">
        <v>887</v>
      </c>
      <c r="H408" s="1928" t="s">
        <v>901</v>
      </c>
      <c r="I408" s="1861">
        <f>กรอกราคาวัสดุ!$D$57*E408</f>
        <v>135.322166896</v>
      </c>
      <c r="J408" s="1853" t="s">
        <v>918</v>
      </c>
      <c r="K408" s="2044"/>
      <c r="L408" s="1952"/>
      <c r="M408" s="1208"/>
      <c r="N408" s="1263"/>
      <c r="P408" s="1952"/>
      <c r="R408" s="1263"/>
    </row>
    <row r="409" spans="1:25" ht="20.100000000000001" customHeight="1">
      <c r="B409" s="1208" t="s">
        <v>350</v>
      </c>
      <c r="E409" s="1976">
        <f>งานกำแพงปากท่อ!D88</f>
        <v>5.0999999999999996</v>
      </c>
      <c r="F409" s="1208" t="s">
        <v>890</v>
      </c>
      <c r="H409" s="1928" t="s">
        <v>901</v>
      </c>
      <c r="I409" s="1861">
        <f>กรอกราคาวัสดุ!$D$58*E409</f>
        <v>3355.2899999999995</v>
      </c>
      <c r="J409" s="1853" t="s">
        <v>918</v>
      </c>
      <c r="K409" s="2044"/>
      <c r="L409" s="1952"/>
      <c r="M409" s="1208"/>
      <c r="N409" s="1263"/>
      <c r="P409" s="1952"/>
      <c r="R409" s="1263"/>
    </row>
    <row r="410" spans="1:25" ht="20.100000000000001" customHeight="1">
      <c r="C410" s="1208" t="s">
        <v>351</v>
      </c>
      <c r="H410" s="1928" t="s">
        <v>901</v>
      </c>
      <c r="I410" s="1272">
        <f>E409*กรอกราคาวัสดุ!D70</f>
        <v>678.3</v>
      </c>
      <c r="J410" s="1853" t="s">
        <v>918</v>
      </c>
      <c r="K410" s="2044"/>
      <c r="M410" s="1208"/>
      <c r="N410" s="1267"/>
      <c r="P410" s="1211"/>
      <c r="R410" s="1267"/>
    </row>
    <row r="411" spans="1:25" ht="20.100000000000001" customHeight="1">
      <c r="D411" s="1208" t="s">
        <v>352</v>
      </c>
      <c r="H411" s="1928" t="s">
        <v>901</v>
      </c>
      <c r="I411" s="1861">
        <f>SUM(I406:I410)*2</f>
        <v>18337.847617863772</v>
      </c>
      <c r="J411" s="1853" t="s">
        <v>918</v>
      </c>
      <c r="K411" s="2044"/>
      <c r="M411" s="1853"/>
      <c r="N411" s="1263"/>
      <c r="P411" s="1211"/>
      <c r="R411" s="1263"/>
    </row>
    <row r="412" spans="1:25" ht="20.100000000000001" customHeight="1">
      <c r="B412" s="1896" t="s">
        <v>1955</v>
      </c>
      <c r="H412" s="1928" t="s">
        <v>901</v>
      </c>
      <c r="I412" s="1977">
        <f>ROUNDDOWN(I411,-1)</f>
        <v>18330</v>
      </c>
      <c r="J412" s="1853" t="s">
        <v>918</v>
      </c>
      <c r="K412" s="2044"/>
      <c r="L412" s="1208"/>
      <c r="M412" s="1853"/>
      <c r="N412" s="1263"/>
      <c r="P412" s="1211"/>
      <c r="R412" s="1263"/>
    </row>
    <row r="413" spans="1:25" ht="20.100000000000001" customHeight="1">
      <c r="B413" s="1896" t="s">
        <v>1956</v>
      </c>
      <c r="H413" s="1928" t="s">
        <v>901</v>
      </c>
      <c r="I413" s="1978">
        <f>ROUNDDOWN((+I412*1.4),-1)</f>
        <v>25660</v>
      </c>
      <c r="J413" s="1853" t="s">
        <v>918</v>
      </c>
      <c r="K413" s="2044"/>
      <c r="L413" s="1208"/>
      <c r="M413" s="1853"/>
      <c r="N413" s="1263"/>
      <c r="P413" s="1211"/>
      <c r="R413" s="1263"/>
    </row>
    <row r="414" spans="1:25" ht="20.100000000000001" customHeight="1">
      <c r="B414" s="1896" t="s">
        <v>1957</v>
      </c>
      <c r="H414" s="1928" t="s">
        <v>901</v>
      </c>
      <c r="I414" s="1979">
        <f>ROUNDDOWN((+I412*1.76),-1)</f>
        <v>32260</v>
      </c>
      <c r="J414" s="1853" t="s">
        <v>918</v>
      </c>
      <c r="K414" s="2044"/>
      <c r="L414" s="1208"/>
      <c r="M414" s="1853"/>
      <c r="N414" s="1263"/>
      <c r="P414" s="1211"/>
      <c r="R414" s="1263"/>
    </row>
    <row r="415" spans="1:25" ht="20.100000000000001" customHeight="1">
      <c r="B415" s="1896"/>
      <c r="H415" s="1928" t="s">
        <v>901</v>
      </c>
      <c r="I415" s="1861"/>
      <c r="J415" s="1853"/>
      <c r="K415" s="2044"/>
      <c r="L415" s="1208"/>
      <c r="M415" s="1228"/>
      <c r="N415" s="1211"/>
      <c r="O415" s="1211"/>
    </row>
    <row r="416" spans="1:25" ht="20.100000000000001" customHeight="1">
      <c r="A416" s="1209"/>
      <c r="B416" s="1240" t="s">
        <v>1958</v>
      </c>
      <c r="H416" s="1928" t="s">
        <v>901</v>
      </c>
      <c r="I416" s="1861"/>
      <c r="J416" s="1853"/>
      <c r="K416" s="2044"/>
      <c r="L416" s="1207"/>
      <c r="M416" s="1819"/>
      <c r="P416" s="1211"/>
      <c r="R416" s="1263"/>
      <c r="T416" s="1819"/>
      <c r="V416" s="1211"/>
      <c r="Y416" s="1263"/>
    </row>
    <row r="417" spans="1:25" ht="20.100000000000001" customHeight="1">
      <c r="B417" s="1208" t="s">
        <v>200</v>
      </c>
      <c r="E417" s="1976">
        <f>งานกำแพงปากท่อ!D104</f>
        <v>3.5826208881569221</v>
      </c>
      <c r="F417" s="1208" t="s">
        <v>870</v>
      </c>
      <c r="H417" s="1928" t="s">
        <v>901</v>
      </c>
      <c r="I417" s="1861">
        <f>$I$324*E417</f>
        <v>5821.9739005082874</v>
      </c>
      <c r="J417" s="1853" t="s">
        <v>918</v>
      </c>
      <c r="K417" s="2044"/>
      <c r="L417" s="1208"/>
      <c r="M417" s="1208"/>
      <c r="N417" s="1263"/>
      <c r="P417" s="1952"/>
      <c r="R417" s="1263"/>
      <c r="V417" s="1952"/>
      <c r="Y417" s="1263"/>
    </row>
    <row r="418" spans="1:25" ht="20.100000000000001" customHeight="1">
      <c r="B418" s="1208" t="s">
        <v>349</v>
      </c>
      <c r="E418" s="1976">
        <f>งานกำแพงปากท่อ!D111</f>
        <v>9.5474799999999999E-2</v>
      </c>
      <c r="F418" s="1208" t="s">
        <v>187</v>
      </c>
      <c r="H418" s="1928" t="s">
        <v>901</v>
      </c>
      <c r="I418" s="1861">
        <f>I329*E418/10</f>
        <v>240.74352719200002</v>
      </c>
      <c r="J418" s="1853" t="s">
        <v>918</v>
      </c>
      <c r="K418" s="2044"/>
      <c r="L418" s="1208"/>
      <c r="M418" s="1208"/>
      <c r="N418" s="1263"/>
      <c r="P418" s="1952"/>
      <c r="R418" s="1263"/>
      <c r="V418" s="1952"/>
      <c r="Y418" s="1263"/>
    </row>
    <row r="419" spans="1:25" ht="20.100000000000001" customHeight="1">
      <c r="B419" s="1208" t="s">
        <v>892</v>
      </c>
      <c r="E419" s="1976">
        <f>E418*20</f>
        <v>1.9094959999999999</v>
      </c>
      <c r="F419" s="1208" t="s">
        <v>887</v>
      </c>
      <c r="H419" s="1928" t="s">
        <v>901</v>
      </c>
      <c r="I419" s="1861">
        <f>กรอกราคาวัสดุ!$D$57*E419</f>
        <v>165.97339231999999</v>
      </c>
      <c r="J419" s="1853" t="s">
        <v>918</v>
      </c>
      <c r="K419" s="2044"/>
      <c r="L419" s="1208"/>
      <c r="M419" s="1208"/>
      <c r="N419" s="1263"/>
      <c r="P419" s="1952"/>
      <c r="R419" s="1263"/>
      <c r="V419" s="1952"/>
      <c r="Y419" s="1263"/>
    </row>
    <row r="420" spans="1:25" ht="20.100000000000001" customHeight="1">
      <c r="B420" s="1208" t="s">
        <v>350</v>
      </c>
      <c r="E420" s="1976">
        <f>งานกำแพงปากท่อ!D107</f>
        <v>5.0999999999999996</v>
      </c>
      <c r="F420" s="1208" t="s">
        <v>890</v>
      </c>
      <c r="H420" s="1928" t="s">
        <v>901</v>
      </c>
      <c r="I420" s="1861">
        <f>กรอกราคาวัสดุ!$D$58*E420</f>
        <v>3355.2899999999995</v>
      </c>
      <c r="J420" s="1853" t="s">
        <v>918</v>
      </c>
      <c r="K420" s="2044"/>
      <c r="L420" s="1208"/>
      <c r="M420" s="1263"/>
      <c r="O420" s="1952"/>
      <c r="Q420" s="1263"/>
      <c r="V420" s="1952"/>
      <c r="Y420" s="1263"/>
    </row>
    <row r="421" spans="1:25" ht="20.100000000000001" customHeight="1">
      <c r="C421" s="1208" t="s">
        <v>351</v>
      </c>
      <c r="H421" s="1928" t="s">
        <v>901</v>
      </c>
      <c r="I421" s="1272">
        <f>E420*กรอกราคาวัสดุ!D70</f>
        <v>678.3</v>
      </c>
      <c r="J421" s="1853" t="s">
        <v>918</v>
      </c>
      <c r="K421" s="2044"/>
      <c r="L421" s="1208"/>
      <c r="M421" s="1267"/>
      <c r="O421" s="1211"/>
      <c r="Q421" s="1267"/>
      <c r="V421" s="1211"/>
      <c r="Y421" s="1267"/>
    </row>
    <row r="422" spans="1:25" ht="20.100000000000001" customHeight="1">
      <c r="D422" s="1208" t="s">
        <v>352</v>
      </c>
      <c r="H422" s="1928" t="s">
        <v>901</v>
      </c>
      <c r="I422" s="1861">
        <f>SUM(I417:I421)*2</f>
        <v>20524.561640040574</v>
      </c>
      <c r="J422" s="1853" t="s">
        <v>918</v>
      </c>
      <c r="K422" s="2044"/>
      <c r="L422" s="1853"/>
      <c r="M422" s="1263"/>
      <c r="O422" s="1211"/>
      <c r="Q422" s="1263"/>
      <c r="V422" s="1211"/>
      <c r="X422" s="1853"/>
      <c r="Y422" s="1263"/>
    </row>
    <row r="423" spans="1:25" ht="20.100000000000001" customHeight="1">
      <c r="B423" s="1896" t="s">
        <v>1959</v>
      </c>
      <c r="H423" s="1928" t="s">
        <v>901</v>
      </c>
      <c r="I423" s="1977">
        <f>ROUNDDOWN(I422,-1)</f>
        <v>20520</v>
      </c>
      <c r="J423" s="1853" t="s">
        <v>918</v>
      </c>
      <c r="K423" s="2044"/>
      <c r="L423" s="1853"/>
      <c r="M423" s="1263"/>
      <c r="O423" s="1211"/>
      <c r="Q423" s="1263"/>
      <c r="S423" s="1896"/>
      <c r="V423" s="1211"/>
      <c r="X423" s="1853"/>
      <c r="Y423" s="1263"/>
    </row>
    <row r="424" spans="1:25" ht="20.100000000000001" customHeight="1">
      <c r="B424" s="1896" t="s">
        <v>1960</v>
      </c>
      <c r="H424" s="1928" t="s">
        <v>901</v>
      </c>
      <c r="I424" s="1978">
        <f>ROUNDDOWN((+I423*1.53),-1)</f>
        <v>31390</v>
      </c>
      <c r="J424" s="1853" t="s">
        <v>918</v>
      </c>
      <c r="K424" s="2044"/>
      <c r="L424" s="1853"/>
      <c r="M424" s="1263"/>
      <c r="O424" s="1211"/>
      <c r="Q424" s="1263"/>
      <c r="S424" s="1896"/>
      <c r="V424" s="1211"/>
      <c r="X424" s="1853"/>
      <c r="Y424" s="1263"/>
    </row>
    <row r="425" spans="1:25" ht="20.100000000000001" customHeight="1">
      <c r="B425" s="1896" t="s">
        <v>1961</v>
      </c>
      <c r="H425" s="1928" t="s">
        <v>901</v>
      </c>
      <c r="I425" s="1979">
        <f>ROUNDDOWN((+I423*2.09),-1)</f>
        <v>42880</v>
      </c>
      <c r="J425" s="1853" t="s">
        <v>918</v>
      </c>
      <c r="K425" s="2044"/>
      <c r="L425" s="1853"/>
      <c r="M425" s="1263"/>
      <c r="O425" s="1211"/>
      <c r="Q425" s="1263"/>
      <c r="S425" s="1896"/>
      <c r="V425" s="1211"/>
      <c r="X425" s="1853"/>
      <c r="Y425" s="1263"/>
    </row>
    <row r="426" spans="1:25" ht="20.100000000000001" customHeight="1">
      <c r="A426" s="1209"/>
      <c r="B426" s="1240" t="s">
        <v>1962</v>
      </c>
      <c r="H426" s="1928" t="s">
        <v>901</v>
      </c>
      <c r="I426" s="1861"/>
      <c r="J426" s="1853"/>
      <c r="K426" s="2044"/>
      <c r="L426" s="1228"/>
      <c r="N426" s="1211"/>
    </row>
    <row r="427" spans="1:25" ht="20.100000000000001" customHeight="1">
      <c r="B427" s="1208" t="s">
        <v>200</v>
      </c>
      <c r="E427" s="1976">
        <f>งานกำแพงปากท่อ!D123</f>
        <v>4.1060508881569229</v>
      </c>
      <c r="F427" s="1208" t="s">
        <v>870</v>
      </c>
      <c r="H427" s="1928" t="s">
        <v>901</v>
      </c>
      <c r="I427" s="1861">
        <f>$I$324*E427</f>
        <v>6672.5790563082892</v>
      </c>
      <c r="J427" s="1853" t="s">
        <v>918</v>
      </c>
      <c r="K427" s="2044"/>
      <c r="L427" s="1208"/>
      <c r="M427" s="1263"/>
      <c r="O427" s="1952"/>
      <c r="Q427" s="1263"/>
    </row>
    <row r="428" spans="1:25" ht="20.100000000000001" customHeight="1">
      <c r="B428" s="1208" t="s">
        <v>349</v>
      </c>
      <c r="E428" s="1976">
        <f>งานกำแพงปากท่อ!D130</f>
        <v>0.1126757</v>
      </c>
      <c r="F428" s="1208" t="s">
        <v>187</v>
      </c>
      <c r="H428" s="1928" t="s">
        <v>901</v>
      </c>
      <c r="I428" s="1861">
        <f>I329*E428/10</f>
        <v>284.11628457800003</v>
      </c>
      <c r="J428" s="1853" t="s">
        <v>918</v>
      </c>
      <c r="K428" s="2044"/>
      <c r="L428" s="1208"/>
      <c r="M428" s="1263"/>
      <c r="O428" s="1952"/>
      <c r="Q428" s="1263"/>
    </row>
    <row r="429" spans="1:25" ht="20.100000000000001" customHeight="1">
      <c r="B429" s="1208" t="s">
        <v>892</v>
      </c>
      <c r="E429" s="1976">
        <f>E428*20</f>
        <v>2.253514</v>
      </c>
      <c r="F429" s="1208" t="s">
        <v>887</v>
      </c>
      <c r="H429" s="1928" t="s">
        <v>901</v>
      </c>
      <c r="I429" s="1861">
        <f>กรอกราคาวัสดุ!$D$57*E429</f>
        <v>195.87543688</v>
      </c>
      <c r="J429" s="1853" t="s">
        <v>918</v>
      </c>
      <c r="K429" s="2044"/>
      <c r="L429" s="1208"/>
      <c r="M429" s="1263"/>
      <c r="O429" s="1952"/>
      <c r="Q429" s="1263"/>
    </row>
    <row r="430" spans="1:25" ht="20.100000000000001" customHeight="1">
      <c r="B430" s="1208" t="s">
        <v>350</v>
      </c>
      <c r="E430" s="1976">
        <f>งานกำแพงปากท่อ!D126</f>
        <v>6</v>
      </c>
      <c r="F430" s="1208" t="s">
        <v>890</v>
      </c>
      <c r="H430" s="1928" t="s">
        <v>901</v>
      </c>
      <c r="I430" s="1861">
        <f>กรอกราคาวัสดุ!$D$58*E430</f>
        <v>3947.3999999999996</v>
      </c>
      <c r="J430" s="1853" t="s">
        <v>918</v>
      </c>
      <c r="K430" s="2044"/>
      <c r="L430" s="1208"/>
      <c r="M430" s="1263"/>
      <c r="O430" s="1952"/>
      <c r="Q430" s="1263"/>
    </row>
    <row r="431" spans="1:25" ht="20.100000000000001" customHeight="1">
      <c r="C431" s="1208" t="s">
        <v>351</v>
      </c>
      <c r="H431" s="1928" t="s">
        <v>901</v>
      </c>
      <c r="I431" s="1272">
        <f>ค่างานต้นทุน!E430*กรอกราคาวัสดุ!D70</f>
        <v>798</v>
      </c>
      <c r="J431" s="1853" t="s">
        <v>918</v>
      </c>
      <c r="K431" s="2044"/>
      <c r="L431" s="1208"/>
      <c r="M431" s="1267"/>
      <c r="O431" s="1211"/>
      <c r="Q431" s="1267"/>
    </row>
    <row r="432" spans="1:25" ht="20.100000000000001" customHeight="1">
      <c r="D432" s="1208" t="s">
        <v>352</v>
      </c>
      <c r="H432" s="1928" t="s">
        <v>901</v>
      </c>
      <c r="I432" s="1861">
        <f>SUM(I427:I431)*2</f>
        <v>23795.941555532576</v>
      </c>
      <c r="J432" s="1853" t="s">
        <v>918</v>
      </c>
      <c r="K432" s="2044"/>
      <c r="L432" s="1853"/>
      <c r="M432" s="1263"/>
      <c r="O432" s="1211"/>
      <c r="Q432" s="1263"/>
    </row>
    <row r="433" spans="1:17" ht="20.100000000000001" customHeight="1">
      <c r="B433" s="1896" t="s">
        <v>1963</v>
      </c>
      <c r="H433" s="1928" t="s">
        <v>901</v>
      </c>
      <c r="I433" s="1977">
        <f>ROUNDDOWN(I432,-1)</f>
        <v>23790</v>
      </c>
      <c r="J433" s="1853" t="s">
        <v>918</v>
      </c>
      <c r="K433" s="2044"/>
      <c r="L433" s="1853"/>
      <c r="M433" s="1263"/>
      <c r="O433" s="1211"/>
      <c r="Q433" s="1263"/>
    </row>
    <row r="434" spans="1:17" ht="20.100000000000001" customHeight="1">
      <c r="B434" s="1896" t="s">
        <v>1964</v>
      </c>
      <c r="H434" s="1928" t="s">
        <v>901</v>
      </c>
      <c r="I434" s="1978">
        <f>ROUNDDOWN((+I433*1.56),-1)</f>
        <v>37110</v>
      </c>
      <c r="J434" s="1853" t="s">
        <v>918</v>
      </c>
      <c r="K434" s="2044"/>
      <c r="L434" s="1853"/>
      <c r="M434" s="1263"/>
      <c r="O434" s="1211"/>
      <c r="Q434" s="1263"/>
    </row>
    <row r="435" spans="1:17" ht="20.100000000000001" customHeight="1">
      <c r="B435" s="1896" t="s">
        <v>1965</v>
      </c>
      <c r="H435" s="1928" t="s">
        <v>901</v>
      </c>
      <c r="I435" s="1979">
        <f>ROUNDDOWN((+I433*2.21),-1)</f>
        <v>52570</v>
      </c>
      <c r="J435" s="1853" t="s">
        <v>918</v>
      </c>
      <c r="K435" s="2044"/>
      <c r="L435" s="1853"/>
      <c r="M435" s="1263"/>
      <c r="O435" s="1211"/>
      <c r="Q435" s="1263"/>
    </row>
    <row r="436" spans="1:17" ht="20.100000000000001" customHeight="1">
      <c r="A436" s="1209"/>
      <c r="B436" s="1240" t="s">
        <v>1966</v>
      </c>
      <c r="H436" s="1928"/>
      <c r="I436" s="1861"/>
      <c r="J436" s="1853"/>
      <c r="K436" s="2044"/>
      <c r="L436" s="1228"/>
      <c r="N436" s="1211"/>
    </row>
    <row r="437" spans="1:17" ht="20.100000000000001" customHeight="1">
      <c r="B437" s="1208" t="s">
        <v>200</v>
      </c>
      <c r="E437" s="1976">
        <f>งานกำแพงปากท่อ!D142</f>
        <v>4.841220888156923</v>
      </c>
      <c r="F437" s="1208" t="s">
        <v>870</v>
      </c>
      <c r="H437" s="1928" t="s">
        <v>901</v>
      </c>
      <c r="I437" s="1861">
        <f>$I$324*E437</f>
        <v>7867.2744165082886</v>
      </c>
      <c r="J437" s="1853" t="s">
        <v>918</v>
      </c>
      <c r="K437" s="2044"/>
      <c r="L437" s="1208"/>
      <c r="M437" s="1263"/>
      <c r="O437" s="1952"/>
      <c r="Q437" s="1263"/>
    </row>
    <row r="438" spans="1:17" ht="20.100000000000001" customHeight="1">
      <c r="B438" s="1208" t="s">
        <v>349</v>
      </c>
      <c r="E438" s="1976">
        <f>งานกำแพงปากท่อ!D168</f>
        <v>0.14765880000000001</v>
      </c>
      <c r="F438" s="1208" t="s">
        <v>187</v>
      </c>
      <c r="H438" s="1928" t="s">
        <v>901</v>
      </c>
      <c r="I438" s="1861">
        <f>I329*E438/10</f>
        <v>372.32757055200005</v>
      </c>
      <c r="J438" s="1853" t="s">
        <v>918</v>
      </c>
      <c r="K438" s="2044"/>
      <c r="L438" s="1208"/>
      <c r="M438" s="1263"/>
      <c r="O438" s="1952"/>
      <c r="Q438" s="1263"/>
    </row>
    <row r="439" spans="1:17" ht="20.100000000000001" customHeight="1">
      <c r="B439" s="1208" t="s">
        <v>892</v>
      </c>
      <c r="E439" s="1976">
        <f>E438*20</f>
        <v>2.953176</v>
      </c>
      <c r="F439" s="1208" t="s">
        <v>887</v>
      </c>
      <c r="H439" s="1928" t="s">
        <v>901</v>
      </c>
      <c r="I439" s="1861">
        <f>กรอกราคาวัสดุ!$D$57*E439</f>
        <v>256.69005792000002</v>
      </c>
      <c r="J439" s="1853" t="s">
        <v>918</v>
      </c>
      <c r="K439" s="2044"/>
      <c r="L439" s="1208"/>
      <c r="M439" s="1263"/>
      <c r="O439" s="1952"/>
      <c r="Q439" s="1263"/>
    </row>
    <row r="440" spans="1:17" ht="20.100000000000001" customHeight="1">
      <c r="B440" s="1208" t="s">
        <v>350</v>
      </c>
      <c r="E440" s="1976">
        <f>งานกำแพงปากท่อ!D164</f>
        <v>6</v>
      </c>
      <c r="F440" s="1208" t="s">
        <v>890</v>
      </c>
      <c r="H440" s="1928" t="s">
        <v>901</v>
      </c>
      <c r="I440" s="1861">
        <f>กรอกราคาวัสดุ!$D$58*E440</f>
        <v>3947.3999999999996</v>
      </c>
      <c r="J440" s="1853" t="s">
        <v>918</v>
      </c>
      <c r="K440" s="2044"/>
      <c r="L440" s="1208"/>
      <c r="M440" s="1263"/>
      <c r="O440" s="1952"/>
      <c r="Q440" s="1263"/>
    </row>
    <row r="441" spans="1:17" ht="20.100000000000001" customHeight="1">
      <c r="C441" s="1208" t="s">
        <v>351</v>
      </c>
      <c r="H441" s="1928" t="s">
        <v>901</v>
      </c>
      <c r="I441" s="1272">
        <f>E440*กรอกราคาวัสดุ!D70</f>
        <v>798</v>
      </c>
      <c r="J441" s="1853" t="s">
        <v>918</v>
      </c>
      <c r="K441" s="2044"/>
      <c r="L441" s="1208"/>
      <c r="M441" s="1267"/>
      <c r="O441" s="1211"/>
      <c r="Q441" s="1267"/>
    </row>
    <row r="442" spans="1:17" ht="20.100000000000001" customHeight="1">
      <c r="D442" s="1208" t="s">
        <v>352</v>
      </c>
      <c r="H442" s="1928" t="s">
        <v>901</v>
      </c>
      <c r="I442" s="1861">
        <f>SUM(I437:I441)*2</f>
        <v>26483.384089960575</v>
      </c>
      <c r="J442" s="1853" t="s">
        <v>918</v>
      </c>
      <c r="K442" s="2044"/>
      <c r="L442" s="1853"/>
      <c r="M442" s="1263"/>
      <c r="O442" s="1211"/>
      <c r="Q442" s="1263"/>
    </row>
    <row r="443" spans="1:17" ht="20.100000000000001" customHeight="1">
      <c r="B443" s="1896" t="s">
        <v>1967</v>
      </c>
      <c r="H443" s="1928" t="s">
        <v>901</v>
      </c>
      <c r="I443" s="1977">
        <f>ROUNDDOWN(I442,-1)</f>
        <v>26480</v>
      </c>
      <c r="J443" s="1853" t="s">
        <v>918</v>
      </c>
      <c r="K443" s="2044"/>
      <c r="L443" s="1853"/>
      <c r="M443" s="1263"/>
      <c r="O443" s="1211"/>
      <c r="Q443" s="1263"/>
    </row>
    <row r="444" spans="1:17" ht="20.100000000000001" customHeight="1">
      <c r="B444" s="1896" t="s">
        <v>1968</v>
      </c>
      <c r="H444" s="1928" t="s">
        <v>901</v>
      </c>
      <c r="I444" s="1978">
        <f>ROUNDDOWN((+I443*1.67),-1)</f>
        <v>44220</v>
      </c>
      <c r="J444" s="1853" t="s">
        <v>918</v>
      </c>
      <c r="K444" s="2044"/>
      <c r="L444" s="1853"/>
      <c r="M444" s="1263"/>
      <c r="O444" s="1211"/>
      <c r="Q444" s="1263"/>
    </row>
    <row r="445" spans="1:17" ht="20.100000000000001" customHeight="1">
      <c r="B445" s="1896" t="s">
        <v>1969</v>
      </c>
      <c r="H445" s="1928" t="s">
        <v>901</v>
      </c>
      <c r="I445" s="1979">
        <f>ROUNDDOWN((+I443*2.29),-1)</f>
        <v>60630</v>
      </c>
      <c r="J445" s="1853" t="s">
        <v>918</v>
      </c>
      <c r="K445" s="2044"/>
      <c r="L445" s="1853"/>
      <c r="M445" s="1263"/>
      <c r="O445" s="1211"/>
      <c r="Q445" s="1263"/>
    </row>
    <row r="446" spans="1:17" ht="20.100000000000001" customHeight="1">
      <c r="A446" s="1211">
        <v>19</v>
      </c>
      <c r="B446" s="1228" t="s">
        <v>1376</v>
      </c>
      <c r="H446" s="1928"/>
      <c r="I446" s="1861"/>
      <c r="J446" s="1853"/>
      <c r="K446" s="2044"/>
      <c r="L446" s="1853"/>
      <c r="M446" s="1263"/>
      <c r="O446" s="1211"/>
      <c r="Q446" s="1263"/>
    </row>
    <row r="447" spans="1:17" ht="20.100000000000001" customHeight="1">
      <c r="A447" s="1980">
        <v>19.100000000000001</v>
      </c>
      <c r="B447" s="1981" t="s">
        <v>1389</v>
      </c>
      <c r="G447" s="1208"/>
      <c r="H447" s="1211"/>
      <c r="J447" s="1208"/>
      <c r="K447" s="2047"/>
    </row>
    <row r="448" spans="1:17" ht="20.100000000000001" customHeight="1">
      <c r="A448" s="1266"/>
      <c r="B448" s="1208" t="s">
        <v>1377</v>
      </c>
      <c r="C448" s="1271">
        <v>10</v>
      </c>
      <c r="D448" s="1853" t="s">
        <v>1071</v>
      </c>
      <c r="E448" s="1228" t="s">
        <v>1378</v>
      </c>
      <c r="G448" s="1208"/>
      <c r="H448" s="1211"/>
      <c r="J448" s="1208"/>
      <c r="K448" s="2047"/>
    </row>
    <row r="449" spans="1:11" ht="20.100000000000001" customHeight="1">
      <c r="A449" s="1266"/>
      <c r="B449" s="1208" t="s">
        <v>1075</v>
      </c>
      <c r="C449" s="1975">
        <v>1.6</v>
      </c>
      <c r="D449" s="1853" t="s">
        <v>1073</v>
      </c>
      <c r="E449" s="1861">
        <f>ค2</f>
        <v>1732.58</v>
      </c>
      <c r="F449" s="1208" t="s">
        <v>918</v>
      </c>
      <c r="G449" s="1208"/>
      <c r="H449" s="1211" t="s">
        <v>901</v>
      </c>
      <c r="I449" s="1861">
        <f>E449*C449</f>
        <v>2772.1280000000002</v>
      </c>
      <c r="J449" s="1208" t="s">
        <v>918</v>
      </c>
    </row>
    <row r="450" spans="1:11" ht="20.100000000000001" customHeight="1">
      <c r="A450" s="1266"/>
      <c r="B450" s="1208" t="s">
        <v>1383</v>
      </c>
      <c r="C450" s="1975">
        <f>0.222*198</f>
        <v>43.956000000000003</v>
      </c>
      <c r="D450" s="1853" t="s">
        <v>1077</v>
      </c>
      <c r="E450" s="1861">
        <f>I328/1000</f>
        <v>26.850819999999999</v>
      </c>
      <c r="F450" s="1208" t="s">
        <v>918</v>
      </c>
      <c r="G450" s="1208"/>
      <c r="H450" s="1211" t="s">
        <v>901</v>
      </c>
      <c r="I450" s="1861">
        <f>E450*C450</f>
        <v>1180.25464392</v>
      </c>
      <c r="J450" s="1208" t="s">
        <v>918</v>
      </c>
    </row>
    <row r="451" spans="1:11" ht="20.100000000000001" customHeight="1">
      <c r="A451" s="1266"/>
      <c r="B451" s="1208" t="s">
        <v>1076</v>
      </c>
      <c r="C451" s="1975">
        <f>0.499*307</f>
        <v>153.19300000000001</v>
      </c>
      <c r="D451" s="1853" t="s">
        <v>1077</v>
      </c>
      <c r="E451" s="1861">
        <f>I329/1000</f>
        <v>25.215400000000002</v>
      </c>
      <c r="F451" s="1208" t="s">
        <v>918</v>
      </c>
      <c r="G451" s="1208"/>
      <c r="H451" s="1211" t="s">
        <v>901</v>
      </c>
      <c r="I451" s="1861">
        <f>E451*C451</f>
        <v>3862.8227722000006</v>
      </c>
      <c r="J451" s="1208" t="s">
        <v>918</v>
      </c>
    </row>
    <row r="452" spans="1:11" ht="20.100000000000001" customHeight="1">
      <c r="A452" s="1266"/>
      <c r="B452" s="1208" t="s">
        <v>1384</v>
      </c>
      <c r="C452" s="1975">
        <f>SUM(C450:C451)*0.025</f>
        <v>4.928725</v>
      </c>
      <c r="D452" s="1853" t="s">
        <v>1077</v>
      </c>
      <c r="E452" s="1861">
        <f>กรอกราคาวัสดุ!D57</f>
        <v>86.92</v>
      </c>
      <c r="F452" s="1208" t="s">
        <v>918</v>
      </c>
      <c r="G452" s="1208"/>
      <c r="H452" s="1211" t="s">
        <v>901</v>
      </c>
      <c r="I452" s="1861">
        <f>E452*C452</f>
        <v>428.40477700000002</v>
      </c>
      <c r="J452" s="1208" t="s">
        <v>918</v>
      </c>
    </row>
    <row r="453" spans="1:11" ht="20.100000000000001" customHeight="1">
      <c r="A453" s="1266"/>
      <c r="B453" s="1208" t="s">
        <v>1391</v>
      </c>
      <c r="C453" s="1975">
        <f>28/5</f>
        <v>5.6</v>
      </c>
      <c r="D453" s="1853" t="s">
        <v>1385</v>
      </c>
      <c r="E453" s="1861">
        <f>กรอกราคาวัสดุ!D58</f>
        <v>657.9</v>
      </c>
      <c r="F453" s="1208" t="s">
        <v>918</v>
      </c>
      <c r="G453" s="1208"/>
      <c r="H453" s="1211" t="s">
        <v>901</v>
      </c>
      <c r="I453" s="1861">
        <f>E453*C453</f>
        <v>3684.24</v>
      </c>
      <c r="J453" s="1208" t="s">
        <v>918</v>
      </c>
    </row>
    <row r="454" spans="1:11" ht="20.100000000000001" customHeight="1">
      <c r="A454" s="1266"/>
      <c r="B454" s="1208" t="s">
        <v>198</v>
      </c>
      <c r="C454" s="1975">
        <v>5.6</v>
      </c>
      <c r="D454" s="1853" t="s">
        <v>1073</v>
      </c>
      <c r="E454" s="1964">
        <f>I65</f>
        <v>48.12</v>
      </c>
      <c r="F454" s="1208" t="s">
        <v>918</v>
      </c>
      <c r="G454" s="1208"/>
      <c r="H454" s="1211" t="s">
        <v>901</v>
      </c>
      <c r="I454" s="1861">
        <f t="shared" ref="I454:I455" si="3">E454*C454</f>
        <v>269.47199999999998</v>
      </c>
      <c r="J454" s="1208" t="s">
        <v>918</v>
      </c>
      <c r="K454" s="2047"/>
    </row>
    <row r="455" spans="1:11" ht="20.100000000000001" customHeight="1">
      <c r="A455" s="1266"/>
      <c r="B455" s="1208" t="s">
        <v>1387</v>
      </c>
      <c r="C455" s="1975">
        <v>20</v>
      </c>
      <c r="D455" s="1853" t="s">
        <v>1071</v>
      </c>
      <c r="E455" s="1853">
        <v>84</v>
      </c>
      <c r="F455" s="1208" t="s">
        <v>918</v>
      </c>
      <c r="G455" s="1208"/>
      <c r="H455" s="1211" t="s">
        <v>901</v>
      </c>
      <c r="I455" s="1861">
        <f t="shared" si="3"/>
        <v>1680</v>
      </c>
      <c r="J455" s="1208" t="s">
        <v>918</v>
      </c>
      <c r="K455" s="2047"/>
    </row>
    <row r="456" spans="1:11" ht="20.100000000000001" customHeight="1">
      <c r="A456" s="1266"/>
      <c r="B456" s="1208" t="s">
        <v>199</v>
      </c>
      <c r="C456" s="1975">
        <v>0.35</v>
      </c>
      <c r="D456" s="1853" t="s">
        <v>1073</v>
      </c>
      <c r="E456" s="1861">
        <f>I323</f>
        <v>1546.67</v>
      </c>
      <c r="F456" s="1208" t="s">
        <v>918</v>
      </c>
      <c r="H456" s="1211" t="s">
        <v>901</v>
      </c>
      <c r="I456" s="1861">
        <f t="shared" ref="I456:I463" si="4">E456*C456</f>
        <v>541.33449999999993</v>
      </c>
      <c r="J456" s="1208" t="s">
        <v>918</v>
      </c>
      <c r="K456" s="2047"/>
    </row>
    <row r="457" spans="1:11" ht="20.100000000000001" customHeight="1">
      <c r="A457" s="1266"/>
      <c r="B457" s="1208" t="s">
        <v>1072</v>
      </c>
      <c r="C457" s="1975">
        <v>0.75</v>
      </c>
      <c r="D457" s="1853" t="s">
        <v>1073</v>
      </c>
      <c r="E457" s="1861">
        <f>I319</f>
        <v>338.73</v>
      </c>
      <c r="F457" s="1208" t="s">
        <v>918</v>
      </c>
      <c r="G457" s="1208"/>
      <c r="H457" s="1211" t="s">
        <v>901</v>
      </c>
      <c r="I457" s="1861">
        <f t="shared" si="4"/>
        <v>254.04750000000001</v>
      </c>
      <c r="J457" s="1208" t="s">
        <v>918</v>
      </c>
      <c r="K457" s="2047"/>
    </row>
    <row r="458" spans="1:11" ht="20.100000000000001" customHeight="1">
      <c r="A458" s="1266"/>
      <c r="B458" s="1208" t="s">
        <v>1386</v>
      </c>
      <c r="C458" s="1975">
        <f>C449</f>
        <v>1.6</v>
      </c>
      <c r="D458" s="1853" t="s">
        <v>1073</v>
      </c>
      <c r="E458" s="1861">
        <v>436</v>
      </c>
      <c r="F458" s="1208" t="s">
        <v>918</v>
      </c>
      <c r="G458" s="1208"/>
      <c r="H458" s="1211" t="s">
        <v>901</v>
      </c>
      <c r="I458" s="1861">
        <f t="shared" si="4"/>
        <v>697.6</v>
      </c>
      <c r="J458" s="1208" t="s">
        <v>918</v>
      </c>
      <c r="K458" s="2047"/>
    </row>
    <row r="459" spans="1:11" ht="20.100000000000001" customHeight="1">
      <c r="A459" s="1266"/>
      <c r="B459" s="1208" t="s">
        <v>1078</v>
      </c>
      <c r="C459" s="1975">
        <f>SUM(C450:C451)</f>
        <v>197.149</v>
      </c>
      <c r="D459" s="1853" t="s">
        <v>1077</v>
      </c>
      <c r="E459" s="1861">
        <v>2.8</v>
      </c>
      <c r="F459" s="1208" t="s">
        <v>918</v>
      </c>
      <c r="G459" s="1208"/>
      <c r="H459" s="1211" t="s">
        <v>901</v>
      </c>
      <c r="I459" s="1861">
        <f t="shared" si="4"/>
        <v>552.0172</v>
      </c>
      <c r="J459" s="1208" t="s">
        <v>918</v>
      </c>
    </row>
    <row r="460" spans="1:11" ht="20.100000000000001" customHeight="1">
      <c r="A460" s="1266"/>
      <c r="B460" s="1208" t="s">
        <v>1379</v>
      </c>
      <c r="C460" s="1975">
        <v>28</v>
      </c>
      <c r="D460" s="1853" t="s">
        <v>1381</v>
      </c>
      <c r="E460" s="1861">
        <v>133</v>
      </c>
      <c r="F460" s="1208" t="s">
        <v>918</v>
      </c>
      <c r="G460" s="1208"/>
      <c r="H460" s="1211" t="s">
        <v>901</v>
      </c>
      <c r="I460" s="1861">
        <f t="shared" si="4"/>
        <v>3724</v>
      </c>
      <c r="J460" s="1208" t="s">
        <v>918</v>
      </c>
    </row>
    <row r="461" spans="1:11" ht="20.100000000000001" customHeight="1">
      <c r="A461" s="1266"/>
      <c r="B461" s="1208" t="s">
        <v>1382</v>
      </c>
      <c r="C461" s="1975">
        <f>C456</f>
        <v>0.35</v>
      </c>
      <c r="D461" s="1853" t="s">
        <v>1073</v>
      </c>
      <c r="E461" s="1861">
        <v>398</v>
      </c>
      <c r="F461" s="1208" t="s">
        <v>918</v>
      </c>
      <c r="G461" s="1208"/>
      <c r="H461" s="1211" t="s">
        <v>901</v>
      </c>
      <c r="I461" s="1861">
        <f t="shared" si="4"/>
        <v>139.29999999999998</v>
      </c>
      <c r="J461" s="1208" t="s">
        <v>918</v>
      </c>
    </row>
    <row r="462" spans="1:11" ht="20.100000000000001" customHeight="1">
      <c r="A462" s="1266"/>
      <c r="B462" s="1208" t="s">
        <v>1074</v>
      </c>
      <c r="C462" s="1975">
        <f>C457</f>
        <v>0.75</v>
      </c>
      <c r="D462" s="1853" t="s">
        <v>1073</v>
      </c>
      <c r="E462" s="1861">
        <v>99</v>
      </c>
      <c r="F462" s="1208" t="s">
        <v>918</v>
      </c>
      <c r="G462" s="1208"/>
      <c r="H462" s="1211" t="s">
        <v>901</v>
      </c>
      <c r="I462" s="1861">
        <f t="shared" si="4"/>
        <v>74.25</v>
      </c>
      <c r="J462" s="1208" t="s">
        <v>918</v>
      </c>
    </row>
    <row r="463" spans="1:11" ht="20.100000000000001" customHeight="1">
      <c r="A463" s="1266"/>
      <c r="B463" s="1208" t="s">
        <v>1079</v>
      </c>
      <c r="C463" s="1975">
        <v>2E-3</v>
      </c>
      <c r="D463" s="1853" t="s">
        <v>1073</v>
      </c>
      <c r="E463" s="1861">
        <f>ค่างานต้นทุน!I194</f>
        <v>43022.18</v>
      </c>
      <c r="F463" s="1208" t="s">
        <v>918</v>
      </c>
      <c r="G463" s="1208"/>
      <c r="H463" s="1211" t="s">
        <v>901</v>
      </c>
      <c r="I463" s="1861">
        <f t="shared" si="4"/>
        <v>86.044359999999998</v>
      </c>
      <c r="J463" s="1208" t="s">
        <v>918</v>
      </c>
    </row>
    <row r="464" spans="1:11" ht="20.100000000000001" customHeight="1">
      <c r="A464" s="1266"/>
      <c r="B464" s="1208" t="s">
        <v>1388</v>
      </c>
      <c r="C464" s="1982"/>
      <c r="G464" s="1208"/>
      <c r="H464" s="1211" t="s">
        <v>901</v>
      </c>
      <c r="I464" s="1861">
        <f>SUM(I449:I463)</f>
        <v>19945.91575312</v>
      </c>
      <c r="J464" s="1208" t="s">
        <v>918</v>
      </c>
    </row>
    <row r="465" spans="1:10" ht="20.100000000000001" customHeight="1">
      <c r="A465" s="1266"/>
      <c r="B465" s="1981" t="s">
        <v>1394</v>
      </c>
      <c r="G465" s="1208"/>
      <c r="H465" s="1211"/>
      <c r="J465" s="1208"/>
    </row>
    <row r="466" spans="1:10" ht="20.100000000000001" customHeight="1">
      <c r="A466" s="1266"/>
      <c r="B466" s="1208" t="s">
        <v>1377</v>
      </c>
      <c r="C466" s="1271">
        <v>10</v>
      </c>
      <c r="D466" s="1853" t="s">
        <v>1071</v>
      </c>
      <c r="E466" s="1228" t="s">
        <v>1390</v>
      </c>
      <c r="G466" s="1208"/>
      <c r="H466" s="1211"/>
      <c r="J466" s="1208"/>
    </row>
    <row r="467" spans="1:10" ht="20.100000000000001" customHeight="1">
      <c r="A467" s="1266"/>
      <c r="B467" s="1208" t="s">
        <v>1075</v>
      </c>
      <c r="C467" s="1975">
        <v>0.36</v>
      </c>
      <c r="D467" s="1853" t="s">
        <v>1073</v>
      </c>
      <c r="E467" s="1861">
        <f>ค2</f>
        <v>1732.58</v>
      </c>
      <c r="F467" s="1208" t="s">
        <v>918</v>
      </c>
      <c r="G467" s="1208"/>
      <c r="H467" s="1211" t="s">
        <v>901</v>
      </c>
      <c r="I467" s="1861">
        <f>E467*C467</f>
        <v>623.72879999999998</v>
      </c>
      <c r="J467" s="1208" t="s">
        <v>918</v>
      </c>
    </row>
    <row r="468" spans="1:10" ht="20.100000000000001" customHeight="1">
      <c r="A468" s="1266"/>
      <c r="B468" s="1208" t="s">
        <v>1383</v>
      </c>
      <c r="C468" s="1975">
        <f>0.222*28.88</f>
        <v>6.4113600000000002</v>
      </c>
      <c r="D468" s="1853" t="s">
        <v>1077</v>
      </c>
      <c r="E468" s="1861">
        <f>I328/1000</f>
        <v>26.850819999999999</v>
      </c>
      <c r="F468" s="1208" t="s">
        <v>918</v>
      </c>
      <c r="G468" s="1208"/>
      <c r="H468" s="1211" t="s">
        <v>901</v>
      </c>
      <c r="I468" s="1861">
        <f>E468*C468</f>
        <v>172.1502733152</v>
      </c>
      <c r="J468" s="1208" t="s">
        <v>918</v>
      </c>
    </row>
    <row r="469" spans="1:10" ht="20.100000000000001" customHeight="1">
      <c r="A469" s="1266"/>
      <c r="B469" s="1208" t="s">
        <v>1076</v>
      </c>
      <c r="C469" s="1975">
        <f>0.499*64.96</f>
        <v>32.415039999999998</v>
      </c>
      <c r="D469" s="1853" t="s">
        <v>1077</v>
      </c>
      <c r="E469" s="1861">
        <f>I329/1000</f>
        <v>25.215400000000002</v>
      </c>
      <c r="F469" s="1208" t="s">
        <v>918</v>
      </c>
      <c r="G469" s="1208"/>
      <c r="H469" s="1211" t="s">
        <v>901</v>
      </c>
      <c r="I469" s="1861">
        <f>E469*C469</f>
        <v>817.35819961599998</v>
      </c>
      <c r="J469" s="1208" t="s">
        <v>918</v>
      </c>
    </row>
    <row r="470" spans="1:10" ht="20.100000000000001" customHeight="1">
      <c r="A470" s="1266"/>
      <c r="B470" s="1208" t="s">
        <v>1384</v>
      </c>
      <c r="C470" s="1975">
        <f>SUM(C468:C469)*0.025</f>
        <v>0.97066000000000008</v>
      </c>
      <c r="D470" s="1853" t="s">
        <v>1077</v>
      </c>
      <c r="E470" s="1861">
        <f>กรอกราคาวัสดุ!D57</f>
        <v>86.92</v>
      </c>
      <c r="F470" s="1208" t="s">
        <v>918</v>
      </c>
      <c r="G470" s="1208"/>
      <c r="H470" s="1211" t="s">
        <v>901</v>
      </c>
      <c r="I470" s="1861">
        <f>E470*C470</f>
        <v>84.369767200000013</v>
      </c>
      <c r="J470" s="1208" t="s">
        <v>918</v>
      </c>
    </row>
    <row r="471" spans="1:10" ht="20.100000000000001" customHeight="1">
      <c r="A471" s="1266"/>
      <c r="B471" s="1208" t="s">
        <v>1392</v>
      </c>
      <c r="C471" s="1975">
        <f>8/5</f>
        <v>1.6</v>
      </c>
      <c r="D471" s="1853" t="s">
        <v>1385</v>
      </c>
      <c r="E471" s="1861">
        <f>กรอกราคาวัสดุ!D58</f>
        <v>657.9</v>
      </c>
      <c r="F471" s="1208" t="s">
        <v>918</v>
      </c>
      <c r="G471" s="1208"/>
      <c r="H471" s="1211" t="s">
        <v>901</v>
      </c>
      <c r="I471" s="1861">
        <f>E471*C471</f>
        <v>1052.6400000000001</v>
      </c>
      <c r="J471" s="1208" t="s">
        <v>918</v>
      </c>
    </row>
    <row r="472" spans="1:10" ht="20.100000000000001" customHeight="1">
      <c r="A472" s="1266"/>
      <c r="B472" s="1208" t="s">
        <v>1386</v>
      </c>
      <c r="C472" s="1975">
        <f>C467</f>
        <v>0.36</v>
      </c>
      <c r="D472" s="1853" t="s">
        <v>1073</v>
      </c>
      <c r="E472" s="1861">
        <v>436</v>
      </c>
      <c r="F472" s="1208" t="s">
        <v>918</v>
      </c>
      <c r="G472" s="1208"/>
      <c r="H472" s="1211" t="s">
        <v>901</v>
      </c>
      <c r="I472" s="1861">
        <f t="shared" ref="I472:I474" si="5">E472*C472</f>
        <v>156.96</v>
      </c>
      <c r="J472" s="1208" t="s">
        <v>918</v>
      </c>
    </row>
    <row r="473" spans="1:10" ht="20.100000000000001" customHeight="1">
      <c r="A473" s="1266"/>
      <c r="B473" s="1208" t="s">
        <v>1078</v>
      </c>
      <c r="C473" s="1975">
        <f>SUM(C468:C469)</f>
        <v>38.8264</v>
      </c>
      <c r="D473" s="1853" t="s">
        <v>1077</v>
      </c>
      <c r="E473" s="1861">
        <v>2.8</v>
      </c>
      <c r="F473" s="1208" t="s">
        <v>918</v>
      </c>
      <c r="G473" s="1208"/>
      <c r="H473" s="1211" t="s">
        <v>901</v>
      </c>
      <c r="I473" s="1861">
        <f t="shared" si="5"/>
        <v>108.71391999999999</v>
      </c>
      <c r="J473" s="1208" t="s">
        <v>918</v>
      </c>
    </row>
    <row r="474" spans="1:10" ht="20.100000000000001" customHeight="1">
      <c r="A474" s="1266"/>
      <c r="B474" s="1208" t="s">
        <v>1379</v>
      </c>
      <c r="C474" s="1975">
        <v>8</v>
      </c>
      <c r="D474" s="1853" t="s">
        <v>1381</v>
      </c>
      <c r="E474" s="1861">
        <v>133</v>
      </c>
      <c r="F474" s="1208" t="s">
        <v>918</v>
      </c>
      <c r="G474" s="1208"/>
      <c r="H474" s="1211" t="s">
        <v>901</v>
      </c>
      <c r="I474" s="1861">
        <f t="shared" si="5"/>
        <v>1064</v>
      </c>
      <c r="J474" s="1208" t="s">
        <v>918</v>
      </c>
    </row>
    <row r="475" spans="1:10" ht="20.100000000000001" customHeight="1">
      <c r="A475" s="1266"/>
      <c r="B475" s="1208" t="s">
        <v>1388</v>
      </c>
      <c r="G475" s="1208"/>
      <c r="H475" s="1211" t="s">
        <v>901</v>
      </c>
      <c r="I475" s="1861">
        <f>SUM(I467:I474)</f>
        <v>4079.9209601312004</v>
      </c>
      <c r="J475" s="1208" t="s">
        <v>918</v>
      </c>
    </row>
    <row r="476" spans="1:10" ht="20.100000000000001" customHeight="1">
      <c r="A476" s="1266"/>
      <c r="B476" s="1208" t="s">
        <v>1393</v>
      </c>
      <c r="C476" s="1982">
        <f>I464+I475</f>
        <v>24025.836713251199</v>
      </c>
      <c r="D476" s="1208" t="s">
        <v>1380</v>
      </c>
      <c r="G476" s="1208"/>
      <c r="H476" s="1211" t="s">
        <v>901</v>
      </c>
      <c r="I476" s="1861">
        <f>ROUND((C476/C466),2)</f>
        <v>2402.58</v>
      </c>
      <c r="J476" s="1208" t="s">
        <v>1080</v>
      </c>
    </row>
    <row r="477" spans="1:10" ht="20.100000000000001" customHeight="1">
      <c r="A477" s="1266"/>
      <c r="B477" s="1208" t="s">
        <v>1400</v>
      </c>
      <c r="G477" s="1208"/>
      <c r="H477" s="1211" t="s">
        <v>901</v>
      </c>
      <c r="I477" s="1902">
        <f>IF(I476=0,0,ROUNDDOWN(I476,-1))</f>
        <v>2400</v>
      </c>
      <c r="J477" s="1208" t="s">
        <v>1080</v>
      </c>
    </row>
    <row r="478" spans="1:10" ht="20.100000000000001" customHeight="1">
      <c r="A478" s="1266"/>
      <c r="B478" s="1981" t="s">
        <v>1401</v>
      </c>
      <c r="G478" s="1208"/>
      <c r="H478" s="1211"/>
      <c r="J478" s="1208"/>
    </row>
    <row r="479" spans="1:10" ht="20.100000000000001" customHeight="1">
      <c r="A479" s="1266"/>
      <c r="B479" s="1208" t="s">
        <v>1402</v>
      </c>
      <c r="C479" s="1271">
        <v>9.36</v>
      </c>
      <c r="D479" s="1853" t="s">
        <v>1071</v>
      </c>
      <c r="E479" s="1861"/>
      <c r="G479" s="1208"/>
      <c r="H479" s="1211"/>
      <c r="I479" s="1861"/>
      <c r="J479" s="1208"/>
    </row>
    <row r="480" spans="1:10" ht="20.100000000000001" customHeight="1">
      <c r="A480" s="1266"/>
      <c r="B480" s="1208" t="s">
        <v>1403</v>
      </c>
      <c r="C480" s="1271">
        <v>4.5599999999999996</v>
      </c>
      <c r="D480" s="1853" t="s">
        <v>1071</v>
      </c>
      <c r="E480" s="1861"/>
      <c r="G480" s="1208"/>
      <c r="H480" s="1211"/>
      <c r="I480" s="1861"/>
      <c r="J480" s="1208"/>
    </row>
    <row r="481" spans="1:10" ht="20.100000000000001" customHeight="1">
      <c r="A481" s="1266"/>
      <c r="B481" s="1853" t="s">
        <v>186</v>
      </c>
      <c r="C481" s="1271">
        <f>(((2.03*C479)+(7.29*C480))*1.1)</f>
        <v>57.46752</v>
      </c>
      <c r="D481" s="1853" t="s">
        <v>1077</v>
      </c>
      <c r="E481" s="1861">
        <v>21.5</v>
      </c>
      <c r="F481" s="1208" t="s">
        <v>918</v>
      </c>
      <c r="G481" s="1208"/>
      <c r="H481" s="1211" t="s">
        <v>901</v>
      </c>
      <c r="I481" s="1861">
        <f>E481*C481</f>
        <v>1235.55168</v>
      </c>
      <c r="J481" s="1208" t="s">
        <v>918</v>
      </c>
    </row>
    <row r="482" spans="1:10" ht="20.100000000000001" customHeight="1">
      <c r="A482" s="1266"/>
      <c r="B482" s="1208" t="s">
        <v>1397</v>
      </c>
      <c r="C482" s="1271">
        <f>(((2.03*C479)+(7.29*C480))*1.1)</f>
        <v>57.46752</v>
      </c>
      <c r="D482" s="1853" t="s">
        <v>1077</v>
      </c>
      <c r="E482" s="1861">
        <v>10</v>
      </c>
      <c r="F482" s="1208" t="s">
        <v>918</v>
      </c>
      <c r="G482" s="1208"/>
      <c r="H482" s="1211" t="s">
        <v>901</v>
      </c>
      <c r="I482" s="1861">
        <f>E482*C482</f>
        <v>574.67520000000002</v>
      </c>
      <c r="J482" s="1208" t="s">
        <v>918</v>
      </c>
    </row>
    <row r="483" spans="1:10" ht="20.100000000000001" customHeight="1">
      <c r="A483" s="1266"/>
      <c r="B483" s="1208" t="s">
        <v>1398</v>
      </c>
      <c r="C483" s="1271">
        <f>(0.2*C480)+(0.1*C479)</f>
        <v>1.8479999999999999</v>
      </c>
      <c r="D483" s="1853" t="s">
        <v>1385</v>
      </c>
      <c r="E483" s="1861">
        <v>23.33</v>
      </c>
      <c r="F483" s="1208" t="s">
        <v>918</v>
      </c>
      <c r="G483" s="1208"/>
      <c r="H483" s="1211" t="s">
        <v>901</v>
      </c>
      <c r="I483" s="1861">
        <f>E483*C483</f>
        <v>43.113839999999996</v>
      </c>
      <c r="J483" s="1208" t="s">
        <v>918</v>
      </c>
    </row>
    <row r="484" spans="1:10" ht="20.100000000000001" customHeight="1">
      <c r="A484" s="1266"/>
      <c r="B484" s="1208" t="s">
        <v>1399</v>
      </c>
      <c r="C484" s="1271">
        <f>(0.2*C480)+(0.1*C479)</f>
        <v>1.8479999999999999</v>
      </c>
      <c r="D484" s="1853" t="s">
        <v>1385</v>
      </c>
      <c r="E484" s="1861">
        <v>12.67</v>
      </c>
      <c r="F484" s="1208" t="s">
        <v>918</v>
      </c>
      <c r="G484" s="1208"/>
      <c r="H484" s="1211" t="s">
        <v>901</v>
      </c>
      <c r="I484" s="1861">
        <f>E484*C484</f>
        <v>23.414159999999999</v>
      </c>
      <c r="J484" s="1208" t="s">
        <v>918</v>
      </c>
    </row>
    <row r="485" spans="1:10" ht="20.100000000000001" customHeight="1">
      <c r="A485" s="1266"/>
      <c r="B485" s="1208" t="s">
        <v>1388</v>
      </c>
      <c r="G485" s="1208"/>
      <c r="H485" s="1211" t="s">
        <v>901</v>
      </c>
      <c r="I485" s="1861">
        <f>SUM(I481:I484)</f>
        <v>1876.7548800000002</v>
      </c>
      <c r="J485" s="1208" t="s">
        <v>918</v>
      </c>
    </row>
    <row r="486" spans="1:10" ht="20.100000000000001" customHeight="1">
      <c r="A486" s="1266"/>
      <c r="B486" s="1208" t="s">
        <v>1404</v>
      </c>
      <c r="C486" s="1982">
        <f>I464+(I485*10)</f>
        <v>38713.46455312</v>
      </c>
      <c r="D486" s="1208" t="s">
        <v>1380</v>
      </c>
      <c r="G486" s="1208"/>
      <c r="H486" s="1211" t="s">
        <v>901</v>
      </c>
      <c r="I486" s="1861">
        <f>ROUND((C486/C479),2)</f>
        <v>4136.05</v>
      </c>
      <c r="J486" s="1208" t="s">
        <v>1080</v>
      </c>
    </row>
    <row r="487" spans="1:10" ht="20.100000000000001" customHeight="1">
      <c r="A487" s="1266"/>
      <c r="B487" s="1208" t="s">
        <v>1405</v>
      </c>
      <c r="G487" s="1208"/>
      <c r="H487" s="1211" t="s">
        <v>901</v>
      </c>
      <c r="I487" s="1902">
        <f>IF(I486=0,0,ROUNDDOWN(I486,-1))</f>
        <v>4130</v>
      </c>
      <c r="J487" s="1208" t="s">
        <v>1080</v>
      </c>
    </row>
    <row r="488" spans="1:10" ht="20.100000000000001" customHeight="1">
      <c r="A488" s="1980">
        <v>19.2</v>
      </c>
      <c r="B488" s="1981" t="s">
        <v>1081</v>
      </c>
      <c r="G488" s="1208"/>
      <c r="H488" s="1211"/>
      <c r="J488" s="1208"/>
    </row>
    <row r="489" spans="1:10" ht="20.100000000000001" customHeight="1">
      <c r="B489" s="1208" t="s">
        <v>1082</v>
      </c>
      <c r="G489" s="1208"/>
    </row>
    <row r="490" spans="1:10" ht="20.100000000000001" customHeight="1">
      <c r="B490" s="1208" t="s">
        <v>1075</v>
      </c>
      <c r="C490" s="1271">
        <v>0.44</v>
      </c>
      <c r="D490" s="1853" t="s">
        <v>1073</v>
      </c>
      <c r="E490" s="1861">
        <f>ค2</f>
        <v>1732.58</v>
      </c>
      <c r="F490" s="1208" t="s">
        <v>918</v>
      </c>
      <c r="G490" s="1208"/>
      <c r="H490" s="1211" t="s">
        <v>901</v>
      </c>
      <c r="I490" s="1861">
        <f t="shared" ref="I490:I496" si="6">E490*C490</f>
        <v>762.33519999999999</v>
      </c>
      <c r="J490" s="1208" t="s">
        <v>918</v>
      </c>
    </row>
    <row r="491" spans="1:10" ht="20.100000000000001" customHeight="1">
      <c r="B491" s="1208" t="s">
        <v>1083</v>
      </c>
      <c r="C491" s="1271">
        <v>32.340000000000003</v>
      </c>
      <c r="D491" s="1853" t="s">
        <v>1077</v>
      </c>
      <c r="E491" s="1983">
        <f>E451</f>
        <v>25.215400000000002</v>
      </c>
      <c r="F491" s="1208" t="s">
        <v>918</v>
      </c>
      <c r="H491" s="1211" t="s">
        <v>901</v>
      </c>
      <c r="I491" s="1861">
        <f t="shared" si="6"/>
        <v>815.46603600000014</v>
      </c>
      <c r="J491" s="1208" t="s">
        <v>918</v>
      </c>
    </row>
    <row r="492" spans="1:10" ht="20.100000000000001" customHeight="1">
      <c r="B492" s="1208" t="s">
        <v>892</v>
      </c>
      <c r="C492" s="1271">
        <f>C491*0.025</f>
        <v>0.80850000000000011</v>
      </c>
      <c r="D492" s="1853" t="s">
        <v>1077</v>
      </c>
      <c r="E492" s="1861">
        <f>E452</f>
        <v>86.92</v>
      </c>
      <c r="F492" s="1208" t="s">
        <v>918</v>
      </c>
      <c r="H492" s="1211" t="s">
        <v>901</v>
      </c>
      <c r="I492" s="1861">
        <f t="shared" si="6"/>
        <v>70.274820000000005</v>
      </c>
      <c r="J492" s="1208" t="s">
        <v>918</v>
      </c>
    </row>
    <row r="493" spans="1:10" ht="20.100000000000001" customHeight="1">
      <c r="B493" s="1208" t="s">
        <v>885</v>
      </c>
      <c r="C493" s="1271">
        <f>6.12*0.2</f>
        <v>1.2240000000000002</v>
      </c>
      <c r="D493" s="1853" t="s">
        <v>1084</v>
      </c>
      <c r="E493" s="1983">
        <f>E453</f>
        <v>657.9</v>
      </c>
      <c r="F493" s="1208" t="s">
        <v>918</v>
      </c>
      <c r="H493" s="1211" t="s">
        <v>901</v>
      </c>
      <c r="I493" s="1861">
        <f t="shared" si="6"/>
        <v>805.26960000000008</v>
      </c>
      <c r="J493" s="1208" t="s">
        <v>918</v>
      </c>
    </row>
    <row r="494" spans="1:10" ht="20.100000000000001" customHeight="1">
      <c r="B494" s="1208" t="s">
        <v>894</v>
      </c>
      <c r="C494" s="1271">
        <v>3.5999999999999997E-2</v>
      </c>
      <c r="D494" s="1853" t="s">
        <v>1073</v>
      </c>
      <c r="E494" s="1983">
        <f>E457</f>
        <v>338.73</v>
      </c>
      <c r="F494" s="1208" t="s">
        <v>918</v>
      </c>
      <c r="G494" s="1208"/>
      <c r="H494" s="1211" t="s">
        <v>901</v>
      </c>
      <c r="I494" s="1861">
        <f t="shared" si="6"/>
        <v>12.194279999999999</v>
      </c>
      <c r="J494" s="1208" t="s">
        <v>918</v>
      </c>
    </row>
    <row r="495" spans="1:10" ht="20.100000000000001" customHeight="1">
      <c r="B495" s="1208" t="s">
        <v>199</v>
      </c>
      <c r="C495" s="1271">
        <f>C494</f>
        <v>3.5999999999999997E-2</v>
      </c>
      <c r="D495" s="1853" t="s">
        <v>1073</v>
      </c>
      <c r="E495" s="1983">
        <f>E456</f>
        <v>1546.67</v>
      </c>
      <c r="F495" s="1208" t="s">
        <v>918</v>
      </c>
      <c r="G495" s="1208"/>
      <c r="H495" s="1211" t="s">
        <v>901</v>
      </c>
      <c r="I495" s="1861">
        <f t="shared" si="6"/>
        <v>55.680119999999995</v>
      </c>
      <c r="J495" s="1208" t="s">
        <v>918</v>
      </c>
    </row>
    <row r="496" spans="1:10" ht="20.100000000000001" customHeight="1">
      <c r="B496" s="1208" t="s">
        <v>1406</v>
      </c>
      <c r="C496" s="1271">
        <v>7.36</v>
      </c>
      <c r="D496" s="1853" t="s">
        <v>1077</v>
      </c>
      <c r="E496" s="1983">
        <v>24.45</v>
      </c>
      <c r="F496" s="1208" t="s">
        <v>918</v>
      </c>
      <c r="G496" s="1208"/>
      <c r="H496" s="1211" t="s">
        <v>901</v>
      </c>
      <c r="I496" s="1861">
        <f t="shared" si="6"/>
        <v>179.952</v>
      </c>
      <c r="J496" s="1208" t="s">
        <v>918</v>
      </c>
    </row>
    <row r="497" spans="1:10" ht="20.100000000000001" customHeight="1">
      <c r="B497" s="1208" t="s">
        <v>1085</v>
      </c>
      <c r="C497" s="1271"/>
      <c r="H497" s="1211" t="s">
        <v>901</v>
      </c>
      <c r="I497" s="1861">
        <f>SUM(I490:I496)</f>
        <v>2701.1720560000003</v>
      </c>
      <c r="J497" s="1208" t="s">
        <v>918</v>
      </c>
    </row>
    <row r="498" spans="1:10" ht="20.100000000000001" customHeight="1">
      <c r="B498" s="1208" t="s">
        <v>1086</v>
      </c>
      <c r="C498" s="1271"/>
    </row>
    <row r="499" spans="1:10" ht="20.100000000000001" customHeight="1">
      <c r="B499" s="1208" t="s">
        <v>1075</v>
      </c>
      <c r="C499" s="1271">
        <v>0.13300000000000001</v>
      </c>
      <c r="D499" s="1853" t="s">
        <v>1073</v>
      </c>
      <c r="E499" s="1861">
        <f>ค2</f>
        <v>1732.58</v>
      </c>
      <c r="F499" s="1208" t="s">
        <v>918</v>
      </c>
      <c r="G499" s="1208"/>
      <c r="H499" s="1211" t="s">
        <v>901</v>
      </c>
      <c r="I499" s="1861">
        <f t="shared" ref="I499:I504" si="7">E499*C499</f>
        <v>230.43314000000001</v>
      </c>
      <c r="J499" s="1208" t="s">
        <v>918</v>
      </c>
    </row>
    <row r="500" spans="1:10" ht="20.100000000000001" customHeight="1">
      <c r="B500" s="1208" t="s">
        <v>1406</v>
      </c>
      <c r="C500" s="1271">
        <v>7.36</v>
      </c>
      <c r="D500" s="1853" t="s">
        <v>1077</v>
      </c>
      <c r="E500" s="1983">
        <v>24.45</v>
      </c>
      <c r="F500" s="1208" t="s">
        <v>918</v>
      </c>
      <c r="G500" s="1208"/>
      <c r="H500" s="1211" t="s">
        <v>901</v>
      </c>
      <c r="I500" s="1861">
        <f t="shared" si="7"/>
        <v>179.952</v>
      </c>
      <c r="J500" s="1208" t="s">
        <v>918</v>
      </c>
    </row>
    <row r="501" spans="1:10" ht="20.100000000000001" customHeight="1">
      <c r="B501" s="1208" t="s">
        <v>1083</v>
      </c>
      <c r="C501" s="1271">
        <v>6.86</v>
      </c>
      <c r="D501" s="1853" t="s">
        <v>1077</v>
      </c>
      <c r="E501" s="1983">
        <f>E491</f>
        <v>25.215400000000002</v>
      </c>
      <c r="F501" s="1208" t="s">
        <v>918</v>
      </c>
      <c r="H501" s="1211" t="s">
        <v>901</v>
      </c>
      <c r="I501" s="1861">
        <f t="shared" si="7"/>
        <v>172.97764400000003</v>
      </c>
      <c r="J501" s="1208" t="s">
        <v>918</v>
      </c>
    </row>
    <row r="502" spans="1:10" ht="20.100000000000001" customHeight="1">
      <c r="B502" s="1208" t="s">
        <v>892</v>
      </c>
      <c r="C502" s="1271">
        <f>C501*0.025</f>
        <v>0.17150000000000001</v>
      </c>
      <c r="D502" s="1853" t="s">
        <v>1077</v>
      </c>
      <c r="E502" s="1861">
        <f>E493</f>
        <v>657.9</v>
      </c>
      <c r="F502" s="1208" t="s">
        <v>918</v>
      </c>
      <c r="H502" s="1211" t="s">
        <v>901</v>
      </c>
      <c r="I502" s="1861">
        <f t="shared" si="7"/>
        <v>112.82985000000001</v>
      </c>
      <c r="J502" s="1208" t="s">
        <v>918</v>
      </c>
    </row>
    <row r="503" spans="1:10" ht="20.100000000000001" customHeight="1">
      <c r="B503" s="1208" t="s">
        <v>885</v>
      </c>
      <c r="C503" s="1271">
        <f>0.68*0.2</f>
        <v>0.13600000000000001</v>
      </c>
      <c r="D503" s="1853" t="s">
        <v>1084</v>
      </c>
      <c r="E503" s="1983">
        <f>E490</f>
        <v>1732.58</v>
      </c>
      <c r="F503" s="1208" t="s">
        <v>918</v>
      </c>
      <c r="H503" s="1211" t="s">
        <v>901</v>
      </c>
      <c r="I503" s="1861">
        <f t="shared" si="7"/>
        <v>235.63088000000002</v>
      </c>
      <c r="J503" s="1208" t="s">
        <v>918</v>
      </c>
    </row>
    <row r="504" spans="1:10" ht="20.100000000000001" customHeight="1">
      <c r="B504" s="1208" t="s">
        <v>1087</v>
      </c>
      <c r="C504" s="1271">
        <v>3</v>
      </c>
      <c r="D504" s="1853" t="s">
        <v>1088</v>
      </c>
      <c r="E504" s="1861">
        <v>0.183</v>
      </c>
      <c r="F504" s="1208" t="s">
        <v>918</v>
      </c>
      <c r="H504" s="1211" t="s">
        <v>901</v>
      </c>
      <c r="I504" s="1861">
        <f t="shared" si="7"/>
        <v>0.54899999999999993</v>
      </c>
      <c r="J504" s="1208" t="s">
        <v>918</v>
      </c>
    </row>
    <row r="505" spans="1:10" ht="20.100000000000001" customHeight="1">
      <c r="B505" s="1208" t="s">
        <v>383</v>
      </c>
      <c r="H505" s="1211" t="s">
        <v>901</v>
      </c>
      <c r="I505" s="1861">
        <f>SUM(I499:I504)</f>
        <v>932.37251400000002</v>
      </c>
      <c r="J505" s="1208" t="s">
        <v>918</v>
      </c>
    </row>
    <row r="506" spans="1:10" ht="20.100000000000001" customHeight="1">
      <c r="B506" s="1208" t="s">
        <v>1089</v>
      </c>
      <c r="D506" s="1982"/>
      <c r="H506" s="1211" t="s">
        <v>901</v>
      </c>
      <c r="I506" s="1976">
        <f>ROUND((I505+I497),2)</f>
        <v>3633.54</v>
      </c>
      <c r="J506" s="1208" t="s">
        <v>918</v>
      </c>
    </row>
    <row r="507" spans="1:10" ht="20.100000000000001" customHeight="1">
      <c r="A507" s="1211">
        <v>20</v>
      </c>
      <c r="B507" s="1208" t="s">
        <v>613</v>
      </c>
    </row>
    <row r="508" spans="1:10" ht="20.100000000000001" customHeight="1">
      <c r="B508" s="1208" t="s">
        <v>1090</v>
      </c>
      <c r="H508" s="1854" t="s">
        <v>901</v>
      </c>
      <c r="I508" s="1984">
        <f>'ค่าเสื่อมราคา(แก้ไข26ธค.60)'!G80</f>
        <v>13.770000000000001</v>
      </c>
      <c r="J508" s="1855" t="s">
        <v>918</v>
      </c>
    </row>
    <row r="509" spans="1:10" ht="20.100000000000001" customHeight="1">
      <c r="B509" s="1208" t="s">
        <v>383</v>
      </c>
      <c r="H509" s="1854" t="s">
        <v>901</v>
      </c>
      <c r="I509" s="1984">
        <f>ROUND((SUM(I508:I508)),2)</f>
        <v>13.77</v>
      </c>
      <c r="J509" s="1855" t="s">
        <v>918</v>
      </c>
    </row>
    <row r="510" spans="1:10" ht="20.100000000000001" customHeight="1">
      <c r="I510" s="1984"/>
    </row>
    <row r="511" spans="1:10" ht="20.100000000000001" customHeight="1">
      <c r="I511" s="1984"/>
    </row>
    <row r="512" spans="1:10" ht="20.100000000000001" customHeight="1">
      <c r="I512" s="1984"/>
    </row>
    <row r="513" spans="1:11" ht="20.100000000000001" customHeight="1">
      <c r="I513" s="1984"/>
    </row>
    <row r="514" spans="1:11" ht="20.100000000000001" customHeight="1">
      <c r="I514" s="1984"/>
    </row>
    <row r="515" spans="1:11" ht="20.100000000000001" customHeight="1">
      <c r="I515" s="1984"/>
    </row>
    <row r="516" spans="1:11" ht="20.100000000000001" customHeight="1">
      <c r="I516" s="1984"/>
    </row>
    <row r="517" spans="1:11" ht="20.100000000000001" customHeight="1">
      <c r="I517" s="1984"/>
    </row>
    <row r="518" spans="1:11" ht="20.100000000000001" customHeight="1">
      <c r="I518" s="1984"/>
    </row>
    <row r="519" spans="1:11" ht="20.100000000000001" customHeight="1">
      <c r="I519" s="1984"/>
    </row>
    <row r="520" spans="1:11" ht="20.100000000000001" customHeight="1">
      <c r="G520" s="1208"/>
      <c r="H520" s="1211"/>
      <c r="J520" s="1208"/>
      <c r="K520" s="2047"/>
    </row>
    <row r="521" spans="1:11" ht="20.100000000000001" customHeight="1">
      <c r="A521" s="1859" t="s">
        <v>1771</v>
      </c>
      <c r="B521" s="1859"/>
      <c r="C521" s="1859"/>
      <c r="D521" s="1859"/>
      <c r="E521" s="1859"/>
      <c r="F521" s="1859"/>
      <c r="G521" s="1859"/>
      <c r="H521" s="1859"/>
      <c r="I521" s="1859"/>
      <c r="J521" s="1859"/>
      <c r="K521" s="2052"/>
    </row>
    <row r="522" spans="1:11" ht="20.100000000000001" customHeight="1">
      <c r="A522" s="1841"/>
      <c r="B522" s="1367" t="s">
        <v>1772</v>
      </c>
      <c r="C522" s="1367"/>
      <c r="D522" s="1930"/>
      <c r="E522" s="1859"/>
      <c r="F522" s="1367"/>
      <c r="G522" s="1860"/>
      <c r="H522" s="1881"/>
      <c r="I522" s="1859"/>
      <c r="J522" s="1928"/>
      <c r="K522" s="2058"/>
    </row>
    <row r="523" spans="1:11" ht="20.100000000000001" customHeight="1">
      <c r="A523" s="1928"/>
      <c r="B523" s="1859" t="s">
        <v>1730</v>
      </c>
      <c r="C523" s="1367"/>
      <c r="D523" s="1930"/>
      <c r="E523" s="1860" t="s">
        <v>1236</v>
      </c>
      <c r="F523" s="1985">
        <v>30</v>
      </c>
      <c r="G523" s="1986" t="s">
        <v>889</v>
      </c>
      <c r="H523" s="1881" t="s">
        <v>1099</v>
      </c>
      <c r="I523" s="1987">
        <f>'ปร.4 road'!F116</f>
        <v>0</v>
      </c>
      <c r="J523" s="1988" t="s">
        <v>168</v>
      </c>
      <c r="K523" s="2059"/>
    </row>
    <row r="524" spans="1:11" ht="20.100000000000001" customHeight="1">
      <c r="A524" s="1928"/>
      <c r="B524" s="1859" t="s">
        <v>1237</v>
      </c>
      <c r="C524" s="1367"/>
      <c r="D524" s="1930"/>
      <c r="E524" s="1367"/>
      <c r="F524" s="1367"/>
      <c r="G524" s="1860"/>
      <c r="H524" s="1989"/>
      <c r="I524" s="1367"/>
      <c r="J524" s="1367"/>
      <c r="K524" s="2060"/>
    </row>
    <row r="525" spans="1:11" ht="20.100000000000001" customHeight="1">
      <c r="A525" s="1928"/>
      <c r="B525" s="1932" t="s">
        <v>1561</v>
      </c>
      <c r="C525" s="1367"/>
      <c r="D525" s="1990">
        <v>10930</v>
      </c>
      <c r="E525" s="1256" t="s">
        <v>1238</v>
      </c>
      <c r="F525" s="1860">
        <f>I523</f>
        <v>0</v>
      </c>
      <c r="G525" s="1367" t="s">
        <v>1239</v>
      </c>
      <c r="H525" s="1928" t="s">
        <v>901</v>
      </c>
      <c r="I525" s="1990">
        <f>D525*F525</f>
        <v>0</v>
      </c>
      <c r="J525" s="1367" t="s">
        <v>918</v>
      </c>
      <c r="K525" s="2060"/>
    </row>
    <row r="526" spans="1:11" ht="20.100000000000001" customHeight="1">
      <c r="A526" s="1928"/>
      <c r="B526" s="1932" t="s">
        <v>1562</v>
      </c>
      <c r="C526" s="1367"/>
      <c r="D526" s="1990">
        <v>5990</v>
      </c>
      <c r="E526" s="1256" t="s">
        <v>1240</v>
      </c>
      <c r="F526" s="1860">
        <f>I523</f>
        <v>0</v>
      </c>
      <c r="G526" s="1367" t="s">
        <v>1241</v>
      </c>
      <c r="H526" s="1928" t="s">
        <v>901</v>
      </c>
      <c r="I526" s="1990">
        <f t="shared" ref="I526:I533" si="8">D526*F526</f>
        <v>0</v>
      </c>
      <c r="J526" s="1367" t="s">
        <v>918</v>
      </c>
      <c r="K526" s="2060"/>
    </row>
    <row r="527" spans="1:11" ht="20.100000000000001" customHeight="1">
      <c r="A527" s="1928"/>
      <c r="B527" s="1932" t="s">
        <v>1563</v>
      </c>
      <c r="C527" s="1367"/>
      <c r="D527" s="1990">
        <v>3400</v>
      </c>
      <c r="E527" s="1256" t="s">
        <v>1243</v>
      </c>
      <c r="F527" s="1860">
        <f>I523</f>
        <v>0</v>
      </c>
      <c r="G527" s="1367" t="s">
        <v>1244</v>
      </c>
      <c r="H527" s="1928" t="s">
        <v>901</v>
      </c>
      <c r="I527" s="1990">
        <f t="shared" si="8"/>
        <v>0</v>
      </c>
      <c r="J527" s="1367" t="s">
        <v>918</v>
      </c>
      <c r="K527" s="2060"/>
    </row>
    <row r="528" spans="1:11" ht="20.100000000000001" customHeight="1">
      <c r="A528" s="1928"/>
      <c r="B528" s="1932" t="s">
        <v>1564</v>
      </c>
      <c r="C528" s="1367"/>
      <c r="D528" s="1990">
        <v>165</v>
      </c>
      <c r="E528" s="1256" t="s">
        <v>1245</v>
      </c>
      <c r="F528" s="1991">
        <f>(F523+2)*I523</f>
        <v>0</v>
      </c>
      <c r="G528" s="1367" t="s">
        <v>1071</v>
      </c>
      <c r="H528" s="1928" t="s">
        <v>901</v>
      </c>
      <c r="I528" s="1990">
        <f t="shared" si="8"/>
        <v>0</v>
      </c>
      <c r="J528" s="1367" t="s">
        <v>918</v>
      </c>
      <c r="K528" s="2060"/>
    </row>
    <row r="529" spans="1:11" ht="20.100000000000001" customHeight="1">
      <c r="A529" s="1928"/>
      <c r="B529" s="1932" t="s">
        <v>1565</v>
      </c>
      <c r="C529" s="1367"/>
      <c r="D529" s="1990">
        <v>54.5</v>
      </c>
      <c r="E529" s="1256" t="s">
        <v>1245</v>
      </c>
      <c r="F529" s="1991">
        <f>(9*2)*I523</f>
        <v>0</v>
      </c>
      <c r="G529" s="1367" t="s">
        <v>1071</v>
      </c>
      <c r="H529" s="1928" t="s">
        <v>901</v>
      </c>
      <c r="I529" s="1990">
        <f t="shared" si="8"/>
        <v>0</v>
      </c>
      <c r="J529" s="1367" t="s">
        <v>918</v>
      </c>
      <c r="K529" s="2060"/>
    </row>
    <row r="530" spans="1:11" ht="20.100000000000001" customHeight="1">
      <c r="A530" s="1928"/>
      <c r="B530" s="1932" t="s">
        <v>1566</v>
      </c>
      <c r="C530" s="1367"/>
      <c r="D530" s="1990">
        <v>400</v>
      </c>
      <c r="E530" s="1256" t="s">
        <v>1240</v>
      </c>
      <c r="F530" s="1860">
        <f>I523</f>
        <v>0</v>
      </c>
      <c r="G530" s="1367" t="s">
        <v>1241</v>
      </c>
      <c r="H530" s="1928" t="s">
        <v>901</v>
      </c>
      <c r="I530" s="1990">
        <f t="shared" si="8"/>
        <v>0</v>
      </c>
      <c r="J530" s="1367" t="s">
        <v>1242</v>
      </c>
      <c r="K530" s="2060"/>
    </row>
    <row r="531" spans="1:11" ht="20.100000000000001" customHeight="1">
      <c r="A531" s="1928"/>
      <c r="B531" s="1932" t="s">
        <v>1246</v>
      </c>
      <c r="C531" s="1367"/>
      <c r="D531" s="1990">
        <v>100</v>
      </c>
      <c r="E531" s="1256" t="s">
        <v>1245</v>
      </c>
      <c r="F531" s="1991">
        <f>F523*I523</f>
        <v>0</v>
      </c>
      <c r="G531" s="1367" t="s">
        <v>1071</v>
      </c>
      <c r="H531" s="1928" t="s">
        <v>901</v>
      </c>
      <c r="I531" s="1990">
        <f t="shared" si="8"/>
        <v>0</v>
      </c>
      <c r="J531" s="1367" t="s">
        <v>918</v>
      </c>
      <c r="K531" s="2060"/>
    </row>
    <row r="532" spans="1:11" ht="20.100000000000001" customHeight="1">
      <c r="A532" s="1928"/>
      <c r="B532" s="1932" t="s">
        <v>1567</v>
      </c>
      <c r="C532" s="1367"/>
      <c r="D532" s="1990">
        <v>10</v>
      </c>
      <c r="E532" s="1256" t="s">
        <v>1240</v>
      </c>
      <c r="F532" s="1991">
        <f>F523*I523</f>
        <v>0</v>
      </c>
      <c r="G532" s="1367" t="s">
        <v>1071</v>
      </c>
      <c r="H532" s="1928" t="s">
        <v>901</v>
      </c>
      <c r="I532" s="1990">
        <f t="shared" si="8"/>
        <v>0</v>
      </c>
      <c r="J532" s="1367" t="s">
        <v>918</v>
      </c>
      <c r="K532" s="2060"/>
    </row>
    <row r="533" spans="1:11" ht="20.100000000000001" customHeight="1">
      <c r="A533" s="1928"/>
      <c r="B533" s="1932" t="s">
        <v>1568</v>
      </c>
      <c r="C533" s="1367"/>
      <c r="D533" s="1990">
        <v>450</v>
      </c>
      <c r="E533" s="1256" t="s">
        <v>1240</v>
      </c>
      <c r="F533" s="1860">
        <f>I523</f>
        <v>0</v>
      </c>
      <c r="G533" s="1367" t="s">
        <v>1241</v>
      </c>
      <c r="H533" s="1928" t="s">
        <v>901</v>
      </c>
      <c r="I533" s="1990">
        <f t="shared" si="8"/>
        <v>0</v>
      </c>
      <c r="J533" s="1367" t="s">
        <v>918</v>
      </c>
      <c r="K533" s="2060"/>
    </row>
    <row r="534" spans="1:11" ht="20.100000000000001" customHeight="1">
      <c r="A534" s="1928"/>
      <c r="B534" s="1859" t="s">
        <v>1247</v>
      </c>
      <c r="C534" s="1367"/>
      <c r="D534" s="1989"/>
      <c r="E534" s="1367"/>
      <c r="F534" s="1367"/>
      <c r="G534" s="1928"/>
      <c r="H534" s="1928"/>
      <c r="I534" s="1992"/>
      <c r="J534" s="1993"/>
      <c r="K534" s="2061"/>
    </row>
    <row r="535" spans="1:11" ht="20.100000000000001" customHeight="1">
      <c r="A535" s="1928"/>
      <c r="B535" s="1932" t="s">
        <v>1248</v>
      </c>
      <c r="C535" s="1367"/>
      <c r="D535" s="1985">
        <v>14450</v>
      </c>
      <c r="E535" s="1256" t="s">
        <v>1240</v>
      </c>
      <c r="F535" s="1928">
        <v>1</v>
      </c>
      <c r="G535" s="1367" t="s">
        <v>1241</v>
      </c>
      <c r="H535" s="1928" t="s">
        <v>901</v>
      </c>
      <c r="I535" s="1985">
        <f>D535*F535</f>
        <v>14450</v>
      </c>
      <c r="J535" s="1367" t="s">
        <v>918</v>
      </c>
      <c r="K535" s="2060"/>
    </row>
    <row r="536" spans="1:11" ht="20.100000000000001" customHeight="1">
      <c r="A536" s="1928"/>
      <c r="B536" s="1932" t="s">
        <v>1569</v>
      </c>
      <c r="C536" s="1367"/>
      <c r="D536" s="1985">
        <v>6500</v>
      </c>
      <c r="E536" s="1256" t="s">
        <v>1240</v>
      </c>
      <c r="F536" s="1928">
        <v>1</v>
      </c>
      <c r="G536" s="1367" t="s">
        <v>1241</v>
      </c>
      <c r="H536" s="1928" t="s">
        <v>901</v>
      </c>
      <c r="I536" s="1985">
        <f t="shared" ref="I536:I541" si="9">D536*F536</f>
        <v>6500</v>
      </c>
      <c r="J536" s="1367" t="s">
        <v>918</v>
      </c>
      <c r="K536" s="2060"/>
    </row>
    <row r="537" spans="1:11" ht="20.100000000000001" customHeight="1">
      <c r="A537" s="1928"/>
      <c r="B537" s="2068" t="s">
        <v>1249</v>
      </c>
      <c r="C537" s="1367"/>
      <c r="D537" s="1985">
        <v>1100</v>
      </c>
      <c r="E537" s="1256" t="s">
        <v>1245</v>
      </c>
      <c r="F537" s="1994">
        <v>15</v>
      </c>
      <c r="G537" s="1367" t="s">
        <v>1071</v>
      </c>
      <c r="H537" s="1928" t="s">
        <v>901</v>
      </c>
      <c r="I537" s="1985">
        <f t="shared" si="9"/>
        <v>16500</v>
      </c>
      <c r="J537" s="1367" t="s">
        <v>918</v>
      </c>
      <c r="K537" s="2060"/>
    </row>
    <row r="538" spans="1:11" ht="20.100000000000001" customHeight="1">
      <c r="A538" s="1928"/>
      <c r="B538" s="1932" t="s">
        <v>1570</v>
      </c>
      <c r="C538" s="1367"/>
      <c r="D538" s="1985">
        <v>117</v>
      </c>
      <c r="E538" s="1256" t="s">
        <v>1245</v>
      </c>
      <c r="F538" s="1994">
        <v>10</v>
      </c>
      <c r="G538" s="1367" t="s">
        <v>1071</v>
      </c>
      <c r="H538" s="1928" t="s">
        <v>901</v>
      </c>
      <c r="I538" s="1985">
        <f t="shared" si="9"/>
        <v>1170</v>
      </c>
      <c r="J538" s="1367" t="s">
        <v>918</v>
      </c>
      <c r="K538" s="2060"/>
    </row>
    <row r="539" spans="1:11" ht="20.100000000000001" customHeight="1">
      <c r="A539" s="1928"/>
      <c r="B539" s="1932" t="s">
        <v>1571</v>
      </c>
      <c r="C539" s="1367"/>
      <c r="D539" s="1985">
        <v>165</v>
      </c>
      <c r="E539" s="1256" t="s">
        <v>1245</v>
      </c>
      <c r="F539" s="1928">
        <v>50</v>
      </c>
      <c r="G539" s="1367" t="s">
        <v>1071</v>
      </c>
      <c r="H539" s="1928" t="s">
        <v>901</v>
      </c>
      <c r="I539" s="1985">
        <f t="shared" si="9"/>
        <v>8250</v>
      </c>
      <c r="J539" s="1367" t="s">
        <v>918</v>
      </c>
      <c r="K539" s="2060"/>
    </row>
    <row r="540" spans="1:11" ht="20.100000000000001" customHeight="1">
      <c r="A540" s="1928"/>
      <c r="B540" s="1932" t="s">
        <v>1572</v>
      </c>
      <c r="C540" s="1367"/>
      <c r="D540" s="1985">
        <v>165</v>
      </c>
      <c r="E540" s="1256" t="s">
        <v>1245</v>
      </c>
      <c r="F540" s="1928">
        <v>50</v>
      </c>
      <c r="G540" s="1367" t="s">
        <v>1071</v>
      </c>
      <c r="H540" s="1928" t="s">
        <v>901</v>
      </c>
      <c r="I540" s="1985">
        <f t="shared" si="9"/>
        <v>8250</v>
      </c>
      <c r="J540" s="1367" t="s">
        <v>918</v>
      </c>
      <c r="K540" s="2060"/>
    </row>
    <row r="541" spans="1:11" ht="20.100000000000001" customHeight="1">
      <c r="A541" s="1928"/>
      <c r="B541" s="1932" t="s">
        <v>1573</v>
      </c>
      <c r="C541" s="1367"/>
      <c r="D541" s="1985">
        <v>450</v>
      </c>
      <c r="E541" s="1256" t="s">
        <v>1240</v>
      </c>
      <c r="F541" s="1860">
        <f>I523</f>
        <v>0</v>
      </c>
      <c r="G541" s="1367" t="s">
        <v>1241</v>
      </c>
      <c r="H541" s="1928" t="s">
        <v>901</v>
      </c>
      <c r="I541" s="1985">
        <f t="shared" si="9"/>
        <v>0</v>
      </c>
      <c r="J541" s="1367" t="s">
        <v>918</v>
      </c>
      <c r="K541" s="2060"/>
    </row>
    <row r="542" spans="1:11" ht="20.100000000000001" customHeight="1">
      <c r="A542" s="1928"/>
      <c r="B542" s="1859" t="s">
        <v>1250</v>
      </c>
      <c r="C542" s="1367"/>
      <c r="D542" s="1990">
        <v>430</v>
      </c>
      <c r="E542" s="1256" t="s">
        <v>1251</v>
      </c>
      <c r="F542" s="1860">
        <f>I523</f>
        <v>0</v>
      </c>
      <c r="G542" s="1367" t="s">
        <v>1239</v>
      </c>
      <c r="H542" s="1928" t="s">
        <v>901</v>
      </c>
      <c r="I542" s="1990">
        <f>D542*F542</f>
        <v>0</v>
      </c>
      <c r="J542" s="1367" t="s">
        <v>918</v>
      </c>
      <c r="K542" s="2060"/>
    </row>
    <row r="543" spans="1:11" ht="20.100000000000001" customHeight="1">
      <c r="A543" s="1928"/>
      <c r="B543" s="1859" t="s">
        <v>1252</v>
      </c>
      <c r="C543" s="1367"/>
      <c r="D543" s="1990">
        <v>290</v>
      </c>
      <c r="E543" s="1256" t="s">
        <v>1251</v>
      </c>
      <c r="F543" s="1860">
        <f>I523</f>
        <v>0</v>
      </c>
      <c r="G543" s="1367" t="s">
        <v>168</v>
      </c>
      <c r="H543" s="1928" t="s">
        <v>901</v>
      </c>
      <c r="I543" s="1990">
        <f>D543*F543</f>
        <v>0</v>
      </c>
      <c r="J543" s="1367" t="s">
        <v>918</v>
      </c>
      <c r="K543" s="2060"/>
    </row>
    <row r="544" spans="1:11" ht="20.100000000000001" customHeight="1">
      <c r="A544" s="1928"/>
      <c r="B544" s="1859"/>
      <c r="C544" s="1367"/>
      <c r="D544" s="1990"/>
      <c r="E544" s="1256"/>
      <c r="F544" s="1928"/>
      <c r="G544" s="1926" t="s">
        <v>1253</v>
      </c>
      <c r="H544" s="1928" t="s">
        <v>901</v>
      </c>
      <c r="I544" s="1990">
        <f>SUM(I525:I543)</f>
        <v>55120</v>
      </c>
      <c r="J544" s="1367" t="s">
        <v>918</v>
      </c>
      <c r="K544" s="2060"/>
    </row>
    <row r="545" spans="1:11" ht="20.100000000000001" customHeight="1">
      <c r="A545" s="1928"/>
      <c r="B545" s="1859"/>
      <c r="C545" s="1367"/>
      <c r="D545" s="1990"/>
      <c r="E545" s="1256"/>
      <c r="F545" s="1928"/>
      <c r="G545" s="1367" t="s">
        <v>1254</v>
      </c>
      <c r="H545" s="1928" t="s">
        <v>901</v>
      </c>
      <c r="I545" s="1989">
        <f>IF(I544&lt;10000000,ROUNDDOWN(I544,-2),ROUNDDOWN(I544,-3))</f>
        <v>55100</v>
      </c>
      <c r="J545" s="1367" t="s">
        <v>918</v>
      </c>
      <c r="K545" s="2060"/>
    </row>
    <row r="546" spans="1:11" ht="20.100000000000001" customHeight="1">
      <c r="A546" s="1928"/>
      <c r="B546" s="1859"/>
      <c r="C546" s="1367"/>
      <c r="D546" s="1367"/>
      <c r="E546" s="1256"/>
      <c r="F546" s="1928"/>
      <c r="G546" s="1995" t="s">
        <v>1255</v>
      </c>
      <c r="H546" s="1841" t="s">
        <v>901</v>
      </c>
      <c r="I546" s="2083" t="e">
        <f>I545/I523</f>
        <v>#DIV/0!</v>
      </c>
      <c r="J546" s="1859" t="s">
        <v>1251</v>
      </c>
      <c r="K546" s="2052"/>
    </row>
    <row r="547" spans="1:11" ht="20.100000000000001" customHeight="1">
      <c r="A547" s="1928"/>
      <c r="B547" s="1859"/>
      <c r="C547" s="1367"/>
      <c r="D547" s="1367"/>
      <c r="E547" s="1256"/>
      <c r="F547" s="1928"/>
      <c r="G547" s="1995" t="s">
        <v>1255</v>
      </c>
      <c r="H547" s="1841"/>
      <c r="I547" s="2084" t="e">
        <f>IF(I546=0,0,ROUNDDOWN(I546,-2))</f>
        <v>#DIV/0!</v>
      </c>
      <c r="J547" s="1859" t="s">
        <v>1251</v>
      </c>
      <c r="K547" s="2052"/>
    </row>
    <row r="548" spans="1:11" ht="20.100000000000001" customHeight="1">
      <c r="A548" s="1928"/>
      <c r="B548" s="1859" t="s">
        <v>1731</v>
      </c>
      <c r="C548" s="1367"/>
      <c r="D548" s="1367"/>
      <c r="E548" s="1367"/>
      <c r="F548" s="1367"/>
      <c r="G548" s="1928"/>
      <c r="H548" s="1928"/>
      <c r="I548" s="1367"/>
      <c r="J548" s="1993"/>
      <c r="K548" s="2061"/>
    </row>
    <row r="549" spans="1:11" ht="20.100000000000001" customHeight="1">
      <c r="A549" s="1928"/>
      <c r="B549" s="1367" t="s">
        <v>1256</v>
      </c>
      <c r="C549" s="1367"/>
      <c r="D549" s="1989"/>
      <c r="E549" s="1367"/>
      <c r="F549" s="1367"/>
      <c r="G549" s="1928"/>
      <c r="H549" s="1928"/>
      <c r="I549" s="1985"/>
      <c r="J549" s="1993"/>
      <c r="K549" s="2061"/>
    </row>
    <row r="550" spans="1:11" ht="20.100000000000001" customHeight="1">
      <c r="A550" s="1928"/>
      <c r="B550" s="1367" t="s">
        <v>1257</v>
      </c>
      <c r="C550" s="1367"/>
      <c r="D550" s="1996">
        <v>140000</v>
      </c>
      <c r="E550" s="1367" t="s">
        <v>1243</v>
      </c>
      <c r="F550" s="1994">
        <v>1</v>
      </c>
      <c r="G550" s="1367" t="s">
        <v>382</v>
      </c>
      <c r="H550" s="1928" t="s">
        <v>901</v>
      </c>
      <c r="I550" s="1997">
        <f>D550*F550</f>
        <v>140000</v>
      </c>
      <c r="J550" s="1256" t="s">
        <v>1243</v>
      </c>
      <c r="K550" s="2061"/>
    </row>
    <row r="551" spans="1:11" ht="20.100000000000001" customHeight="1">
      <c r="A551" s="1928"/>
      <c r="B551" s="1367" t="s">
        <v>1258</v>
      </c>
      <c r="C551" s="1367"/>
      <c r="D551" s="1930"/>
      <c r="E551" s="1367"/>
      <c r="F551" s="1367"/>
      <c r="G551" s="1860"/>
      <c r="H551" s="1989"/>
      <c r="I551" s="1367"/>
      <c r="J551" s="1367"/>
      <c r="K551" s="2058"/>
    </row>
    <row r="552" spans="1:11" ht="20.100000000000001" customHeight="1">
      <c r="A552" s="1928"/>
      <c r="B552" s="1367" t="s">
        <v>1259</v>
      </c>
      <c r="C552" s="1367"/>
      <c r="D552" s="1930"/>
      <c r="E552" s="1367"/>
      <c r="F552" s="1998"/>
      <c r="G552" s="1256"/>
      <c r="H552" s="1367"/>
      <c r="I552" s="1367"/>
      <c r="J552" s="1367"/>
      <c r="K552" s="2058"/>
    </row>
    <row r="553" spans="1:11" ht="20.100000000000001" customHeight="1"/>
    <row r="554" spans="1:11" ht="20.100000000000001" customHeight="1"/>
    <row r="555" spans="1:11" ht="20.100000000000001" customHeight="1"/>
    <row r="556" spans="1:11" ht="20.100000000000001" customHeight="1"/>
    <row r="557" spans="1:11" ht="20.100000000000001" customHeight="1"/>
    <row r="558" spans="1:11" ht="20.100000000000001" customHeight="1"/>
    <row r="559" spans="1:11" ht="20.100000000000001" customHeight="1"/>
    <row r="560" spans="1:11" ht="20.100000000000001" customHeight="1"/>
    <row r="561" spans="1:13" ht="20.100000000000001" customHeight="1">
      <c r="A561" s="1209">
        <v>22</v>
      </c>
      <c r="B561" s="1207" t="s">
        <v>1642</v>
      </c>
      <c r="C561" s="1208" t="s">
        <v>1424</v>
      </c>
      <c r="D561" s="2077">
        <v>1400</v>
      </c>
      <c r="E561" s="1211" t="s">
        <v>380</v>
      </c>
      <c r="F561" s="1999" t="s">
        <v>1854</v>
      </c>
    </row>
    <row r="562" spans="1:13" ht="20.100000000000001" customHeight="1">
      <c r="B562" s="1208" t="s">
        <v>1643</v>
      </c>
      <c r="C562" s="2078">
        <v>6</v>
      </c>
      <c r="D562" s="1211" t="s">
        <v>380</v>
      </c>
      <c r="E562" s="1211" t="s">
        <v>1644</v>
      </c>
      <c r="F562" s="2078">
        <v>10</v>
      </c>
      <c r="G562" s="2209" t="s">
        <v>380</v>
      </c>
      <c r="H562" s="2210"/>
      <c r="I562" s="1211" t="s">
        <v>669</v>
      </c>
      <c r="J562" s="2102">
        <v>0.15</v>
      </c>
      <c r="K562" s="1211" t="s">
        <v>380</v>
      </c>
    </row>
    <row r="563" spans="1:13" ht="20.100000000000001" customHeight="1">
      <c r="B563" s="1208" t="s">
        <v>1702</v>
      </c>
      <c r="H563" s="1264" t="s">
        <v>1099</v>
      </c>
      <c r="I563" s="1271">
        <f>C562*F562</f>
        <v>60</v>
      </c>
      <c r="J563" s="1208" t="s">
        <v>890</v>
      </c>
    </row>
    <row r="564" spans="1:13" ht="20.100000000000001" customHeight="1">
      <c r="B564" s="1208" t="s">
        <v>1703</v>
      </c>
      <c r="H564" s="1264" t="s">
        <v>1099</v>
      </c>
      <c r="I564" s="1267">
        <f>D561*C562*J562</f>
        <v>1260</v>
      </c>
      <c r="J564" s="1208" t="s">
        <v>870</v>
      </c>
    </row>
    <row r="565" spans="1:13" ht="20.100000000000001" customHeight="1">
      <c r="B565" s="1208" t="s">
        <v>1704</v>
      </c>
      <c r="H565" s="1264" t="s">
        <v>1099</v>
      </c>
      <c r="I565" s="1267">
        <f>150000/5000</f>
        <v>30</v>
      </c>
      <c r="J565" s="1217" t="s">
        <v>898</v>
      </c>
    </row>
    <row r="566" spans="1:13" ht="20.100000000000001" customHeight="1">
      <c r="B566" s="1208" t="s">
        <v>1705</v>
      </c>
      <c r="H566" s="1264"/>
      <c r="I566" s="1267"/>
      <c r="J566" s="1217"/>
    </row>
    <row r="567" spans="1:13" s="2001" customFormat="1" ht="20.100000000000001" customHeight="1">
      <c r="A567" s="1211"/>
      <c r="B567" s="1208" t="s">
        <v>1645</v>
      </c>
      <c r="C567" s="1208"/>
      <c r="D567" s="1208"/>
      <c r="E567" s="1853"/>
      <c r="F567" s="1208"/>
      <c r="G567" s="1853"/>
      <c r="H567" s="1264" t="s">
        <v>1099</v>
      </c>
      <c r="I567" s="1272">
        <f>I326</f>
        <v>1788.28</v>
      </c>
      <c r="J567" s="1217" t="s">
        <v>898</v>
      </c>
      <c r="K567" s="2042"/>
      <c r="L567" s="2000"/>
      <c r="M567" s="2000"/>
    </row>
    <row r="568" spans="1:13" ht="20.100000000000001" customHeight="1">
      <c r="B568" s="1208" t="s">
        <v>1706</v>
      </c>
      <c r="H568" s="1264" t="s">
        <v>1099</v>
      </c>
      <c r="I568" s="1272">
        <f>SUM(I565:I567)</f>
        <v>1818.28</v>
      </c>
      <c r="J568" s="1217" t="s">
        <v>898</v>
      </c>
    </row>
    <row r="569" spans="1:13" ht="20.100000000000001" customHeight="1">
      <c r="B569" s="1208" t="s">
        <v>1712</v>
      </c>
      <c r="G569" s="1264"/>
      <c r="H569" s="1264" t="s">
        <v>1099</v>
      </c>
      <c r="I569" s="1271">
        <f>C562*F562</f>
        <v>60</v>
      </c>
      <c r="J569" s="1208" t="s">
        <v>890</v>
      </c>
    </row>
    <row r="570" spans="1:13" ht="20.100000000000001" customHeight="1">
      <c r="B570" s="1208" t="s">
        <v>1713</v>
      </c>
      <c r="G570" s="1264"/>
      <c r="H570" s="1264" t="s">
        <v>1099</v>
      </c>
      <c r="I570" s="1271">
        <f>J562*I569</f>
        <v>9</v>
      </c>
      <c r="J570" s="1208" t="s">
        <v>870</v>
      </c>
    </row>
    <row r="571" spans="1:13" ht="20.100000000000001" customHeight="1">
      <c r="B571" s="1208" t="s">
        <v>1714</v>
      </c>
      <c r="G571" s="1264"/>
      <c r="H571" s="1264" t="s">
        <v>1099</v>
      </c>
      <c r="I571" s="1267">
        <f>I570*I568</f>
        <v>16364.52</v>
      </c>
      <c r="J571" s="1217" t="s">
        <v>918</v>
      </c>
    </row>
    <row r="572" spans="1:13" s="2001" customFormat="1" ht="20.100000000000001" customHeight="1">
      <c r="A572" s="1211"/>
      <c r="B572" s="1208" t="s">
        <v>1715</v>
      </c>
      <c r="C572" s="1208"/>
      <c r="D572" s="1208"/>
      <c r="E572" s="1853"/>
      <c r="F572" s="1208"/>
      <c r="G572" s="1208"/>
      <c r="H572" s="1208"/>
      <c r="I572" s="1208"/>
      <c r="J572" s="1208"/>
      <c r="K572" s="2042"/>
      <c r="L572" s="2000"/>
      <c r="M572" s="2000"/>
    </row>
    <row r="573" spans="1:13" ht="20.100000000000001" customHeight="1">
      <c r="B573" s="1211" t="s">
        <v>1716</v>
      </c>
      <c r="C573" s="1211">
        <f>F26</f>
        <v>1</v>
      </c>
      <c r="D573" s="1264" t="s">
        <v>1717</v>
      </c>
      <c r="E573" s="2002">
        <f>'Oil(แก้ไข26 ธค.60)'!D5</f>
        <v>11.65</v>
      </c>
      <c r="F573" s="1217" t="s">
        <v>918</v>
      </c>
      <c r="H573" s="1264" t="s">
        <v>1099</v>
      </c>
      <c r="I573" s="1853">
        <f>E573*I570</f>
        <v>104.85000000000001</v>
      </c>
      <c r="J573" s="1217" t="s">
        <v>918</v>
      </c>
    </row>
    <row r="574" spans="1:13" ht="20.100000000000001" customHeight="1">
      <c r="B574" s="2211" t="s">
        <v>1718</v>
      </c>
      <c r="C574" s="2211"/>
      <c r="D574" s="2211"/>
      <c r="E574" s="2211"/>
      <c r="F574" s="2211"/>
      <c r="H574" s="1264" t="s">
        <v>1099</v>
      </c>
      <c r="I574" s="1983">
        <f>SUM(I571:I573)</f>
        <v>16469.37</v>
      </c>
      <c r="J574" s="1217" t="s">
        <v>918</v>
      </c>
    </row>
    <row r="575" spans="1:13" ht="20.100000000000001" customHeight="1">
      <c r="B575" s="1208" t="s">
        <v>1970</v>
      </c>
      <c r="D575" s="1853" t="s">
        <v>1646</v>
      </c>
      <c r="E575" s="2079">
        <v>35.5</v>
      </c>
      <c r="F575" s="1208" t="s">
        <v>113</v>
      </c>
      <c r="H575" s="1264" t="s">
        <v>1099</v>
      </c>
      <c r="I575" s="1272">
        <f>E575*I569</f>
        <v>2130</v>
      </c>
      <c r="J575" s="1217" t="s">
        <v>918</v>
      </c>
      <c r="K575" s="2082" t="s">
        <v>1729</v>
      </c>
    </row>
    <row r="576" spans="1:13" ht="20.100000000000001" customHeight="1">
      <c r="B576" s="1208" t="s">
        <v>1852</v>
      </c>
      <c r="D576" s="1853" t="s">
        <v>1646</v>
      </c>
      <c r="E576" s="2080">
        <v>5</v>
      </c>
      <c r="F576" s="1208" t="s">
        <v>113</v>
      </c>
      <c r="H576" s="1854" t="s">
        <v>1099</v>
      </c>
      <c r="I576" s="1861">
        <f>E576*I569</f>
        <v>300</v>
      </c>
      <c r="J576" s="1855" t="s">
        <v>918</v>
      </c>
    </row>
    <row r="577" spans="1:13" ht="20.100000000000001" customHeight="1">
      <c r="B577" s="1208" t="s">
        <v>1719</v>
      </c>
      <c r="E577" s="1208"/>
      <c r="F577" s="1853" t="s">
        <v>1720</v>
      </c>
      <c r="H577" s="1854" t="s">
        <v>1099</v>
      </c>
      <c r="I577" s="1853">
        <f>'ค่าเสื่อมราคา(แก้ไข26ธค.60)'!G58*10</f>
        <v>206</v>
      </c>
      <c r="J577" s="1855" t="s">
        <v>918</v>
      </c>
    </row>
    <row r="578" spans="1:13" ht="20.100000000000001" customHeight="1">
      <c r="B578" s="1208" t="s">
        <v>1721</v>
      </c>
      <c r="H578" s="1854" t="s">
        <v>1099</v>
      </c>
      <c r="I578" s="2003">
        <f>'ค่าเสื่อมราคา(แก้ไข26ธค.60)'!G59*I569</f>
        <v>744.6</v>
      </c>
      <c r="J578" s="1855" t="s">
        <v>918</v>
      </c>
    </row>
    <row r="579" spans="1:13" ht="20.100000000000001" customHeight="1">
      <c r="B579" s="1208" t="s">
        <v>1725</v>
      </c>
      <c r="H579" s="1854" t="s">
        <v>1099</v>
      </c>
      <c r="I579" s="2003">
        <f>I569*'ค่าเสื่อมราคา(แก้ไข26ธค.60)'!G62</f>
        <v>605.4</v>
      </c>
      <c r="J579" s="1855" t="s">
        <v>918</v>
      </c>
    </row>
    <row r="580" spans="1:13" ht="20.100000000000001" customHeight="1">
      <c r="B580" s="1208" t="s">
        <v>1726</v>
      </c>
      <c r="H580" s="1854" t="s">
        <v>1099</v>
      </c>
      <c r="I580" s="1853" t="s">
        <v>807</v>
      </c>
      <c r="J580" s="1855" t="s">
        <v>918</v>
      </c>
    </row>
    <row r="581" spans="1:13" ht="20.100000000000001" customHeight="1">
      <c r="B581" s="1208" t="s">
        <v>1727</v>
      </c>
      <c r="H581" s="1854" t="s">
        <v>1099</v>
      </c>
      <c r="I581" s="1983">
        <f>SUM(I574:I580)</f>
        <v>20455.37</v>
      </c>
      <c r="J581" s="1855" t="s">
        <v>918</v>
      </c>
    </row>
    <row r="582" spans="1:13" ht="20.100000000000001" customHeight="1">
      <c r="B582" s="1208" t="s">
        <v>1728</v>
      </c>
      <c r="H582" s="1854" t="s">
        <v>1099</v>
      </c>
      <c r="I582" s="1976">
        <f>I581/I569</f>
        <v>340.9228333333333</v>
      </c>
      <c r="J582" s="1208" t="s">
        <v>113</v>
      </c>
    </row>
    <row r="583" spans="1:13" ht="20.100000000000001" customHeight="1">
      <c r="B583" s="1208" t="s">
        <v>383</v>
      </c>
      <c r="H583" s="1854" t="s">
        <v>1099</v>
      </c>
      <c r="I583" s="2004">
        <f>IF(I582&lt;10000000,ROUNDDOWN(I582,1),ROUNDDOWN(I582,1))</f>
        <v>340.9</v>
      </c>
      <c r="J583" s="1208" t="s">
        <v>113</v>
      </c>
    </row>
    <row r="584" spans="1:13" s="2007" customFormat="1" ht="20.100000000000001" customHeight="1">
      <c r="A584" s="2005">
        <v>23</v>
      </c>
      <c r="B584" s="2006" t="s">
        <v>1647</v>
      </c>
      <c r="E584" s="2008"/>
      <c r="G584" s="2008"/>
      <c r="H584" s="2009"/>
      <c r="I584" s="2008"/>
      <c r="J584" s="2010"/>
      <c r="K584" s="2062"/>
      <c r="L584" s="2011"/>
      <c r="M584" s="2011"/>
    </row>
    <row r="585" spans="1:13" ht="20.100000000000001" customHeight="1">
      <c r="B585" s="1367" t="s">
        <v>1377</v>
      </c>
      <c r="C585" s="1985">
        <f>D561</f>
        <v>1400</v>
      </c>
      <c r="D585" s="1367" t="s">
        <v>889</v>
      </c>
      <c r="E585" s="1367"/>
      <c r="F585" s="2012"/>
      <c r="G585" s="2013"/>
      <c r="H585" s="2013"/>
      <c r="I585" s="2014"/>
      <c r="J585" s="2012"/>
      <c r="K585" s="2060"/>
    </row>
    <row r="586" spans="1:13" ht="20.100000000000001" customHeight="1">
      <c r="B586" s="2012" t="s">
        <v>1732</v>
      </c>
      <c r="C586" s="1367"/>
      <c r="D586" s="2013" t="s">
        <v>901</v>
      </c>
      <c r="E586" s="2014">
        <f>INT($C$585/250)-1</f>
        <v>4</v>
      </c>
      <c r="F586" s="2012" t="s">
        <v>1648</v>
      </c>
      <c r="G586" s="1367"/>
      <c r="H586" s="2013"/>
      <c r="I586" s="2014"/>
      <c r="J586" s="2012"/>
      <c r="K586" s="2060"/>
    </row>
    <row r="587" spans="1:13" ht="20.100000000000001" customHeight="1">
      <c r="B587" s="2013" t="s">
        <v>1649</v>
      </c>
      <c r="C587" s="2013" t="s">
        <v>1914</v>
      </c>
      <c r="D587" s="2013" t="s">
        <v>1650</v>
      </c>
      <c r="E587" s="2015">
        <v>30</v>
      </c>
      <c r="F587" s="2012" t="s">
        <v>1651</v>
      </c>
      <c r="G587" s="1367" t="s">
        <v>577</v>
      </c>
      <c r="H587" s="1367"/>
      <c r="I587" s="2015">
        <v>50</v>
      </c>
      <c r="J587" s="2012" t="s">
        <v>1652</v>
      </c>
      <c r="K587" s="2060"/>
    </row>
    <row r="588" spans="1:13" ht="20.100000000000001" customHeight="1">
      <c r="B588" s="2013"/>
      <c r="C588" s="2013" t="s">
        <v>901</v>
      </c>
      <c r="D588" s="2014">
        <f>+INT(($C$562-0.2)/(E587/100))</f>
        <v>19</v>
      </c>
      <c r="E588" s="2016" t="s">
        <v>1653</v>
      </c>
      <c r="F588" s="2012"/>
      <c r="G588" s="2012"/>
      <c r="H588" s="2012"/>
      <c r="I588" s="2014"/>
      <c r="J588" s="2012"/>
      <c r="K588" s="2060"/>
    </row>
    <row r="589" spans="1:13" ht="20.100000000000001" customHeight="1">
      <c r="B589" s="2013"/>
      <c r="C589" s="2013" t="s">
        <v>1654</v>
      </c>
      <c r="D589" s="2014">
        <f>$E$586*$I$587*$D$588/100</f>
        <v>38</v>
      </c>
      <c r="E589" s="2012" t="s">
        <v>889</v>
      </c>
      <c r="F589" s="2017"/>
      <c r="G589" s="2012"/>
      <c r="H589" s="2012"/>
      <c r="I589" s="2014"/>
      <c r="J589" s="2012"/>
      <c r="K589" s="2060"/>
    </row>
    <row r="590" spans="1:13" ht="20.100000000000001" customHeight="1">
      <c r="B590" s="2012" t="s">
        <v>1655</v>
      </c>
      <c r="C590" s="1367"/>
      <c r="D590" s="2013" t="s">
        <v>901</v>
      </c>
      <c r="E590" s="2014">
        <f>INT($C$585/10-1)-1-E586</f>
        <v>134</v>
      </c>
      <c r="F590" s="2012" t="s">
        <v>1648</v>
      </c>
      <c r="G590" s="1367"/>
      <c r="H590" s="2013"/>
      <c r="I590" s="2014"/>
      <c r="J590" s="2012"/>
      <c r="K590" s="2060"/>
    </row>
    <row r="591" spans="1:13" ht="20.100000000000001" customHeight="1">
      <c r="B591" s="2013" t="s">
        <v>1656</v>
      </c>
      <c r="C591" s="2013" t="s">
        <v>1915</v>
      </c>
      <c r="D591" s="2013" t="s">
        <v>1650</v>
      </c>
      <c r="E591" s="2015">
        <v>30</v>
      </c>
      <c r="F591" s="2012" t="s">
        <v>1651</v>
      </c>
      <c r="G591" s="1367" t="s">
        <v>577</v>
      </c>
      <c r="H591" s="1367"/>
      <c r="I591" s="2015">
        <v>50</v>
      </c>
      <c r="J591" s="2012" t="s">
        <v>1652</v>
      </c>
      <c r="K591" s="2060"/>
    </row>
    <row r="592" spans="1:13" ht="20.100000000000001" customHeight="1">
      <c r="B592" s="2013"/>
      <c r="C592" s="2013" t="s">
        <v>901</v>
      </c>
      <c r="D592" s="2014">
        <f>+IF(E591=0,0,INT(($C$562-0.2)/(E591/100)))</f>
        <v>19</v>
      </c>
      <c r="E592" s="2016" t="s">
        <v>1653</v>
      </c>
      <c r="F592" s="2012"/>
      <c r="G592" s="2012"/>
      <c r="H592" s="2012"/>
      <c r="I592" s="2014"/>
      <c r="J592" s="2012"/>
      <c r="K592" s="2060"/>
    </row>
    <row r="593" spans="1:11" ht="20.100000000000001" customHeight="1">
      <c r="B593" s="2013"/>
      <c r="C593" s="2013" t="s">
        <v>1654</v>
      </c>
      <c r="D593" s="2014">
        <f>$E$590*$I$591*$D$592/100</f>
        <v>1273</v>
      </c>
      <c r="E593" s="2012" t="s">
        <v>889</v>
      </c>
      <c r="F593" s="2017"/>
      <c r="G593" s="2012"/>
      <c r="H593" s="2012"/>
      <c r="I593" s="2014"/>
      <c r="J593" s="2012"/>
      <c r="K593" s="2060"/>
    </row>
    <row r="594" spans="1:11" ht="20.100000000000001" customHeight="1">
      <c r="B594" s="2012" t="s">
        <v>1657</v>
      </c>
      <c r="C594" s="1881" t="s">
        <v>1658</v>
      </c>
      <c r="D594" s="2013" t="s">
        <v>901</v>
      </c>
      <c r="E594" s="2014">
        <f>C585</f>
        <v>1400</v>
      </c>
      <c r="F594" s="2012" t="s">
        <v>889</v>
      </c>
      <c r="G594" s="1367"/>
      <c r="H594" s="2013"/>
      <c r="I594" s="2014"/>
      <c r="J594" s="2012"/>
      <c r="K594" s="2060"/>
    </row>
    <row r="595" spans="1:11" ht="20.100000000000001" customHeight="1">
      <c r="B595" s="2013" t="s">
        <v>1659</v>
      </c>
      <c r="C595" s="2013" t="s">
        <v>1916</v>
      </c>
      <c r="D595" s="2013" t="s">
        <v>1650</v>
      </c>
      <c r="E595" s="2015">
        <v>50</v>
      </c>
      <c r="F595" s="2012" t="s">
        <v>1651</v>
      </c>
      <c r="G595" s="1367" t="s">
        <v>577</v>
      </c>
      <c r="H595" s="1367"/>
      <c r="I595" s="2015">
        <v>50</v>
      </c>
      <c r="J595" s="2012" t="s">
        <v>1652</v>
      </c>
      <c r="K595" s="2060"/>
    </row>
    <row r="596" spans="1:11" ht="20.100000000000001" customHeight="1">
      <c r="B596" s="2013"/>
      <c r="C596" s="2013" t="s">
        <v>901</v>
      </c>
      <c r="D596" s="2018">
        <f>INT(E594/(E595/100))</f>
        <v>2800</v>
      </c>
      <c r="E596" s="2016" t="s">
        <v>1660</v>
      </c>
      <c r="F596" s="2213" t="s">
        <v>1733</v>
      </c>
      <c r="G596" s="2213"/>
      <c r="H596" s="2213"/>
      <c r="I596" s="2014">
        <f>D596*I595/100</f>
        <v>1400</v>
      </c>
      <c r="J596" s="2012" t="s">
        <v>889</v>
      </c>
      <c r="K596" s="2060"/>
    </row>
    <row r="597" spans="1:11" ht="20.100000000000001" customHeight="1">
      <c r="A597" s="2019">
        <v>23.1</v>
      </c>
      <c r="B597" s="1859" t="s">
        <v>1661</v>
      </c>
      <c r="C597" s="1859"/>
      <c r="D597" s="1859"/>
      <c r="E597" s="1859"/>
      <c r="F597" s="1859"/>
      <c r="G597" s="1859"/>
      <c r="H597" s="1859"/>
      <c r="I597" s="1859"/>
      <c r="J597" s="1859"/>
      <c r="K597" s="2052"/>
    </row>
    <row r="598" spans="1:11" ht="20.100000000000001" customHeight="1">
      <c r="B598" s="1367" t="s">
        <v>1662</v>
      </c>
      <c r="C598" s="1367"/>
      <c r="D598" s="2020">
        <f>E586*C562</f>
        <v>24</v>
      </c>
      <c r="E598" s="1367" t="s">
        <v>889</v>
      </c>
      <c r="F598" s="1367"/>
      <c r="G598" s="1367"/>
      <c r="H598" s="1367"/>
      <c r="I598" s="1367"/>
      <c r="J598" s="1367"/>
      <c r="K598" s="2060"/>
    </row>
    <row r="599" spans="1:11" ht="20.100000000000001" customHeight="1">
      <c r="B599" s="1367" t="s">
        <v>1917</v>
      </c>
      <c r="C599" s="1367"/>
      <c r="D599" s="2021">
        <f>D589*2.226*1.1</f>
        <v>93.046800000000005</v>
      </c>
      <c r="E599" s="1367" t="s">
        <v>1077</v>
      </c>
      <c r="F599" s="2022">
        <f>I332/1000</f>
        <v>28.164259999999999</v>
      </c>
      <c r="G599" s="1367"/>
      <c r="H599" s="1881" t="s">
        <v>1099</v>
      </c>
      <c r="I599" s="2021">
        <f t="shared" ref="I599:I604" si="10">D599*F599</f>
        <v>2620.5942673680001</v>
      </c>
      <c r="J599" s="1928" t="s">
        <v>918</v>
      </c>
      <c r="K599" s="2060"/>
    </row>
    <row r="600" spans="1:11" ht="20.100000000000001" customHeight="1">
      <c r="B600" s="1367" t="s">
        <v>1663</v>
      </c>
      <c r="C600" s="1367"/>
      <c r="D600" s="2022">
        <f>D588*E586</f>
        <v>76</v>
      </c>
      <c r="E600" s="1367" t="s">
        <v>1664</v>
      </c>
      <c r="F600" s="2022">
        <v>10</v>
      </c>
      <c r="G600" s="1367"/>
      <c r="H600" s="1881" t="s">
        <v>1099</v>
      </c>
      <c r="I600" s="2021">
        <f t="shared" si="10"/>
        <v>760</v>
      </c>
      <c r="J600" s="1928" t="s">
        <v>918</v>
      </c>
      <c r="K600" s="2060"/>
    </row>
    <row r="601" spans="1:11" ht="20.100000000000001" customHeight="1">
      <c r="A601" s="2011"/>
      <c r="B601" s="2069" t="s">
        <v>1665</v>
      </c>
      <c r="C601" s="2069"/>
      <c r="D601" s="2070">
        <f>IF($D$599=0,0,+C562*J562*E586)</f>
        <v>3.5999999999999996</v>
      </c>
      <c r="E601" s="2069" t="s">
        <v>1666</v>
      </c>
      <c r="F601" s="2071">
        <v>400</v>
      </c>
      <c r="G601" s="2069"/>
      <c r="H601" s="2072" t="s">
        <v>1099</v>
      </c>
      <c r="I601" s="2073">
        <f>D601*F601</f>
        <v>1439.9999999999998</v>
      </c>
      <c r="J601" s="2074" t="s">
        <v>918</v>
      </c>
      <c r="K601" s="2075"/>
    </row>
    <row r="602" spans="1:11" ht="20.100000000000001" customHeight="1">
      <c r="A602" s="2011"/>
      <c r="B602" s="2069" t="s">
        <v>1667</v>
      </c>
      <c r="C602" s="2069"/>
      <c r="D602" s="2076">
        <f>0.025*0.025*$C$562*$E$586*1000</f>
        <v>15.000000000000004</v>
      </c>
      <c r="E602" s="2069" t="s">
        <v>1668</v>
      </c>
      <c r="F602" s="2071">
        <v>45</v>
      </c>
      <c r="G602" s="2069"/>
      <c r="H602" s="2072" t="s">
        <v>1099</v>
      </c>
      <c r="I602" s="2073">
        <f t="shared" si="10"/>
        <v>675.00000000000011</v>
      </c>
      <c r="J602" s="2074" t="s">
        <v>918</v>
      </c>
      <c r="K602" s="2075"/>
    </row>
    <row r="603" spans="1:11" ht="20.100000000000001" customHeight="1">
      <c r="B603" s="1367" t="s">
        <v>1669</v>
      </c>
      <c r="C603" s="1367"/>
      <c r="D603" s="2020">
        <f>C562*E586</f>
        <v>24</v>
      </c>
      <c r="E603" s="1367" t="s">
        <v>1670</v>
      </c>
      <c r="F603" s="2023">
        <f>'ค่าเสื่อมราคา(แก้ไข26ธค.60)'!G61</f>
        <v>15.89</v>
      </c>
      <c r="G603" s="1367"/>
      <c r="H603" s="1881" t="s">
        <v>1099</v>
      </c>
      <c r="I603" s="2021">
        <f t="shared" si="10"/>
        <v>381.36</v>
      </c>
      <c r="J603" s="1928" t="s">
        <v>918</v>
      </c>
      <c r="K603" s="2060"/>
    </row>
    <row r="604" spans="1:11" ht="20.100000000000001" customHeight="1">
      <c r="B604" s="1367" t="s">
        <v>1671</v>
      </c>
      <c r="C604" s="1367"/>
      <c r="D604" s="2021">
        <f>C562*E586</f>
        <v>24</v>
      </c>
      <c r="E604" s="1367" t="s">
        <v>1700</v>
      </c>
      <c r="F604" s="2022">
        <v>10</v>
      </c>
      <c r="G604" s="1367"/>
      <c r="H604" s="1881" t="s">
        <v>1099</v>
      </c>
      <c r="I604" s="2021">
        <f t="shared" si="10"/>
        <v>240</v>
      </c>
      <c r="J604" s="1928" t="s">
        <v>918</v>
      </c>
      <c r="K604" s="2060"/>
    </row>
    <row r="605" spans="1:11" ht="20.100000000000001" customHeight="1">
      <c r="A605" s="2000"/>
      <c r="B605" s="2024" t="s">
        <v>885</v>
      </c>
      <c r="C605" s="2024"/>
      <c r="D605" s="2025">
        <f>+IF($D$598=0,0,C562*J562*E586)</f>
        <v>3.5999999999999996</v>
      </c>
      <c r="E605" s="2024" t="s">
        <v>1672</v>
      </c>
      <c r="F605" s="2024">
        <f>กรอกราคาวัสดุ!D58</f>
        <v>657.9</v>
      </c>
      <c r="G605" s="2024"/>
      <c r="H605" s="2026" t="s">
        <v>1099</v>
      </c>
      <c r="I605" s="2027">
        <f>D605*F605*0.25</f>
        <v>592.1099999999999</v>
      </c>
      <c r="J605" s="2028" t="s">
        <v>918</v>
      </c>
      <c r="K605" s="2063"/>
    </row>
    <row r="606" spans="1:11" ht="20.100000000000001" customHeight="1">
      <c r="B606" s="1367" t="s">
        <v>1673</v>
      </c>
      <c r="C606" s="1367"/>
      <c r="D606" s="1367"/>
      <c r="E606" s="1367"/>
      <c r="F606" s="1367"/>
      <c r="G606" s="1367"/>
      <c r="H606" s="1881" t="s">
        <v>1099</v>
      </c>
      <c r="I606" s="2021">
        <f>SUM(I599:I605)</f>
        <v>6709.0642673679995</v>
      </c>
      <c r="J606" s="1928" t="s">
        <v>918</v>
      </c>
      <c r="K606" s="2060"/>
    </row>
    <row r="607" spans="1:11" ht="20.100000000000001" customHeight="1">
      <c r="B607" s="1367" t="s">
        <v>383</v>
      </c>
      <c r="C607" s="1367"/>
      <c r="D607" s="1367"/>
      <c r="E607" s="1367"/>
      <c r="F607" s="1367"/>
      <c r="G607" s="1367"/>
      <c r="H607" s="1881" t="s">
        <v>1099</v>
      </c>
      <c r="I607" s="2029">
        <f>ROUND((I606/D598),2)</f>
        <v>279.54000000000002</v>
      </c>
      <c r="J607" s="1928" t="s">
        <v>1245</v>
      </c>
      <c r="K607" s="2060"/>
    </row>
    <row r="608" spans="1:11" ht="20.100000000000001" customHeight="1" thickBot="1">
      <c r="B608" s="1988" t="s">
        <v>895</v>
      </c>
      <c r="C608" s="1367"/>
      <c r="D608" s="1367"/>
      <c r="E608" s="1367"/>
      <c r="F608" s="1367"/>
      <c r="G608" s="1367"/>
      <c r="H608" s="1367"/>
      <c r="I608" s="1367"/>
      <c r="J608" s="1367"/>
      <c r="K608" s="2060"/>
    </row>
    <row r="609" spans="1:11" ht="20.100000000000001" customHeight="1" thickBot="1">
      <c r="B609" s="2030" t="s">
        <v>1674</v>
      </c>
      <c r="C609" s="2202">
        <v>3.25</v>
      </c>
      <c r="D609" s="2203"/>
      <c r="E609" s="2202">
        <v>3.5</v>
      </c>
      <c r="F609" s="2212"/>
      <c r="G609" s="2202">
        <v>4</v>
      </c>
      <c r="H609" s="2212"/>
      <c r="I609" s="2203"/>
      <c r="J609" s="2202">
        <v>4.5</v>
      </c>
      <c r="K609" s="2203"/>
    </row>
    <row r="610" spans="1:11" ht="20.100000000000001" customHeight="1" thickBot="1">
      <c r="B610" s="2031" t="s">
        <v>1675</v>
      </c>
      <c r="C610" s="2032">
        <v>23</v>
      </c>
      <c r="D610" s="2032">
        <v>25</v>
      </c>
      <c r="E610" s="2032">
        <v>23</v>
      </c>
      <c r="F610" s="2032">
        <v>25</v>
      </c>
      <c r="G610" s="2202">
        <v>23</v>
      </c>
      <c r="H610" s="2203"/>
      <c r="I610" s="2033">
        <v>25</v>
      </c>
      <c r="J610" s="2032">
        <v>23</v>
      </c>
      <c r="K610" s="2064">
        <v>25</v>
      </c>
    </row>
    <row r="611" spans="1:11" ht="20.100000000000001" customHeight="1">
      <c r="B611" s="2034" t="s">
        <v>1676</v>
      </c>
      <c r="C611" s="2035">
        <v>21.18</v>
      </c>
      <c r="D611" s="2035">
        <v>21.18</v>
      </c>
      <c r="E611" s="2035">
        <v>23.1</v>
      </c>
      <c r="F611" s="2035">
        <v>23.1</v>
      </c>
      <c r="G611" s="2214">
        <v>26.95</v>
      </c>
      <c r="H611" s="2215"/>
      <c r="I611" s="2035">
        <v>26.95</v>
      </c>
      <c r="J611" s="2035">
        <v>28.88</v>
      </c>
      <c r="K611" s="2065">
        <v>28.88</v>
      </c>
    </row>
    <row r="612" spans="1:11" ht="20.100000000000001" customHeight="1">
      <c r="B612" s="2036" t="s">
        <v>1677</v>
      </c>
      <c r="C612" s="2037">
        <v>11</v>
      </c>
      <c r="D612" s="2037">
        <v>11</v>
      </c>
      <c r="E612" s="2037">
        <v>12</v>
      </c>
      <c r="F612" s="2037">
        <v>12</v>
      </c>
      <c r="G612" s="2214">
        <v>14</v>
      </c>
      <c r="H612" s="2215"/>
      <c r="I612" s="2037">
        <v>14</v>
      </c>
      <c r="J612" s="2037">
        <v>15</v>
      </c>
      <c r="K612" s="2066">
        <v>15</v>
      </c>
    </row>
    <row r="613" spans="1:11" ht="20.100000000000001" customHeight="1">
      <c r="B613" s="2036" t="s">
        <v>1678</v>
      </c>
      <c r="C613" s="2037">
        <v>0.67</v>
      </c>
      <c r="D613" s="2037">
        <v>0.74</v>
      </c>
      <c r="E613" s="2037">
        <v>0.72</v>
      </c>
      <c r="F613" s="2037">
        <v>0.79</v>
      </c>
      <c r="G613" s="2214">
        <v>0.82</v>
      </c>
      <c r="H613" s="2215"/>
      <c r="I613" s="2037">
        <v>0.9</v>
      </c>
      <c r="J613" s="2037">
        <v>0.93</v>
      </c>
      <c r="K613" s="2066">
        <v>1.02</v>
      </c>
    </row>
    <row r="614" spans="1:11" ht="20.100000000000001" customHeight="1">
      <c r="B614" s="2036" t="s">
        <v>1679</v>
      </c>
      <c r="C614" s="2037">
        <v>2.0299999999999998</v>
      </c>
      <c r="D614" s="2037">
        <v>2.0299999999999998</v>
      </c>
      <c r="E614" s="2037">
        <v>2.19</v>
      </c>
      <c r="F614" s="2037">
        <v>2.19</v>
      </c>
      <c r="G614" s="2214">
        <v>2.5</v>
      </c>
      <c r="H614" s="2215"/>
      <c r="I614" s="2037">
        <v>2.5</v>
      </c>
      <c r="J614" s="2037">
        <v>2.81</v>
      </c>
      <c r="K614" s="2066">
        <v>2.81</v>
      </c>
    </row>
    <row r="615" spans="1:11" ht="20.100000000000001" customHeight="1">
      <c r="B615" s="2036" t="s">
        <v>1680</v>
      </c>
      <c r="C615" s="2037">
        <v>3.9</v>
      </c>
      <c r="D615" s="2037">
        <v>3.9</v>
      </c>
      <c r="E615" s="2037">
        <v>4.2</v>
      </c>
      <c r="F615" s="2037">
        <v>4.2</v>
      </c>
      <c r="G615" s="2214">
        <v>4.8</v>
      </c>
      <c r="H615" s="2215"/>
      <c r="I615" s="2037">
        <v>4.8</v>
      </c>
      <c r="J615" s="2037">
        <v>5.4</v>
      </c>
      <c r="K615" s="2066">
        <v>5.4</v>
      </c>
    </row>
    <row r="616" spans="1:11" ht="20.100000000000001" customHeight="1" thickBot="1">
      <c r="B616" s="2038" t="s">
        <v>1681</v>
      </c>
      <c r="C616" s="2039">
        <v>0.75</v>
      </c>
      <c r="D616" s="2039">
        <v>0.81</v>
      </c>
      <c r="E616" s="2039">
        <v>0.81</v>
      </c>
      <c r="F616" s="2039">
        <v>0.88</v>
      </c>
      <c r="G616" s="2200">
        <v>0.92</v>
      </c>
      <c r="H616" s="2201"/>
      <c r="I616" s="2039">
        <v>1</v>
      </c>
      <c r="J616" s="2039">
        <v>1.04</v>
      </c>
      <c r="K616" s="2067">
        <v>1.1299999999999999</v>
      </c>
    </row>
    <row r="617" spans="1:11" ht="20.100000000000001" customHeight="1">
      <c r="B617" s="1367"/>
      <c r="C617" s="1367"/>
      <c r="D617" s="1367"/>
      <c r="E617" s="1367"/>
      <c r="F617" s="1367"/>
      <c r="G617" s="1367"/>
      <c r="H617" s="1367"/>
      <c r="I617" s="1367"/>
      <c r="J617" s="1367"/>
      <c r="K617" s="2060"/>
    </row>
    <row r="618" spans="1:11" ht="20.100000000000001" customHeight="1">
      <c r="B618" s="1367" t="s">
        <v>1682</v>
      </c>
      <c r="C618" s="1367"/>
      <c r="D618" s="1367" t="s">
        <v>1683</v>
      </c>
      <c r="E618" s="1367"/>
      <c r="F618" s="1367"/>
      <c r="G618" s="1367" t="s">
        <v>1684</v>
      </c>
      <c r="H618" s="1367"/>
      <c r="I618" s="1367"/>
      <c r="J618" s="1367"/>
      <c r="K618" s="2060"/>
    </row>
    <row r="619" spans="1:11" ht="20.100000000000001" customHeight="1">
      <c r="B619" s="1367" t="s">
        <v>1685</v>
      </c>
      <c r="C619" s="1367"/>
      <c r="D619" s="1367" t="s">
        <v>1686</v>
      </c>
      <c r="E619" s="1367"/>
      <c r="F619" s="1367"/>
      <c r="G619" s="1367" t="s">
        <v>1687</v>
      </c>
      <c r="H619" s="1367"/>
      <c r="I619" s="1367"/>
      <c r="J619" s="1367"/>
      <c r="K619" s="2060"/>
    </row>
    <row r="620" spans="1:11" ht="20.100000000000001" customHeight="1">
      <c r="B620" s="1367" t="s">
        <v>1688</v>
      </c>
      <c r="C620" s="1367"/>
      <c r="D620" s="1367" t="s">
        <v>1689</v>
      </c>
      <c r="E620" s="1367"/>
      <c r="F620" s="1367"/>
      <c r="G620" s="1367" t="s">
        <v>1690</v>
      </c>
      <c r="H620" s="1367"/>
      <c r="I620" s="1367"/>
      <c r="J620" s="1367"/>
      <c r="K620" s="2060"/>
    </row>
    <row r="621" spans="1:11" ht="20.100000000000001" customHeight="1">
      <c r="B621" s="1367" t="s">
        <v>1671</v>
      </c>
      <c r="C621" s="1367"/>
      <c r="D621" s="1367" t="s">
        <v>1691</v>
      </c>
      <c r="E621" s="1367"/>
      <c r="F621" s="1367"/>
      <c r="G621" s="1367" t="s">
        <v>1684</v>
      </c>
      <c r="H621" s="1367"/>
      <c r="I621" s="1367"/>
      <c r="J621" s="1367"/>
      <c r="K621" s="2060"/>
    </row>
    <row r="622" spans="1:11" ht="20.100000000000001" customHeight="1">
      <c r="B622" s="1367" t="s">
        <v>1918</v>
      </c>
      <c r="C622" s="1367"/>
      <c r="D622" s="1367"/>
      <c r="E622" s="1367"/>
      <c r="F622" s="1367"/>
      <c r="G622" s="1367"/>
      <c r="H622" s="1367"/>
      <c r="I622" s="1367"/>
      <c r="J622" s="1367"/>
      <c r="K622" s="2060"/>
    </row>
    <row r="623" spans="1:11" ht="20.100000000000001" customHeight="1">
      <c r="A623" s="2019">
        <v>23.2</v>
      </c>
      <c r="B623" s="1859" t="s">
        <v>1692</v>
      </c>
      <c r="C623" s="1859"/>
      <c r="D623" s="1859"/>
      <c r="E623" s="1859"/>
      <c r="F623" s="1859"/>
      <c r="G623" s="1859"/>
      <c r="H623" s="1859"/>
      <c r="I623" s="1859"/>
      <c r="J623" s="1859"/>
      <c r="K623" s="2052"/>
    </row>
    <row r="624" spans="1:11" ht="20.100000000000001" customHeight="1">
      <c r="B624" s="1367" t="s">
        <v>1662</v>
      </c>
      <c r="C624" s="1367"/>
      <c r="D624" s="2020">
        <f>E590*C562</f>
        <v>804</v>
      </c>
      <c r="E624" s="1367" t="s">
        <v>889</v>
      </c>
      <c r="F624" s="1367"/>
      <c r="G624" s="1367"/>
      <c r="H624" s="1367"/>
      <c r="I624" s="1367"/>
      <c r="J624" s="1367"/>
      <c r="K624" s="2060"/>
    </row>
    <row r="625" spans="1:11" ht="20.100000000000001" customHeight="1">
      <c r="B625" s="1367" t="s">
        <v>1917</v>
      </c>
      <c r="C625" s="1367"/>
      <c r="D625" s="2021">
        <f>D593*2.226*1.1</f>
        <v>3117.0678000000003</v>
      </c>
      <c r="E625" s="1367" t="s">
        <v>1077</v>
      </c>
      <c r="F625" s="2022">
        <f>F599</f>
        <v>28.164259999999999</v>
      </c>
      <c r="G625" s="1367"/>
      <c r="H625" s="1881" t="s">
        <v>1099</v>
      </c>
      <c r="I625" s="2021">
        <f>D625*F625</f>
        <v>87789.907956827999</v>
      </c>
      <c r="J625" s="1928" t="s">
        <v>918</v>
      </c>
      <c r="K625" s="2060"/>
    </row>
    <row r="626" spans="1:11" ht="20.100000000000001" customHeight="1">
      <c r="B626" s="1367" t="s">
        <v>1699</v>
      </c>
      <c r="C626" s="1367"/>
      <c r="D626" s="2020">
        <f>D624</f>
        <v>804</v>
      </c>
      <c r="E626" s="1367" t="s">
        <v>1693</v>
      </c>
      <c r="F626" s="2023">
        <f>'ค่าเสื่อมราคา(แก้ไข26ธค.60)'!G60</f>
        <v>24.85</v>
      </c>
      <c r="G626" s="1367"/>
      <c r="H626" s="1881" t="s">
        <v>1099</v>
      </c>
      <c r="I626" s="2021">
        <f>D626*F626</f>
        <v>19979.400000000001</v>
      </c>
      <c r="J626" s="1928" t="s">
        <v>918</v>
      </c>
      <c r="K626" s="2060"/>
    </row>
    <row r="627" spans="1:11" ht="20.100000000000001" customHeight="1">
      <c r="B627" s="1367" t="s">
        <v>1694</v>
      </c>
      <c r="C627" s="1367"/>
      <c r="D627" s="2020">
        <f>E590*D592</f>
        <v>2546</v>
      </c>
      <c r="E627" s="1367" t="s">
        <v>1695</v>
      </c>
      <c r="F627" s="2081">
        <v>3</v>
      </c>
      <c r="G627" s="1367"/>
      <c r="H627" s="1881" t="s">
        <v>1099</v>
      </c>
      <c r="I627" s="2021">
        <f>D627*F627</f>
        <v>7638</v>
      </c>
      <c r="J627" s="1928" t="s">
        <v>918</v>
      </c>
      <c r="K627" s="2060"/>
    </row>
    <row r="628" spans="1:11" ht="20.100000000000001" customHeight="1">
      <c r="B628" s="1367" t="s">
        <v>1696</v>
      </c>
      <c r="C628" s="1367"/>
      <c r="D628" s="2014">
        <f>0.025*0.025*$C$562*$E$590*1000</f>
        <v>502.50000000000006</v>
      </c>
      <c r="E628" s="1367" t="s">
        <v>1668</v>
      </c>
      <c r="F628" s="2022">
        <f>F602</f>
        <v>45</v>
      </c>
      <c r="G628" s="1367"/>
      <c r="H628" s="1881" t="s">
        <v>1099</v>
      </c>
      <c r="I628" s="2021">
        <f>D628*F628</f>
        <v>22612.500000000004</v>
      </c>
      <c r="J628" s="1928" t="s">
        <v>918</v>
      </c>
      <c r="K628" s="2060"/>
    </row>
    <row r="629" spans="1:11" ht="20.100000000000001" customHeight="1">
      <c r="B629" s="1367" t="s">
        <v>1697</v>
      </c>
      <c r="C629" s="1367"/>
      <c r="D629" s="2040">
        <f>+IF($D$624=0,0,C562*E590)</f>
        <v>804</v>
      </c>
      <c r="E629" s="1367" t="s">
        <v>1700</v>
      </c>
      <c r="F629" s="2022">
        <f>F604</f>
        <v>10</v>
      </c>
      <c r="G629" s="1367"/>
      <c r="H629" s="1881" t="s">
        <v>1099</v>
      </c>
      <c r="I629" s="2021">
        <f>D629*F629</f>
        <v>8040</v>
      </c>
      <c r="J629" s="1928" t="s">
        <v>918</v>
      </c>
      <c r="K629" s="2060"/>
    </row>
    <row r="630" spans="1:11" ht="20.100000000000001" customHeight="1">
      <c r="B630" s="1367" t="s">
        <v>1673</v>
      </c>
      <c r="C630" s="1367"/>
      <c r="D630" s="2021"/>
      <c r="E630" s="1367"/>
      <c r="F630" s="2022"/>
      <c r="G630" s="1367"/>
      <c r="H630" s="1881" t="s">
        <v>1099</v>
      </c>
      <c r="I630" s="2021">
        <f>SUM(I625:I629)</f>
        <v>146059.80795682801</v>
      </c>
      <c r="J630" s="1928" t="s">
        <v>918</v>
      </c>
      <c r="K630" s="2060"/>
    </row>
    <row r="631" spans="1:11" ht="20.100000000000001" customHeight="1">
      <c r="B631" s="1367" t="s">
        <v>383</v>
      </c>
      <c r="C631" s="1367"/>
      <c r="D631" s="1367"/>
      <c r="E631" s="1367"/>
      <c r="F631" s="1367"/>
      <c r="G631" s="1367"/>
      <c r="H631" s="1881" t="s">
        <v>1099</v>
      </c>
      <c r="I631" s="2029">
        <f>ROUND((I630/D624),2)</f>
        <v>181.67</v>
      </c>
      <c r="J631" s="1928" t="s">
        <v>1245</v>
      </c>
      <c r="K631" s="2060"/>
    </row>
    <row r="632" spans="1:11" ht="20.100000000000001" customHeight="1">
      <c r="A632" s="2019">
        <v>23.3</v>
      </c>
      <c r="B632" s="1207" t="s">
        <v>1698</v>
      </c>
    </row>
    <row r="633" spans="1:11" ht="20.100000000000001" customHeight="1">
      <c r="B633" s="1208" t="s">
        <v>1377</v>
      </c>
      <c r="D633" s="1982">
        <f>D561</f>
        <v>1400</v>
      </c>
      <c r="E633" s="1853" t="s">
        <v>889</v>
      </c>
    </row>
    <row r="634" spans="1:11" ht="20.100000000000001" customHeight="1">
      <c r="B634" s="1208" t="s">
        <v>1919</v>
      </c>
      <c r="D634" s="2021">
        <f>I596*1.1*0.888</f>
        <v>1367.5200000000002</v>
      </c>
      <c r="E634" s="1853" t="s">
        <v>1077</v>
      </c>
      <c r="F634" s="1983">
        <f>I334/1000</f>
        <v>24.85116</v>
      </c>
      <c r="H634" s="1854" t="s">
        <v>1099</v>
      </c>
      <c r="I634" s="2021">
        <f>D634*F634</f>
        <v>33984.458323200008</v>
      </c>
      <c r="J634" s="1855" t="s">
        <v>918</v>
      </c>
    </row>
    <row r="635" spans="1:11" ht="20.100000000000001" customHeight="1">
      <c r="B635" s="1208" t="s">
        <v>1699</v>
      </c>
      <c r="D635" s="1985">
        <f>D633</f>
        <v>1400</v>
      </c>
      <c r="E635" s="1853" t="s">
        <v>1700</v>
      </c>
      <c r="F635" s="1243">
        <f>'ค่าเสื่อมราคา(แก้ไข26ธค.60)'!G60</f>
        <v>24.85</v>
      </c>
      <c r="H635" s="1854" t="s">
        <v>1099</v>
      </c>
      <c r="I635" s="2021">
        <f>D635*F635</f>
        <v>34790</v>
      </c>
      <c r="J635" s="1855" t="s">
        <v>918</v>
      </c>
    </row>
    <row r="636" spans="1:11" ht="20.100000000000001" customHeight="1">
      <c r="B636" s="1208" t="s">
        <v>1696</v>
      </c>
      <c r="D636" s="2014">
        <f>0.025*0.025*D633*1000</f>
        <v>875.00000000000023</v>
      </c>
      <c r="E636" s="1853" t="s">
        <v>1701</v>
      </c>
      <c r="F636" s="1208">
        <v>45</v>
      </c>
      <c r="H636" s="1854" t="s">
        <v>1099</v>
      </c>
      <c r="I636" s="2021">
        <f>D636*F636</f>
        <v>39375.000000000007</v>
      </c>
      <c r="J636" s="1855" t="s">
        <v>918</v>
      </c>
    </row>
    <row r="637" spans="1:11" ht="20.100000000000001" customHeight="1">
      <c r="B637" s="1208" t="s">
        <v>1673</v>
      </c>
      <c r="H637" s="1854" t="s">
        <v>1099</v>
      </c>
      <c r="I637" s="2021">
        <f>SUM(I634:I636)</f>
        <v>108149.4583232</v>
      </c>
      <c r="J637" s="1855" t="s">
        <v>918</v>
      </c>
    </row>
    <row r="638" spans="1:11" ht="20.100000000000001" customHeight="1">
      <c r="B638" s="1208" t="s">
        <v>383</v>
      </c>
      <c r="H638" s="1854" t="s">
        <v>1099</v>
      </c>
      <c r="I638" s="2029">
        <f>ROUND((I637/D633),2)</f>
        <v>77.25</v>
      </c>
      <c r="J638" s="1855" t="s">
        <v>918</v>
      </c>
    </row>
    <row r="639" spans="1:11" ht="20.100000000000001" customHeight="1"/>
    <row r="640" spans="1:11" ht="20.100000000000001" customHeight="1"/>
    <row r="641" ht="20.100000000000001" customHeight="1"/>
    <row r="642" ht="20.100000000000001" customHeight="1"/>
    <row r="643" ht="20.100000000000001" customHeight="1"/>
    <row r="644" ht="20.100000000000001" customHeight="1"/>
    <row r="645" ht="20.100000000000001" customHeight="1"/>
    <row r="646" ht="20.100000000000001" customHeight="1"/>
    <row r="647" ht="20.100000000000001" customHeight="1"/>
    <row r="648" ht="20.100000000000001" customHeight="1"/>
  </sheetData>
  <mergeCells count="52">
    <mergeCell ref="A66:B66"/>
    <mergeCell ref="A49:B49"/>
    <mergeCell ref="A5:B5"/>
    <mergeCell ref="A1:K1"/>
    <mergeCell ref="A59:B59"/>
    <mergeCell ref="A58:B58"/>
    <mergeCell ref="A54:B54"/>
    <mergeCell ref="A52:B52"/>
    <mergeCell ref="A50:B50"/>
    <mergeCell ref="C3:K3"/>
    <mergeCell ref="A96:B96"/>
    <mergeCell ref="A89:B89"/>
    <mergeCell ref="A81:B81"/>
    <mergeCell ref="A80:B80"/>
    <mergeCell ref="A73:B73"/>
    <mergeCell ref="G612:H612"/>
    <mergeCell ref="G613:H613"/>
    <mergeCell ref="G614:H614"/>
    <mergeCell ref="G615:H615"/>
    <mergeCell ref="G611:H611"/>
    <mergeCell ref="G616:H616"/>
    <mergeCell ref="G610:H610"/>
    <mergeCell ref="B2:K2"/>
    <mergeCell ref="L243:O243"/>
    <mergeCell ref="E248:F248"/>
    <mergeCell ref="E267:F267"/>
    <mergeCell ref="F286:G286"/>
    <mergeCell ref="F292:G292"/>
    <mergeCell ref="M290:O290"/>
    <mergeCell ref="G562:H562"/>
    <mergeCell ref="B574:F574"/>
    <mergeCell ref="C609:D609"/>
    <mergeCell ref="E609:F609"/>
    <mergeCell ref="G609:I609"/>
    <mergeCell ref="F596:H596"/>
    <mergeCell ref="J609:K609"/>
    <mergeCell ref="Q7:R7"/>
    <mergeCell ref="Q11:R11"/>
    <mergeCell ref="Q15:R15"/>
    <mergeCell ref="D247:E247"/>
    <mergeCell ref="D266:E266"/>
    <mergeCell ref="L263:O263"/>
    <mergeCell ref="A48:K48"/>
    <mergeCell ref="A171:B171"/>
    <mergeCell ref="A163:B163"/>
    <mergeCell ref="A162:B162"/>
    <mergeCell ref="A146:B146"/>
    <mergeCell ref="A125:B125"/>
    <mergeCell ref="A117:B117"/>
    <mergeCell ref="A116:B116"/>
    <mergeCell ref="A108:B108"/>
    <mergeCell ref="A105:B105"/>
  </mergeCells>
  <phoneticPr fontId="31" type="noConversion"/>
  <dataValidations count="3">
    <dataValidation type="list" allowBlank="1" showInputMessage="1" showErrorMessage="1" sqref="I285" xr:uid="{00000000-0002-0000-0200-000000000000}">
      <formula1>"0.15,0.20,0.25"</formula1>
    </dataValidation>
    <dataValidation type="list" allowBlank="1" showInputMessage="1" showErrorMessage="1" sqref="C248 C267" xr:uid="{00000000-0002-0000-0200-000001000000}">
      <formula1>"1 = ปากช่อง,2 = โชคชัย,3 = บุรีรัมย์,4 = สุรินทร์,5 = ชุมแพ,6 = ชัยบาดาล,7 = สระบุรี"</formula1>
    </dataValidation>
    <dataValidation type="list" allowBlank="1" showInputMessage="1" showErrorMessage="1" sqref="D248 D267" xr:uid="{00000000-0002-0000-0200-000002000000}">
      <formula1>"1,2,3,4,5,6,7"</formula1>
    </dataValidation>
  </dataValidations>
  <printOptions horizontalCentered="1"/>
  <pageMargins left="0.19685039370078741" right="0" top="0.59055118110236227" bottom="0.59055118110236227" header="0.19685039370078741" footer="0.19685039370078741"/>
  <pageSetup paperSize="9" scale="90" orientation="portrait" horizontalDpi="4294967293" r:id="rId1"/>
  <headerFooter alignWithMargins="0">
    <oddHeader>&amp;Rค่างานต้นทุน &amp;P/&amp;N</oddHeader>
  </headerFooter>
  <ignoredErrors>
    <ignoredError sqref="D26" evalError="1"/>
    <ignoredError sqref="I244 I263" formulaRange="1"/>
  </ignoredError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2">
    <tabColor rgb="FF92D050"/>
  </sheetPr>
  <dimension ref="A1:BA264"/>
  <sheetViews>
    <sheetView view="pageBreakPreview" zoomScale="98" zoomScaleSheetLayoutView="98" workbookViewId="0">
      <selection activeCell="P38" sqref="P38"/>
    </sheetView>
  </sheetViews>
  <sheetFormatPr defaultColWidth="9.33203125" defaultRowHeight="21.75"/>
  <cols>
    <col min="1" max="1" width="5.5" style="233" customWidth="1"/>
    <col min="2" max="2" width="11.33203125" style="233" customWidth="1"/>
    <col min="3" max="3" width="10.1640625" style="233" customWidth="1"/>
    <col min="4" max="4" width="11.33203125" style="233" customWidth="1"/>
    <col min="5" max="5" width="10.1640625" style="233" customWidth="1"/>
    <col min="6" max="6" width="11.33203125" style="233" customWidth="1"/>
    <col min="7" max="7" width="14.83203125" style="233" customWidth="1"/>
    <col min="8" max="8" width="10.1640625" style="233" customWidth="1"/>
    <col min="9" max="9" width="11.33203125" style="233" customWidth="1"/>
    <col min="10" max="10" width="17.1640625" style="233" customWidth="1"/>
    <col min="11" max="11" width="13" style="233" hidden="1" customWidth="1"/>
    <col min="12" max="12" width="6.1640625" style="233" customWidth="1"/>
    <col min="13" max="13" width="7.83203125" style="233" customWidth="1"/>
    <col min="14" max="14" width="9" style="233" customWidth="1"/>
    <col min="15" max="22" width="11.33203125" style="233" customWidth="1"/>
    <col min="23" max="23" width="6.1640625" style="233" customWidth="1"/>
    <col min="24" max="24" width="7.83203125" style="233" customWidth="1"/>
    <col min="25" max="25" width="9" style="233" customWidth="1"/>
    <col min="26" max="33" width="11.33203125" style="233" customWidth="1"/>
    <col min="34" max="34" width="7.83203125" style="233" customWidth="1"/>
    <col min="35" max="35" width="10.1640625" style="233" customWidth="1"/>
    <col min="36" max="39" width="18.33203125" style="233" customWidth="1"/>
    <col min="40" max="40" width="23" style="233" customWidth="1"/>
    <col min="41" max="41" width="16" style="233" customWidth="1"/>
    <col min="42" max="42" width="3.6640625" style="233" customWidth="1"/>
    <col min="43" max="43" width="7.83203125" style="233" customWidth="1"/>
    <col min="44" max="44" width="9" style="233" customWidth="1"/>
    <col min="45" max="51" width="11.33203125" style="233" customWidth="1"/>
    <col min="52" max="52" width="12.5" style="233" customWidth="1"/>
    <col min="53" max="53" width="9.6640625" style="233" customWidth="1"/>
    <col min="54" max="16384" width="9.33203125" style="233"/>
  </cols>
  <sheetData>
    <row r="1" spans="1:53">
      <c r="A1" s="2336" t="s">
        <v>681</v>
      </c>
      <c r="B1" s="2336"/>
      <c r="C1" s="2336"/>
      <c r="D1" s="2336"/>
      <c r="E1" s="2336"/>
      <c r="F1" s="2336"/>
      <c r="G1" s="2336"/>
      <c r="H1" s="2336"/>
      <c r="I1" s="2336"/>
      <c r="J1" s="2336"/>
      <c r="L1" s="2336" t="s">
        <v>682</v>
      </c>
      <c r="M1" s="2336"/>
      <c r="N1" s="2336"/>
      <c r="O1" s="2336"/>
      <c r="P1" s="2336"/>
      <c r="Q1" s="2336"/>
      <c r="R1" s="2336"/>
      <c r="S1" s="2336"/>
      <c r="T1" s="2336"/>
      <c r="U1" s="2336"/>
      <c r="V1" s="2336"/>
      <c r="W1" s="2336" t="s">
        <v>683</v>
      </c>
      <c r="X1" s="2336"/>
      <c r="Y1" s="2336"/>
      <c r="Z1" s="2336"/>
      <c r="AA1" s="2336"/>
      <c r="AB1" s="2336"/>
      <c r="AC1" s="2336"/>
      <c r="AD1" s="2336"/>
      <c r="AE1" s="2336"/>
      <c r="AF1" s="2336"/>
      <c r="AG1" s="2336"/>
      <c r="AH1" s="2336" t="s">
        <v>684</v>
      </c>
      <c r="AI1" s="2336"/>
      <c r="AJ1" s="2336"/>
      <c r="AK1" s="2336"/>
      <c r="AL1" s="2336"/>
      <c r="AM1" s="2336"/>
      <c r="AN1" s="2336"/>
      <c r="AO1" s="91"/>
    </row>
    <row r="2" spans="1:53" ht="21.75" customHeight="1">
      <c r="A2" s="152" t="s">
        <v>685</v>
      </c>
      <c r="B2" s="91"/>
      <c r="C2" s="91"/>
      <c r="D2" s="91"/>
      <c r="E2" s="91"/>
      <c r="F2" s="91"/>
      <c r="G2" s="91"/>
      <c r="H2" s="91"/>
      <c r="I2" s="91"/>
      <c r="J2" s="91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342" t="s">
        <v>686</v>
      </c>
    </row>
    <row r="3" spans="1:53" ht="21.75" customHeight="1">
      <c r="A3" s="154" t="s">
        <v>687</v>
      </c>
      <c r="B3" s="155"/>
      <c r="C3" s="331"/>
      <c r="D3" s="331"/>
      <c r="E3" s="331"/>
      <c r="F3" s="331"/>
      <c r="G3" s="331"/>
      <c r="H3" s="331"/>
      <c r="I3" s="331"/>
      <c r="J3" s="331"/>
      <c r="K3" s="331"/>
      <c r="L3" s="155" t="s">
        <v>688</v>
      </c>
      <c r="M3" s="277"/>
      <c r="N3" s="277"/>
      <c r="O3" s="277"/>
      <c r="P3" s="277"/>
      <c r="Q3" s="277"/>
      <c r="R3" s="277"/>
      <c r="S3" s="277"/>
      <c r="T3" s="277"/>
      <c r="U3" s="277"/>
      <c r="V3" s="277"/>
      <c r="X3" s="343" t="s">
        <v>689</v>
      </c>
      <c r="Y3" s="343"/>
      <c r="Z3" s="343"/>
      <c r="AA3" s="343">
        <v>60</v>
      </c>
      <c r="AB3" s="343" t="s">
        <v>505</v>
      </c>
      <c r="AH3" s="342" t="s">
        <v>690</v>
      </c>
      <c r="BA3" s="344"/>
    </row>
    <row r="4" spans="1:53" ht="21.75" customHeight="1">
      <c r="A4" s="135" t="s">
        <v>691</v>
      </c>
      <c r="B4" s="212"/>
      <c r="C4" s="212"/>
      <c r="D4" s="212"/>
      <c r="E4" s="212"/>
      <c r="F4" s="212"/>
      <c r="G4" s="212"/>
      <c r="H4" s="277"/>
      <c r="I4" s="277"/>
      <c r="J4" s="277"/>
      <c r="L4" s="277"/>
      <c r="M4" s="135" t="s">
        <v>692</v>
      </c>
      <c r="N4" s="135"/>
      <c r="O4" s="135"/>
      <c r="P4" s="135">
        <v>60</v>
      </c>
      <c r="Q4" s="135" t="s">
        <v>505</v>
      </c>
      <c r="R4" s="277"/>
      <c r="S4" s="277"/>
      <c r="T4" s="277"/>
      <c r="U4" s="277"/>
      <c r="V4" s="277"/>
      <c r="W4" s="2343" t="s">
        <v>195</v>
      </c>
      <c r="X4" s="2349" t="s">
        <v>693</v>
      </c>
      <c r="Y4" s="2350"/>
      <c r="Z4" s="2350"/>
      <c r="AA4" s="2351"/>
      <c r="AB4" s="2343" t="s">
        <v>184</v>
      </c>
      <c r="AC4" s="2343" t="s">
        <v>183</v>
      </c>
      <c r="AD4" s="2555" t="s">
        <v>694</v>
      </c>
      <c r="AE4" s="2556"/>
      <c r="AF4" s="2555" t="s">
        <v>695</v>
      </c>
      <c r="AG4" s="2556"/>
      <c r="AI4" s="233" t="s">
        <v>696</v>
      </c>
      <c r="BA4" s="160"/>
    </row>
    <row r="5" spans="1:53" ht="19.5" customHeight="1">
      <c r="A5" s="277" t="s">
        <v>697</v>
      </c>
      <c r="B5" s="277"/>
      <c r="C5" s="277">
        <v>5</v>
      </c>
      <c r="D5" s="277" t="s">
        <v>639</v>
      </c>
      <c r="E5" s="277"/>
      <c r="F5" s="277" t="s">
        <v>394</v>
      </c>
      <c r="G5" s="212"/>
      <c r="H5" s="277">
        <v>2.5</v>
      </c>
      <c r="I5" s="277" t="s">
        <v>395</v>
      </c>
      <c r="J5" s="277"/>
      <c r="L5" s="2343" t="s">
        <v>195</v>
      </c>
      <c r="M5" s="2349" t="s">
        <v>693</v>
      </c>
      <c r="N5" s="2350"/>
      <c r="O5" s="2350"/>
      <c r="P5" s="2351"/>
      <c r="Q5" s="2343" t="s">
        <v>184</v>
      </c>
      <c r="R5" s="2343" t="s">
        <v>183</v>
      </c>
      <c r="S5" s="2337" t="s">
        <v>694</v>
      </c>
      <c r="T5" s="2338"/>
      <c r="U5" s="2337" t="s">
        <v>695</v>
      </c>
      <c r="V5" s="2338"/>
      <c r="W5" s="2344"/>
      <c r="X5" s="2352"/>
      <c r="Y5" s="2353"/>
      <c r="Z5" s="2353"/>
      <c r="AA5" s="2354"/>
      <c r="AB5" s="2344"/>
      <c r="AC5" s="2344"/>
      <c r="AD5" s="2557" t="s">
        <v>927</v>
      </c>
      <c r="AE5" s="2558"/>
      <c r="AF5" s="2557" t="s">
        <v>927</v>
      </c>
      <c r="AG5" s="2558"/>
      <c r="AI5" s="233" t="s">
        <v>396</v>
      </c>
      <c r="AM5" s="233">
        <v>0.25</v>
      </c>
      <c r="AN5" s="233" t="s">
        <v>397</v>
      </c>
      <c r="BA5" s="160"/>
    </row>
    <row r="6" spans="1:53" ht="19.5" customHeight="1">
      <c r="A6" s="2345" t="s">
        <v>398</v>
      </c>
      <c r="B6" s="2347"/>
      <c r="C6" s="2345" t="s">
        <v>399</v>
      </c>
      <c r="D6" s="2347"/>
      <c r="E6" s="157" t="s">
        <v>646</v>
      </c>
      <c r="F6" s="2345" t="s">
        <v>400</v>
      </c>
      <c r="G6" s="2347"/>
      <c r="H6" s="2345" t="s">
        <v>401</v>
      </c>
      <c r="I6" s="2346"/>
      <c r="J6" s="2347"/>
      <c r="L6" s="2344"/>
      <c r="M6" s="2352"/>
      <c r="N6" s="2353"/>
      <c r="O6" s="2353"/>
      <c r="P6" s="2354"/>
      <c r="Q6" s="2344"/>
      <c r="R6" s="2344"/>
      <c r="S6" s="2334" t="s">
        <v>927</v>
      </c>
      <c r="T6" s="2335"/>
      <c r="U6" s="2334" t="s">
        <v>927</v>
      </c>
      <c r="V6" s="2335"/>
      <c r="W6" s="158">
        <v>1</v>
      </c>
      <c r="X6" s="159" t="s">
        <v>402</v>
      </c>
      <c r="Y6" s="160"/>
      <c r="Z6" s="160"/>
      <c r="AA6" s="161"/>
      <c r="AB6" s="162"/>
      <c r="AC6" s="162"/>
      <c r="AD6" s="163"/>
      <c r="AE6" s="164"/>
      <c r="AF6" s="163"/>
      <c r="AG6" s="165" t="s">
        <v>403</v>
      </c>
      <c r="AI6" s="233" t="s">
        <v>404</v>
      </c>
    </row>
    <row r="7" spans="1:53" ht="19.5" customHeight="1">
      <c r="A7" s="2355" t="s">
        <v>505</v>
      </c>
      <c r="B7" s="2356"/>
      <c r="C7" s="2355" t="s">
        <v>505</v>
      </c>
      <c r="D7" s="2356"/>
      <c r="E7" s="166" t="s">
        <v>654</v>
      </c>
      <c r="F7" s="2355" t="s">
        <v>918</v>
      </c>
      <c r="G7" s="2356"/>
      <c r="H7" s="2355" t="s">
        <v>494</v>
      </c>
      <c r="I7" s="2357"/>
      <c r="J7" s="2356"/>
      <c r="L7" s="167">
        <v>1</v>
      </c>
      <c r="M7" s="168" t="s">
        <v>405</v>
      </c>
      <c r="N7" s="169"/>
      <c r="O7" s="169"/>
      <c r="P7" s="170"/>
      <c r="Q7" s="171"/>
      <c r="R7" s="171"/>
      <c r="S7" s="172"/>
      <c r="T7" s="170"/>
      <c r="U7" s="172"/>
      <c r="V7" s="170"/>
      <c r="W7" s="162">
        <v>1.1000000000000001</v>
      </c>
      <c r="X7" s="163" t="s">
        <v>406</v>
      </c>
      <c r="Y7" s="173"/>
      <c r="Z7" s="173"/>
      <c r="AA7" s="174"/>
      <c r="AB7" s="162" t="s">
        <v>407</v>
      </c>
      <c r="AC7" s="162">
        <v>1</v>
      </c>
      <c r="AD7" s="163"/>
      <c r="AE7" s="175">
        <v>30000</v>
      </c>
      <c r="AF7" s="163"/>
      <c r="AG7" s="175">
        <f>AE7/2</f>
        <v>15000</v>
      </c>
      <c r="AI7" s="233" t="s">
        <v>408</v>
      </c>
      <c r="AM7" s="233">
        <v>0.05</v>
      </c>
      <c r="AN7" s="233" t="s">
        <v>397</v>
      </c>
    </row>
    <row r="8" spans="1:53" ht="19.5" customHeight="1">
      <c r="A8" s="332" t="s">
        <v>510</v>
      </c>
      <c r="B8" s="91">
        <v>5</v>
      </c>
      <c r="C8" s="333"/>
      <c r="D8" s="177">
        <f t="shared" ref="D8:D43" si="0">(B8*$C$5)/100</f>
        <v>0.25</v>
      </c>
      <c r="E8" s="91">
        <v>6</v>
      </c>
      <c r="F8" s="333"/>
      <c r="G8" s="178">
        <f>(D8*1000000)*($H$5/100)*(E8/12)</f>
        <v>3125</v>
      </c>
      <c r="H8" s="334"/>
      <c r="I8" s="335"/>
      <c r="J8" s="179">
        <f t="shared" ref="J8:J43" si="1">(G8*100)/(B8*1000000)</f>
        <v>6.25E-2</v>
      </c>
      <c r="L8" s="180">
        <v>1.1000000000000001</v>
      </c>
      <c r="M8" s="181" t="s">
        <v>409</v>
      </c>
      <c r="N8" s="138"/>
      <c r="O8" s="138"/>
      <c r="P8" s="182"/>
      <c r="Q8" s="180" t="s">
        <v>410</v>
      </c>
      <c r="R8" s="180">
        <v>1</v>
      </c>
      <c r="S8" s="181"/>
      <c r="T8" s="183">
        <v>3500</v>
      </c>
      <c r="U8" s="181"/>
      <c r="V8" s="183">
        <f>(R8*T8)</f>
        <v>3500</v>
      </c>
      <c r="W8" s="162">
        <v>1.2</v>
      </c>
      <c r="X8" s="163" t="s">
        <v>411</v>
      </c>
      <c r="Y8" s="173"/>
      <c r="Z8" s="173"/>
      <c r="AA8" s="174"/>
      <c r="AB8" s="162" t="s">
        <v>407</v>
      </c>
      <c r="AC8" s="162">
        <v>1</v>
      </c>
      <c r="AD8" s="163"/>
      <c r="AE8" s="164">
        <v>15000</v>
      </c>
      <c r="AF8" s="163"/>
      <c r="AG8" s="164">
        <f>(AC8*AE8)</f>
        <v>15000</v>
      </c>
      <c r="AI8" s="349" t="s">
        <v>412</v>
      </c>
      <c r="AJ8" s="350"/>
      <c r="AK8" s="350"/>
      <c r="AL8" s="350"/>
      <c r="AM8" s="349">
        <v>0.3</v>
      </c>
      <c r="AN8" s="349" t="s">
        <v>397</v>
      </c>
    </row>
    <row r="9" spans="1:53" ht="19.5" customHeight="1">
      <c r="A9" s="163"/>
      <c r="B9" s="91">
        <v>10</v>
      </c>
      <c r="C9" s="163"/>
      <c r="D9" s="184">
        <f t="shared" si="0"/>
        <v>0.5</v>
      </c>
      <c r="E9" s="91">
        <v>9</v>
      </c>
      <c r="F9" s="163"/>
      <c r="G9" s="336">
        <f>(D9*1000000)*($H$5/100)*(E9/12)</f>
        <v>9375</v>
      </c>
      <c r="H9" s="337"/>
      <c r="I9" s="335"/>
      <c r="J9" s="185">
        <f t="shared" si="1"/>
        <v>9.375E-2</v>
      </c>
      <c r="L9" s="180">
        <v>1.2</v>
      </c>
      <c r="M9" s="181" t="s">
        <v>413</v>
      </c>
      <c r="N9" s="138"/>
      <c r="O9" s="138"/>
      <c r="P9" s="182"/>
      <c r="Q9" s="180" t="s">
        <v>414</v>
      </c>
      <c r="R9" s="180">
        <v>2</v>
      </c>
      <c r="S9" s="181"/>
      <c r="T9" s="183">
        <v>3000</v>
      </c>
      <c r="U9" s="181"/>
      <c r="V9" s="183">
        <f t="shared" ref="V9:V16" si="2">(R9*T9)</f>
        <v>6000</v>
      </c>
      <c r="W9" s="162">
        <v>1.3</v>
      </c>
      <c r="X9" s="163" t="s">
        <v>415</v>
      </c>
      <c r="Y9" s="173"/>
      <c r="Z9" s="173"/>
      <c r="AA9" s="174"/>
      <c r="AB9" s="162" t="s">
        <v>407</v>
      </c>
      <c r="AC9" s="162">
        <v>1</v>
      </c>
      <c r="AD9" s="163"/>
      <c r="AE9" s="164">
        <v>8000</v>
      </c>
      <c r="AF9" s="163"/>
      <c r="AG9" s="164">
        <f>(AC9*AE9)</f>
        <v>8000</v>
      </c>
    </row>
    <row r="10" spans="1:53" ht="19.5" customHeight="1">
      <c r="A10" s="163"/>
      <c r="B10" s="91">
        <v>20</v>
      </c>
      <c r="C10" s="163"/>
      <c r="D10" s="184">
        <f t="shared" si="0"/>
        <v>1</v>
      </c>
      <c r="E10" s="91">
        <v>12</v>
      </c>
      <c r="F10" s="163"/>
      <c r="G10" s="336">
        <f t="shared" ref="G10:G43" si="3">(D10*1000000)*($H$5/100)*(E10/12)</f>
        <v>25000</v>
      </c>
      <c r="H10" s="337"/>
      <c r="I10" s="335"/>
      <c r="J10" s="185">
        <f t="shared" si="1"/>
        <v>0.125</v>
      </c>
      <c r="L10" s="180">
        <v>1.3</v>
      </c>
      <c r="M10" s="181" t="s">
        <v>419</v>
      </c>
      <c r="N10" s="138"/>
      <c r="O10" s="138"/>
      <c r="P10" s="182"/>
      <c r="Q10" s="180" t="s">
        <v>890</v>
      </c>
      <c r="R10" s="186">
        <v>1000</v>
      </c>
      <c r="S10" s="181"/>
      <c r="T10" s="183">
        <v>2</v>
      </c>
      <c r="U10" s="181"/>
      <c r="V10" s="183">
        <f t="shared" si="2"/>
        <v>2000</v>
      </c>
      <c r="W10" s="162">
        <v>1.4</v>
      </c>
      <c r="X10" s="163" t="s">
        <v>420</v>
      </c>
      <c r="Y10" s="173"/>
      <c r="Z10" s="173"/>
      <c r="AA10" s="174"/>
      <c r="AB10" s="162" t="s">
        <v>407</v>
      </c>
      <c r="AC10" s="162">
        <v>1</v>
      </c>
      <c r="AD10" s="163"/>
      <c r="AE10" s="164">
        <v>7000</v>
      </c>
      <c r="AF10" s="163"/>
      <c r="AG10" s="164">
        <f>(AC10*AE10)</f>
        <v>7000</v>
      </c>
    </row>
    <row r="11" spans="1:53" ht="19.5" customHeight="1">
      <c r="A11" s="163"/>
      <c r="B11" s="91">
        <v>30</v>
      </c>
      <c r="C11" s="163"/>
      <c r="D11" s="184">
        <f t="shared" si="0"/>
        <v>1.5</v>
      </c>
      <c r="E11" s="91">
        <v>12</v>
      </c>
      <c r="F11" s="163"/>
      <c r="G11" s="336">
        <f t="shared" si="3"/>
        <v>37500</v>
      </c>
      <c r="H11" s="337"/>
      <c r="I11" s="335"/>
      <c r="J11" s="185">
        <f t="shared" si="1"/>
        <v>0.125</v>
      </c>
      <c r="L11" s="180">
        <v>1.4</v>
      </c>
      <c r="M11" s="181" t="s">
        <v>421</v>
      </c>
      <c r="N11" s="138"/>
      <c r="O11" s="138"/>
      <c r="P11" s="182"/>
      <c r="Q11" s="180" t="s">
        <v>422</v>
      </c>
      <c r="R11" s="180">
        <v>1</v>
      </c>
      <c r="S11" s="181"/>
      <c r="T11" s="183">
        <v>3000</v>
      </c>
      <c r="U11" s="181"/>
      <c r="V11" s="183">
        <f t="shared" si="2"/>
        <v>3000</v>
      </c>
      <c r="W11" s="162">
        <v>1.5</v>
      </c>
      <c r="X11" s="163" t="s">
        <v>423</v>
      </c>
      <c r="Y11" s="173"/>
      <c r="Z11" s="173"/>
      <c r="AA11" s="174"/>
      <c r="AB11" s="162" t="s">
        <v>407</v>
      </c>
      <c r="AC11" s="162">
        <v>1</v>
      </c>
      <c r="AD11" s="163"/>
      <c r="AE11" s="164">
        <v>6000</v>
      </c>
      <c r="AF11" s="163"/>
      <c r="AG11" s="164">
        <f>(AC11*AE11)</f>
        <v>6000</v>
      </c>
    </row>
    <row r="12" spans="1:53" ht="19.5" customHeight="1">
      <c r="A12" s="163"/>
      <c r="B12" s="91">
        <v>40</v>
      </c>
      <c r="C12" s="163"/>
      <c r="D12" s="184">
        <f t="shared" si="0"/>
        <v>2</v>
      </c>
      <c r="E12" s="91">
        <v>16</v>
      </c>
      <c r="F12" s="163"/>
      <c r="G12" s="336">
        <f t="shared" si="3"/>
        <v>66666.666666666657</v>
      </c>
      <c r="H12" s="337"/>
      <c r="I12" s="335"/>
      <c r="J12" s="185">
        <f t="shared" si="1"/>
        <v>0.16666666666666666</v>
      </c>
      <c r="L12" s="187">
        <v>2</v>
      </c>
      <c r="M12" s="188" t="s">
        <v>424</v>
      </c>
      <c r="N12" s="138"/>
      <c r="O12" s="138"/>
      <c r="P12" s="182"/>
      <c r="Q12" s="180"/>
      <c r="R12" s="180"/>
      <c r="S12" s="181"/>
      <c r="T12" s="183"/>
      <c r="U12" s="181"/>
      <c r="V12" s="183" t="s">
        <v>403</v>
      </c>
      <c r="W12" s="162">
        <v>1.6</v>
      </c>
      <c r="X12" s="163" t="s">
        <v>425</v>
      </c>
      <c r="Y12" s="173"/>
      <c r="Z12" s="173"/>
      <c r="AA12" s="174"/>
      <c r="AB12" s="162" t="s">
        <v>407</v>
      </c>
      <c r="AC12" s="162">
        <v>1</v>
      </c>
      <c r="AD12" s="163"/>
      <c r="AE12" s="495">
        <v>4000</v>
      </c>
      <c r="AF12" s="163"/>
      <c r="AG12" s="495">
        <f>(AC12*AE12)</f>
        <v>4000</v>
      </c>
    </row>
    <row r="13" spans="1:53" ht="19.5" customHeight="1">
      <c r="A13" s="163"/>
      <c r="B13" s="91">
        <v>50</v>
      </c>
      <c r="C13" s="163"/>
      <c r="D13" s="184">
        <f t="shared" si="0"/>
        <v>2.5</v>
      </c>
      <c r="E13" s="91">
        <v>18</v>
      </c>
      <c r="F13" s="163"/>
      <c r="G13" s="336">
        <f t="shared" si="3"/>
        <v>93750</v>
      </c>
      <c r="H13" s="337"/>
      <c r="I13" s="335"/>
      <c r="J13" s="189">
        <f t="shared" si="1"/>
        <v>0.1875</v>
      </c>
      <c r="L13" s="180">
        <v>2.1</v>
      </c>
      <c r="M13" s="181" t="s">
        <v>426</v>
      </c>
      <c r="N13" s="138"/>
      <c r="O13" s="138"/>
      <c r="P13" s="182"/>
      <c r="Q13" s="180" t="s">
        <v>427</v>
      </c>
      <c r="R13" s="180">
        <v>2</v>
      </c>
      <c r="S13" s="181"/>
      <c r="T13" s="183">
        <v>21500</v>
      </c>
      <c r="U13" s="181"/>
      <c r="V13" s="183">
        <f t="shared" si="2"/>
        <v>43000</v>
      </c>
      <c r="W13" s="2552" t="s">
        <v>186</v>
      </c>
      <c r="X13" s="2553"/>
      <c r="Y13" s="2553"/>
      <c r="Z13" s="2553"/>
      <c r="AA13" s="2553"/>
      <c r="AB13" s="2553"/>
      <c r="AC13" s="2553"/>
      <c r="AD13" s="2553"/>
      <c r="AE13" s="2554"/>
      <c r="AF13" s="191"/>
      <c r="AG13" s="192">
        <f>SUM(AG7:AG12)</f>
        <v>55000</v>
      </c>
    </row>
    <row r="14" spans="1:53" ht="19.5" customHeight="1">
      <c r="A14" s="163"/>
      <c r="B14" s="91">
        <v>60</v>
      </c>
      <c r="C14" s="163"/>
      <c r="D14" s="184">
        <f t="shared" si="0"/>
        <v>3</v>
      </c>
      <c r="E14" s="91">
        <v>18</v>
      </c>
      <c r="F14" s="163"/>
      <c r="G14" s="336">
        <f t="shared" si="3"/>
        <v>112500</v>
      </c>
      <c r="H14" s="337"/>
      <c r="I14" s="335"/>
      <c r="J14" s="185">
        <f t="shared" si="1"/>
        <v>0.1875</v>
      </c>
      <c r="L14" s="180">
        <v>2.2000000000000002</v>
      </c>
      <c r="M14" s="181" t="s">
        <v>947</v>
      </c>
      <c r="N14" s="138"/>
      <c r="O14" s="138"/>
      <c r="P14" s="182"/>
      <c r="Q14" s="180" t="s">
        <v>427</v>
      </c>
      <c r="R14" s="180">
        <v>2</v>
      </c>
      <c r="S14" s="181"/>
      <c r="T14" s="491">
        <v>3600</v>
      </c>
      <c r="U14" s="181"/>
      <c r="V14" s="491">
        <f t="shared" si="2"/>
        <v>7200</v>
      </c>
      <c r="W14" s="158">
        <v>2</v>
      </c>
      <c r="X14" s="159" t="s">
        <v>948</v>
      </c>
      <c r="Y14" s="160"/>
      <c r="Z14" s="160"/>
      <c r="AA14" s="161"/>
      <c r="AB14" s="162"/>
      <c r="AC14" s="162"/>
      <c r="AD14" s="163"/>
      <c r="AE14" s="164"/>
      <c r="AF14" s="163"/>
      <c r="AG14" s="164" t="s">
        <v>403</v>
      </c>
    </row>
    <row r="15" spans="1:53" ht="19.5" customHeight="1">
      <c r="A15" s="163"/>
      <c r="B15" s="91">
        <v>70</v>
      </c>
      <c r="C15" s="163"/>
      <c r="D15" s="184">
        <f t="shared" si="0"/>
        <v>3.5</v>
      </c>
      <c r="E15" s="91">
        <v>19</v>
      </c>
      <c r="F15" s="163"/>
      <c r="G15" s="336">
        <f t="shared" si="3"/>
        <v>138541.66666666666</v>
      </c>
      <c r="H15" s="337"/>
      <c r="I15" s="335"/>
      <c r="J15" s="185">
        <f t="shared" si="1"/>
        <v>0.19791666666666666</v>
      </c>
      <c r="L15" s="180">
        <v>2.2999999999999998</v>
      </c>
      <c r="M15" s="181" t="s">
        <v>949</v>
      </c>
      <c r="N15" s="138"/>
      <c r="O15" s="138"/>
      <c r="P15" s="182"/>
      <c r="Q15" s="180" t="s">
        <v>427</v>
      </c>
      <c r="R15" s="180">
        <v>2</v>
      </c>
      <c r="S15" s="181"/>
      <c r="T15" s="183">
        <v>1000</v>
      </c>
      <c r="U15" s="181"/>
      <c r="V15" s="183">
        <f t="shared" si="2"/>
        <v>2000</v>
      </c>
      <c r="W15" s="162">
        <v>2.1</v>
      </c>
      <c r="X15" s="163" t="s">
        <v>946</v>
      </c>
      <c r="Y15" s="173"/>
      <c r="Z15" s="173"/>
      <c r="AA15" s="174"/>
      <c r="AB15" s="162"/>
      <c r="AC15" s="162">
        <v>1</v>
      </c>
      <c r="AD15" s="163"/>
      <c r="AE15" s="164">
        <v>3000</v>
      </c>
      <c r="AF15" s="163"/>
      <c r="AG15" s="495">
        <f t="shared" ref="AG15:AG21" si="4">(AC15*AE15)/4</f>
        <v>750</v>
      </c>
    </row>
    <row r="16" spans="1:53" ht="19.5" customHeight="1">
      <c r="A16" s="163"/>
      <c r="B16" s="91">
        <v>80</v>
      </c>
      <c r="C16" s="163"/>
      <c r="D16" s="184">
        <f t="shared" si="0"/>
        <v>4</v>
      </c>
      <c r="E16" s="91">
        <v>20</v>
      </c>
      <c r="F16" s="163"/>
      <c r="G16" s="336">
        <f t="shared" si="3"/>
        <v>166666.66666666669</v>
      </c>
      <c r="H16" s="337"/>
      <c r="I16" s="335"/>
      <c r="J16" s="185">
        <f t="shared" si="1"/>
        <v>0.20833333333333334</v>
      </c>
      <c r="L16" s="180">
        <v>2.4</v>
      </c>
      <c r="M16" s="181" t="s">
        <v>226</v>
      </c>
      <c r="N16" s="138"/>
      <c r="O16" s="138"/>
      <c r="P16" s="182"/>
      <c r="Q16" s="180" t="s">
        <v>427</v>
      </c>
      <c r="R16" s="180">
        <v>2</v>
      </c>
      <c r="S16" s="181"/>
      <c r="T16" s="183">
        <v>840</v>
      </c>
      <c r="U16" s="181"/>
      <c r="V16" s="183">
        <f t="shared" si="2"/>
        <v>1680</v>
      </c>
      <c r="W16" s="162">
        <v>2.2000000000000002</v>
      </c>
      <c r="X16" s="163" t="s">
        <v>252</v>
      </c>
      <c r="Y16" s="173"/>
      <c r="Z16" s="173"/>
      <c r="AA16" s="174"/>
      <c r="AB16" s="162"/>
      <c r="AC16" s="162">
        <v>1</v>
      </c>
      <c r="AD16" s="163"/>
      <c r="AE16" s="164">
        <v>3000</v>
      </c>
      <c r="AF16" s="163"/>
      <c r="AG16" s="495">
        <f t="shared" si="4"/>
        <v>750</v>
      </c>
    </row>
    <row r="17" spans="1:33" ht="19.5" customHeight="1">
      <c r="A17" s="163"/>
      <c r="B17" s="91">
        <v>90</v>
      </c>
      <c r="C17" s="163"/>
      <c r="D17" s="184">
        <f t="shared" si="0"/>
        <v>4.5</v>
      </c>
      <c r="E17" s="91">
        <v>20</v>
      </c>
      <c r="F17" s="163"/>
      <c r="G17" s="336">
        <f t="shared" si="3"/>
        <v>187500</v>
      </c>
      <c r="H17" s="337"/>
      <c r="I17" s="335"/>
      <c r="J17" s="185">
        <f t="shared" si="1"/>
        <v>0.20833333333333334</v>
      </c>
      <c r="L17" s="2340" t="s">
        <v>186</v>
      </c>
      <c r="M17" s="2341"/>
      <c r="N17" s="2341"/>
      <c r="O17" s="2341"/>
      <c r="P17" s="2341"/>
      <c r="Q17" s="2341"/>
      <c r="R17" s="2341"/>
      <c r="S17" s="2341"/>
      <c r="T17" s="2342"/>
      <c r="U17" s="193"/>
      <c r="V17" s="194">
        <f>SUM(V8:V16)</f>
        <v>68380</v>
      </c>
      <c r="W17" s="162">
        <v>2.2999999999999998</v>
      </c>
      <c r="X17" s="163" t="s">
        <v>253</v>
      </c>
      <c r="Y17" s="173"/>
      <c r="Z17" s="173"/>
      <c r="AA17" s="174"/>
      <c r="AB17" s="162" t="s">
        <v>407</v>
      </c>
      <c r="AC17" s="162">
        <v>1</v>
      </c>
      <c r="AD17" s="163"/>
      <c r="AE17" s="164">
        <v>50000</v>
      </c>
      <c r="AF17" s="163"/>
      <c r="AG17" s="164">
        <f t="shared" si="4"/>
        <v>12500</v>
      </c>
    </row>
    <row r="18" spans="1:33" ht="19.5" customHeight="1">
      <c r="A18" s="163"/>
      <c r="B18" s="91">
        <v>100</v>
      </c>
      <c r="C18" s="163"/>
      <c r="D18" s="184">
        <f t="shared" si="0"/>
        <v>5</v>
      </c>
      <c r="E18" s="91">
        <v>20</v>
      </c>
      <c r="F18" s="163"/>
      <c r="G18" s="336">
        <f t="shared" si="3"/>
        <v>208333.33333333334</v>
      </c>
      <c r="H18" s="337"/>
      <c r="I18" s="335"/>
      <c r="J18" s="185">
        <f t="shared" si="1"/>
        <v>0.20833333333333337</v>
      </c>
      <c r="L18" s="195" t="s">
        <v>254</v>
      </c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62">
        <v>2.4</v>
      </c>
      <c r="X18" s="163" t="s">
        <v>255</v>
      </c>
      <c r="Y18" s="173"/>
      <c r="Z18" s="173"/>
      <c r="AA18" s="174"/>
      <c r="AB18" s="162" t="s">
        <v>407</v>
      </c>
      <c r="AC18" s="162">
        <v>1</v>
      </c>
      <c r="AD18" s="163"/>
      <c r="AE18" s="164">
        <v>8000</v>
      </c>
      <c r="AF18" s="163"/>
      <c r="AG18" s="164">
        <f t="shared" si="4"/>
        <v>2000</v>
      </c>
    </row>
    <row r="19" spans="1:33" ht="19.5" customHeight="1">
      <c r="A19" s="163"/>
      <c r="B19" s="91">
        <v>110</v>
      </c>
      <c r="C19" s="163"/>
      <c r="D19" s="184">
        <f t="shared" si="0"/>
        <v>5.5</v>
      </c>
      <c r="E19" s="91">
        <v>21</v>
      </c>
      <c r="F19" s="163"/>
      <c r="G19" s="336">
        <f t="shared" si="3"/>
        <v>240625</v>
      </c>
      <c r="H19" s="337"/>
      <c r="I19" s="335"/>
      <c r="J19" s="185">
        <f t="shared" si="1"/>
        <v>0.21875</v>
      </c>
      <c r="L19" s="138" t="s">
        <v>256</v>
      </c>
      <c r="M19" s="138"/>
      <c r="N19" s="138"/>
      <c r="O19" s="138"/>
      <c r="P19" s="196">
        <v>550</v>
      </c>
      <c r="Q19" s="138" t="s">
        <v>257</v>
      </c>
      <c r="R19" s="138" t="s">
        <v>258</v>
      </c>
      <c r="S19" s="138"/>
      <c r="T19" s="138"/>
      <c r="U19" s="196">
        <v>6</v>
      </c>
      <c r="V19" s="138" t="s">
        <v>259</v>
      </c>
      <c r="W19" s="162">
        <v>2.5</v>
      </c>
      <c r="X19" s="163" t="s">
        <v>260</v>
      </c>
      <c r="Y19" s="173"/>
      <c r="Z19" s="173"/>
      <c r="AA19" s="174"/>
      <c r="AB19" s="162" t="s">
        <v>407</v>
      </c>
      <c r="AC19" s="162">
        <v>1</v>
      </c>
      <c r="AD19" s="163"/>
      <c r="AE19" s="164">
        <v>8000</v>
      </c>
      <c r="AF19" s="163"/>
      <c r="AG19" s="164">
        <f t="shared" si="4"/>
        <v>2000</v>
      </c>
    </row>
    <row r="20" spans="1:33" ht="19.5" customHeight="1">
      <c r="A20" s="163"/>
      <c r="B20" s="91">
        <v>120</v>
      </c>
      <c r="C20" s="163"/>
      <c r="D20" s="184">
        <f t="shared" si="0"/>
        <v>6</v>
      </c>
      <c r="E20" s="91">
        <v>22</v>
      </c>
      <c r="F20" s="163"/>
      <c r="G20" s="336">
        <f t="shared" si="3"/>
        <v>275000</v>
      </c>
      <c r="H20" s="337"/>
      <c r="I20" s="335"/>
      <c r="J20" s="185">
        <f t="shared" si="1"/>
        <v>0.22916666666666666</v>
      </c>
      <c r="L20" s="138" t="s">
        <v>261</v>
      </c>
      <c r="M20" s="138"/>
      <c r="N20" s="138"/>
      <c r="O20" s="138"/>
      <c r="P20" s="196">
        <v>8</v>
      </c>
      <c r="Q20" s="138" t="s">
        <v>262</v>
      </c>
      <c r="R20" s="138" t="s">
        <v>263</v>
      </c>
      <c r="S20" s="138"/>
      <c r="T20" s="138"/>
      <c r="U20" s="196">
        <v>4</v>
      </c>
      <c r="V20" s="138" t="s">
        <v>264</v>
      </c>
      <c r="W20" s="162">
        <v>2.6</v>
      </c>
      <c r="X20" s="163" t="s">
        <v>265</v>
      </c>
      <c r="Y20" s="173"/>
      <c r="Z20" s="173"/>
      <c r="AA20" s="174"/>
      <c r="AB20" s="162" t="s">
        <v>407</v>
      </c>
      <c r="AC20" s="162">
        <v>1</v>
      </c>
      <c r="AD20" s="163"/>
      <c r="AE20" s="164">
        <v>6000</v>
      </c>
      <c r="AF20" s="163"/>
      <c r="AG20" s="164">
        <f t="shared" si="4"/>
        <v>1500</v>
      </c>
    </row>
    <row r="21" spans="1:33" ht="19.5" customHeight="1">
      <c r="A21" s="163"/>
      <c r="B21" s="91">
        <v>130</v>
      </c>
      <c r="C21" s="163"/>
      <c r="D21" s="184">
        <f t="shared" si="0"/>
        <v>6.5</v>
      </c>
      <c r="E21" s="91">
        <v>22</v>
      </c>
      <c r="F21" s="163"/>
      <c r="G21" s="336">
        <f t="shared" si="3"/>
        <v>297916.66666666663</v>
      </c>
      <c r="H21" s="337"/>
      <c r="I21" s="335"/>
      <c r="J21" s="185">
        <f t="shared" si="1"/>
        <v>0.22916666666666666</v>
      </c>
      <c r="L21" s="138" t="s">
        <v>266</v>
      </c>
      <c r="M21" s="138"/>
      <c r="N21" s="138"/>
      <c r="O21" s="138"/>
      <c r="P21" s="492">
        <v>20</v>
      </c>
      <c r="Q21" s="138" t="s">
        <v>267</v>
      </c>
      <c r="R21" s="138" t="s">
        <v>268</v>
      </c>
      <c r="S21" s="138"/>
      <c r="T21" s="138"/>
      <c r="U21" s="196">
        <v>30</v>
      </c>
      <c r="V21" s="138" t="s">
        <v>269</v>
      </c>
      <c r="W21" s="197">
        <v>2.7</v>
      </c>
      <c r="X21" s="198" t="s">
        <v>270</v>
      </c>
      <c r="Y21" s="199"/>
      <c r="Z21" s="199"/>
      <c r="AA21" s="200"/>
      <c r="AB21" s="197" t="s">
        <v>407</v>
      </c>
      <c r="AC21" s="197">
        <v>1</v>
      </c>
      <c r="AD21" s="198"/>
      <c r="AE21" s="201">
        <v>4000</v>
      </c>
      <c r="AF21" s="198"/>
      <c r="AG21" s="164">
        <f t="shared" si="4"/>
        <v>1000</v>
      </c>
    </row>
    <row r="22" spans="1:33" ht="19.5" customHeight="1">
      <c r="A22" s="163"/>
      <c r="B22" s="91">
        <v>140</v>
      </c>
      <c r="C22" s="163"/>
      <c r="D22" s="184">
        <f t="shared" si="0"/>
        <v>7</v>
      </c>
      <c r="E22" s="91">
        <v>22</v>
      </c>
      <c r="F22" s="163"/>
      <c r="G22" s="336">
        <f t="shared" si="3"/>
        <v>320833.33333333331</v>
      </c>
      <c r="H22" s="337"/>
      <c r="I22" s="335"/>
      <c r="J22" s="185">
        <f t="shared" si="1"/>
        <v>0.22916666666666666</v>
      </c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552" t="s">
        <v>186</v>
      </c>
      <c r="X22" s="2553"/>
      <c r="Y22" s="2553"/>
      <c r="Z22" s="2553"/>
      <c r="AA22" s="2553"/>
      <c r="AB22" s="2553"/>
      <c r="AC22" s="2553"/>
      <c r="AD22" s="2553"/>
      <c r="AE22" s="2554"/>
      <c r="AF22" s="191"/>
      <c r="AG22" s="192">
        <f>SUM(AG15:AG21)</f>
        <v>20500</v>
      </c>
    </row>
    <row r="23" spans="1:33" ht="19.5" customHeight="1">
      <c r="A23" s="163"/>
      <c r="B23" s="91">
        <v>150</v>
      </c>
      <c r="C23" s="163"/>
      <c r="D23" s="184">
        <f t="shared" si="0"/>
        <v>7.5</v>
      </c>
      <c r="E23" s="91">
        <v>22</v>
      </c>
      <c r="F23" s="163"/>
      <c r="G23" s="336">
        <f t="shared" si="3"/>
        <v>343750</v>
      </c>
      <c r="H23" s="337"/>
      <c r="I23" s="335"/>
      <c r="J23" s="185">
        <f t="shared" si="1"/>
        <v>0.22916666666666666</v>
      </c>
      <c r="L23" s="277"/>
      <c r="M23" s="135" t="s">
        <v>271</v>
      </c>
      <c r="N23" s="135"/>
      <c r="O23" s="135"/>
      <c r="P23" s="135">
        <v>150</v>
      </c>
      <c r="Q23" s="135" t="s">
        <v>505</v>
      </c>
      <c r="R23" s="277"/>
      <c r="S23" s="277"/>
      <c r="T23" s="277"/>
      <c r="U23" s="277"/>
      <c r="V23" s="277"/>
    </row>
    <row r="24" spans="1:33" ht="19.5" customHeight="1">
      <c r="A24" s="163"/>
      <c r="B24" s="91">
        <v>160</v>
      </c>
      <c r="C24" s="163"/>
      <c r="D24" s="184">
        <f t="shared" si="0"/>
        <v>8</v>
      </c>
      <c r="E24" s="91">
        <v>22</v>
      </c>
      <c r="F24" s="163"/>
      <c r="G24" s="336">
        <f t="shared" si="3"/>
        <v>366666.66666666663</v>
      </c>
      <c r="H24" s="337"/>
      <c r="I24" s="335"/>
      <c r="J24" s="185">
        <f t="shared" si="1"/>
        <v>0.22916666666666666</v>
      </c>
      <c r="L24" s="2343" t="s">
        <v>195</v>
      </c>
      <c r="M24" s="2349" t="s">
        <v>693</v>
      </c>
      <c r="N24" s="2350"/>
      <c r="O24" s="2350"/>
      <c r="P24" s="2351"/>
      <c r="Q24" s="2343" t="s">
        <v>184</v>
      </c>
      <c r="R24" s="2343" t="s">
        <v>183</v>
      </c>
      <c r="S24" s="2337" t="s">
        <v>694</v>
      </c>
      <c r="T24" s="2338"/>
      <c r="U24" s="2337" t="s">
        <v>695</v>
      </c>
      <c r="V24" s="2338"/>
      <c r="X24" s="343" t="s">
        <v>272</v>
      </c>
      <c r="Y24" s="343"/>
      <c r="Z24" s="343"/>
      <c r="AA24" s="343">
        <v>150</v>
      </c>
      <c r="AB24" s="343" t="s">
        <v>505</v>
      </c>
    </row>
    <row r="25" spans="1:33" ht="19.5" customHeight="1">
      <c r="A25" s="163"/>
      <c r="B25" s="91">
        <v>170</v>
      </c>
      <c r="C25" s="163"/>
      <c r="D25" s="184">
        <f t="shared" si="0"/>
        <v>8.5</v>
      </c>
      <c r="E25" s="91">
        <v>22</v>
      </c>
      <c r="F25" s="163"/>
      <c r="G25" s="336">
        <f t="shared" si="3"/>
        <v>389583.33333333331</v>
      </c>
      <c r="H25" s="337"/>
      <c r="I25" s="335"/>
      <c r="J25" s="185">
        <f t="shared" si="1"/>
        <v>0.22916666666666663</v>
      </c>
      <c r="L25" s="2344"/>
      <c r="M25" s="2352"/>
      <c r="N25" s="2353"/>
      <c r="O25" s="2353"/>
      <c r="P25" s="2354"/>
      <c r="Q25" s="2344"/>
      <c r="R25" s="2344"/>
      <c r="S25" s="2334" t="s">
        <v>927</v>
      </c>
      <c r="T25" s="2335"/>
      <c r="U25" s="2334" t="s">
        <v>927</v>
      </c>
      <c r="V25" s="2335"/>
      <c r="W25" s="2343" t="s">
        <v>195</v>
      </c>
      <c r="X25" s="2349" t="s">
        <v>693</v>
      </c>
      <c r="Y25" s="2350"/>
      <c r="Z25" s="2350"/>
      <c r="AA25" s="2351"/>
      <c r="AB25" s="2343" t="s">
        <v>184</v>
      </c>
      <c r="AC25" s="2343" t="s">
        <v>183</v>
      </c>
      <c r="AD25" s="2555" t="s">
        <v>694</v>
      </c>
      <c r="AE25" s="2556"/>
      <c r="AF25" s="2555" t="s">
        <v>695</v>
      </c>
      <c r="AG25" s="2556"/>
    </row>
    <row r="26" spans="1:33" ht="19.5" customHeight="1">
      <c r="A26" s="163"/>
      <c r="B26" s="91">
        <v>180</v>
      </c>
      <c r="C26" s="163"/>
      <c r="D26" s="184">
        <f t="shared" si="0"/>
        <v>9</v>
      </c>
      <c r="E26" s="91">
        <v>22</v>
      </c>
      <c r="F26" s="163"/>
      <c r="G26" s="336">
        <f t="shared" si="3"/>
        <v>412500</v>
      </c>
      <c r="H26" s="337"/>
      <c r="I26" s="335"/>
      <c r="J26" s="185">
        <f t="shared" si="1"/>
        <v>0.22916666666666666</v>
      </c>
      <c r="L26" s="167">
        <v>1</v>
      </c>
      <c r="M26" s="168" t="s">
        <v>405</v>
      </c>
      <c r="N26" s="169"/>
      <c r="O26" s="169"/>
      <c r="P26" s="170"/>
      <c r="Q26" s="171"/>
      <c r="R26" s="171"/>
      <c r="S26" s="172"/>
      <c r="T26" s="170"/>
      <c r="U26" s="172"/>
      <c r="V26" s="170"/>
      <c r="W26" s="2344"/>
      <c r="X26" s="2352"/>
      <c r="Y26" s="2353"/>
      <c r="Z26" s="2353"/>
      <c r="AA26" s="2354"/>
      <c r="AB26" s="2344"/>
      <c r="AC26" s="2344"/>
      <c r="AD26" s="2557" t="s">
        <v>927</v>
      </c>
      <c r="AE26" s="2558"/>
      <c r="AF26" s="2557" t="s">
        <v>927</v>
      </c>
      <c r="AG26" s="2558"/>
    </row>
    <row r="27" spans="1:33" ht="19.5" customHeight="1">
      <c r="A27" s="163"/>
      <c r="B27" s="91">
        <v>190</v>
      </c>
      <c r="C27" s="163"/>
      <c r="D27" s="184">
        <f t="shared" si="0"/>
        <v>9.5</v>
      </c>
      <c r="E27" s="91">
        <v>23</v>
      </c>
      <c r="F27" s="163"/>
      <c r="G27" s="336">
        <f t="shared" si="3"/>
        <v>455208.33333333337</v>
      </c>
      <c r="H27" s="337"/>
      <c r="I27" s="335"/>
      <c r="J27" s="185">
        <f t="shared" si="1"/>
        <v>0.23958333333333334</v>
      </c>
      <c r="L27" s="180">
        <v>1.1000000000000001</v>
      </c>
      <c r="M27" s="181" t="s">
        <v>409</v>
      </c>
      <c r="N27" s="138"/>
      <c r="O27" s="138"/>
      <c r="P27" s="182"/>
      <c r="Q27" s="180" t="s">
        <v>410</v>
      </c>
      <c r="R27" s="180">
        <v>1</v>
      </c>
      <c r="S27" s="181"/>
      <c r="T27" s="183">
        <v>3500</v>
      </c>
      <c r="U27" s="181"/>
      <c r="V27" s="183">
        <f>R27*T27</f>
        <v>3500</v>
      </c>
      <c r="W27" s="158">
        <v>1</v>
      </c>
      <c r="X27" s="159" t="s">
        <v>402</v>
      </c>
      <c r="Y27" s="160"/>
      <c r="Z27" s="160"/>
      <c r="AA27" s="161"/>
      <c r="AB27" s="162"/>
      <c r="AC27" s="162"/>
      <c r="AD27" s="163"/>
      <c r="AE27" s="164"/>
      <c r="AF27" s="163"/>
      <c r="AG27" s="164" t="s">
        <v>403</v>
      </c>
    </row>
    <row r="28" spans="1:33" ht="19.5" customHeight="1">
      <c r="A28" s="163"/>
      <c r="B28" s="91">
        <v>200</v>
      </c>
      <c r="C28" s="163"/>
      <c r="D28" s="184">
        <f t="shared" si="0"/>
        <v>10</v>
      </c>
      <c r="E28" s="91">
        <v>23</v>
      </c>
      <c r="F28" s="163"/>
      <c r="G28" s="336">
        <f t="shared" si="3"/>
        <v>479166.66666666669</v>
      </c>
      <c r="H28" s="337"/>
      <c r="I28" s="335"/>
      <c r="J28" s="185">
        <f t="shared" si="1"/>
        <v>0.23958333333333337</v>
      </c>
      <c r="L28" s="180">
        <v>1.2</v>
      </c>
      <c r="M28" s="181" t="s">
        <v>413</v>
      </c>
      <c r="N28" s="138"/>
      <c r="O28" s="138"/>
      <c r="P28" s="182"/>
      <c r="Q28" s="180" t="s">
        <v>414</v>
      </c>
      <c r="R28" s="180">
        <v>3</v>
      </c>
      <c r="S28" s="181"/>
      <c r="T28" s="183">
        <v>3000</v>
      </c>
      <c r="U28" s="181"/>
      <c r="V28" s="183">
        <f t="shared" ref="V28:V35" si="5">R28*T28</f>
        <v>9000</v>
      </c>
      <c r="W28" s="162">
        <v>1.1000000000000001</v>
      </c>
      <c r="X28" s="163" t="s">
        <v>406</v>
      </c>
      <c r="Y28" s="173"/>
      <c r="Z28" s="173"/>
      <c r="AA28" s="174"/>
      <c r="AB28" s="162" t="s">
        <v>407</v>
      </c>
      <c r="AC28" s="162">
        <v>1</v>
      </c>
      <c r="AD28" s="163"/>
      <c r="AE28" s="164">
        <v>30000</v>
      </c>
      <c r="AF28" s="163"/>
      <c r="AG28" s="164">
        <f>(AC28*AE28)/2</f>
        <v>15000</v>
      </c>
    </row>
    <row r="29" spans="1:33" ht="19.5" customHeight="1">
      <c r="A29" s="163"/>
      <c r="B29" s="91">
        <v>210</v>
      </c>
      <c r="C29" s="163"/>
      <c r="D29" s="184">
        <f t="shared" si="0"/>
        <v>10.5</v>
      </c>
      <c r="E29" s="91">
        <v>23</v>
      </c>
      <c r="F29" s="163"/>
      <c r="G29" s="336">
        <f t="shared" si="3"/>
        <v>503125</v>
      </c>
      <c r="H29" s="337"/>
      <c r="I29" s="335"/>
      <c r="J29" s="185">
        <f t="shared" si="1"/>
        <v>0.23958333333333334</v>
      </c>
      <c r="L29" s="180">
        <v>1.3</v>
      </c>
      <c r="M29" s="181" t="s">
        <v>419</v>
      </c>
      <c r="N29" s="138"/>
      <c r="O29" s="138"/>
      <c r="P29" s="182"/>
      <c r="Q29" s="180" t="s">
        <v>890</v>
      </c>
      <c r="R29" s="186">
        <v>1500</v>
      </c>
      <c r="S29" s="181"/>
      <c r="T29" s="183">
        <v>2</v>
      </c>
      <c r="U29" s="181"/>
      <c r="V29" s="183">
        <f t="shared" si="5"/>
        <v>3000</v>
      </c>
      <c r="W29" s="162">
        <v>1.2</v>
      </c>
      <c r="X29" s="163" t="s">
        <v>411</v>
      </c>
      <c r="Y29" s="173"/>
      <c r="Z29" s="173"/>
      <c r="AA29" s="174"/>
      <c r="AB29" s="162" t="s">
        <v>407</v>
      </c>
      <c r="AC29" s="162">
        <v>1</v>
      </c>
      <c r="AD29" s="163"/>
      <c r="AE29" s="164">
        <v>15000</v>
      </c>
      <c r="AF29" s="163"/>
      <c r="AG29" s="164">
        <f>AC29*AE29</f>
        <v>15000</v>
      </c>
    </row>
    <row r="30" spans="1:33" ht="19.5" customHeight="1">
      <c r="A30" s="163"/>
      <c r="B30" s="91">
        <v>220</v>
      </c>
      <c r="C30" s="163"/>
      <c r="D30" s="184">
        <f t="shared" si="0"/>
        <v>11</v>
      </c>
      <c r="E30" s="91">
        <v>23</v>
      </c>
      <c r="F30" s="163"/>
      <c r="G30" s="336">
        <f t="shared" si="3"/>
        <v>527083.33333333337</v>
      </c>
      <c r="H30" s="337"/>
      <c r="I30" s="335"/>
      <c r="J30" s="185">
        <f t="shared" si="1"/>
        <v>0.23958333333333334</v>
      </c>
      <c r="L30" s="180">
        <v>1.4</v>
      </c>
      <c r="M30" s="181" t="s">
        <v>421</v>
      </c>
      <c r="N30" s="138"/>
      <c r="O30" s="138"/>
      <c r="P30" s="182"/>
      <c r="Q30" s="180"/>
      <c r="R30" s="180">
        <v>1</v>
      </c>
      <c r="S30" s="181"/>
      <c r="T30" s="183">
        <v>3000</v>
      </c>
      <c r="U30" s="181"/>
      <c r="V30" s="183">
        <f t="shared" si="5"/>
        <v>3000</v>
      </c>
      <c r="W30" s="162">
        <v>1.3</v>
      </c>
      <c r="X30" s="163" t="s">
        <v>415</v>
      </c>
      <c r="Y30" s="173"/>
      <c r="Z30" s="173"/>
      <c r="AA30" s="174"/>
      <c r="AB30" s="162" t="s">
        <v>407</v>
      </c>
      <c r="AC30" s="162">
        <v>2</v>
      </c>
      <c r="AD30" s="163"/>
      <c r="AE30" s="164">
        <v>8000</v>
      </c>
      <c r="AF30" s="163"/>
      <c r="AG30" s="164">
        <f>AC30*AE30</f>
        <v>16000</v>
      </c>
    </row>
    <row r="31" spans="1:33" ht="19.5" customHeight="1">
      <c r="A31" s="163"/>
      <c r="B31" s="91">
        <v>230</v>
      </c>
      <c r="C31" s="163"/>
      <c r="D31" s="184">
        <f t="shared" si="0"/>
        <v>11.5</v>
      </c>
      <c r="E31" s="91">
        <v>23</v>
      </c>
      <c r="F31" s="163"/>
      <c r="G31" s="336">
        <f t="shared" si="3"/>
        <v>551041.66666666674</v>
      </c>
      <c r="H31" s="337"/>
      <c r="I31" s="335"/>
      <c r="J31" s="185">
        <f t="shared" si="1"/>
        <v>0.23958333333333334</v>
      </c>
      <c r="L31" s="187">
        <v>2</v>
      </c>
      <c r="M31" s="188" t="s">
        <v>424</v>
      </c>
      <c r="N31" s="138"/>
      <c r="O31" s="138"/>
      <c r="P31" s="182"/>
      <c r="Q31" s="180"/>
      <c r="R31" s="180"/>
      <c r="S31" s="181"/>
      <c r="T31" s="183"/>
      <c r="U31" s="181"/>
      <c r="V31" s="183" t="s">
        <v>403</v>
      </c>
      <c r="W31" s="162">
        <v>1.4</v>
      </c>
      <c r="X31" s="163" t="s">
        <v>420</v>
      </c>
      <c r="Y31" s="173"/>
      <c r="Z31" s="173"/>
      <c r="AA31" s="174"/>
      <c r="AB31" s="162" t="s">
        <v>407</v>
      </c>
      <c r="AC31" s="162">
        <v>1</v>
      </c>
      <c r="AD31" s="163"/>
      <c r="AE31" s="164">
        <v>7000</v>
      </c>
      <c r="AF31" s="163"/>
      <c r="AG31" s="164">
        <f>AC31*AE31</f>
        <v>7000</v>
      </c>
    </row>
    <row r="32" spans="1:33" ht="19.5" customHeight="1">
      <c r="A32" s="163"/>
      <c r="B32" s="91">
        <v>240</v>
      </c>
      <c r="C32" s="163"/>
      <c r="D32" s="184">
        <f t="shared" si="0"/>
        <v>12</v>
      </c>
      <c r="E32" s="91">
        <v>23</v>
      </c>
      <c r="F32" s="163"/>
      <c r="G32" s="336">
        <f t="shared" si="3"/>
        <v>575000</v>
      </c>
      <c r="H32" s="337"/>
      <c r="I32" s="335"/>
      <c r="J32" s="185">
        <f t="shared" si="1"/>
        <v>0.23958333333333334</v>
      </c>
      <c r="L32" s="180">
        <v>2.1</v>
      </c>
      <c r="M32" s="181" t="s">
        <v>426</v>
      </c>
      <c r="N32" s="138"/>
      <c r="O32" s="138"/>
      <c r="P32" s="182"/>
      <c r="Q32" s="180" t="s">
        <v>427</v>
      </c>
      <c r="R32" s="180">
        <v>2</v>
      </c>
      <c r="S32" s="181"/>
      <c r="T32" s="183">
        <v>21500</v>
      </c>
      <c r="U32" s="181"/>
      <c r="V32" s="183">
        <f t="shared" si="5"/>
        <v>43000</v>
      </c>
      <c r="W32" s="162">
        <v>1.5</v>
      </c>
      <c r="X32" s="163" t="s">
        <v>423</v>
      </c>
      <c r="Y32" s="173"/>
      <c r="Z32" s="173"/>
      <c r="AA32" s="174"/>
      <c r="AB32" s="162" t="s">
        <v>407</v>
      </c>
      <c r="AC32" s="162">
        <v>1</v>
      </c>
      <c r="AD32" s="163"/>
      <c r="AE32" s="164">
        <v>6000</v>
      </c>
      <c r="AF32" s="163"/>
      <c r="AG32" s="164">
        <f>AC32*AE32</f>
        <v>6000</v>
      </c>
    </row>
    <row r="33" spans="1:43" ht="19.5" customHeight="1">
      <c r="A33" s="163"/>
      <c r="B33" s="91">
        <v>250</v>
      </c>
      <c r="C33" s="163"/>
      <c r="D33" s="184">
        <f t="shared" si="0"/>
        <v>12.5</v>
      </c>
      <c r="E33" s="91">
        <v>23</v>
      </c>
      <c r="F33" s="163"/>
      <c r="G33" s="336">
        <f t="shared" si="3"/>
        <v>598958.33333333337</v>
      </c>
      <c r="H33" s="337"/>
      <c r="I33" s="335"/>
      <c r="J33" s="185">
        <f t="shared" si="1"/>
        <v>0.23958333333333334</v>
      </c>
      <c r="L33" s="180">
        <v>2.2000000000000002</v>
      </c>
      <c r="M33" s="181" t="s">
        <v>947</v>
      </c>
      <c r="N33" s="138"/>
      <c r="O33" s="138"/>
      <c r="P33" s="182"/>
      <c r="Q33" s="180" t="s">
        <v>427</v>
      </c>
      <c r="R33" s="180">
        <v>2</v>
      </c>
      <c r="S33" s="181"/>
      <c r="T33" s="491">
        <v>3600</v>
      </c>
      <c r="U33" s="181"/>
      <c r="V33" s="491">
        <f t="shared" si="5"/>
        <v>7200</v>
      </c>
      <c r="W33" s="162">
        <v>1.6</v>
      </c>
      <c r="X33" s="163" t="s">
        <v>425</v>
      </c>
      <c r="Y33" s="173"/>
      <c r="Z33" s="173"/>
      <c r="AA33" s="174"/>
      <c r="AB33" s="162" t="s">
        <v>407</v>
      </c>
      <c r="AC33" s="162">
        <v>1</v>
      </c>
      <c r="AD33" s="163"/>
      <c r="AE33" s="495">
        <v>4000</v>
      </c>
      <c r="AF33" s="163"/>
      <c r="AG33" s="495">
        <f>AC33*AE33</f>
        <v>4000</v>
      </c>
    </row>
    <row r="34" spans="1:43" ht="19.5" customHeight="1">
      <c r="A34" s="163"/>
      <c r="B34" s="91">
        <v>260</v>
      </c>
      <c r="C34" s="163"/>
      <c r="D34" s="184">
        <f t="shared" si="0"/>
        <v>13</v>
      </c>
      <c r="E34" s="91">
        <v>23</v>
      </c>
      <c r="F34" s="163"/>
      <c r="G34" s="336">
        <f t="shared" si="3"/>
        <v>622916.66666666674</v>
      </c>
      <c r="H34" s="337"/>
      <c r="I34" s="335"/>
      <c r="J34" s="185">
        <f t="shared" si="1"/>
        <v>0.23958333333333334</v>
      </c>
      <c r="L34" s="180">
        <v>2.2999999999999998</v>
      </c>
      <c r="M34" s="181" t="s">
        <v>949</v>
      </c>
      <c r="N34" s="138"/>
      <c r="O34" s="138"/>
      <c r="P34" s="182"/>
      <c r="Q34" s="180" t="s">
        <v>427</v>
      </c>
      <c r="R34" s="180">
        <v>2</v>
      </c>
      <c r="S34" s="181"/>
      <c r="T34" s="183">
        <v>1000</v>
      </c>
      <c r="U34" s="181"/>
      <c r="V34" s="183">
        <f t="shared" si="5"/>
        <v>2000</v>
      </c>
      <c r="W34" s="2552" t="s">
        <v>186</v>
      </c>
      <c r="X34" s="2553"/>
      <c r="Y34" s="2553"/>
      <c r="Z34" s="2553"/>
      <c r="AA34" s="2553"/>
      <c r="AB34" s="2553"/>
      <c r="AC34" s="2553"/>
      <c r="AD34" s="2553"/>
      <c r="AE34" s="2554"/>
      <c r="AF34" s="202"/>
      <c r="AG34" s="192">
        <f>SUM(AG28:AG33)</f>
        <v>63000</v>
      </c>
    </row>
    <row r="35" spans="1:43" ht="19.5" customHeight="1">
      <c r="A35" s="163"/>
      <c r="B35" s="91">
        <v>270</v>
      </c>
      <c r="C35" s="163"/>
      <c r="D35" s="184">
        <f t="shared" si="0"/>
        <v>13.5</v>
      </c>
      <c r="E35" s="91">
        <v>23</v>
      </c>
      <c r="F35" s="163"/>
      <c r="G35" s="336">
        <f t="shared" si="3"/>
        <v>646875</v>
      </c>
      <c r="H35" s="337"/>
      <c r="I35" s="335"/>
      <c r="J35" s="185">
        <f t="shared" si="1"/>
        <v>0.23958333333333334</v>
      </c>
      <c r="L35" s="180">
        <v>2.4</v>
      </c>
      <c r="M35" s="181" t="s">
        <v>226</v>
      </c>
      <c r="N35" s="138"/>
      <c r="O35" s="138"/>
      <c r="P35" s="182"/>
      <c r="Q35" s="180" t="s">
        <v>427</v>
      </c>
      <c r="R35" s="180">
        <v>2</v>
      </c>
      <c r="S35" s="181"/>
      <c r="T35" s="183">
        <v>840</v>
      </c>
      <c r="U35" s="181"/>
      <c r="V35" s="183">
        <f t="shared" si="5"/>
        <v>1680</v>
      </c>
      <c r="W35" s="158">
        <v>2</v>
      </c>
      <c r="X35" s="159" t="s">
        <v>273</v>
      </c>
      <c r="Y35" s="160"/>
      <c r="Z35" s="161"/>
      <c r="AA35" s="161"/>
      <c r="AB35" s="162"/>
      <c r="AC35" s="203"/>
      <c r="AD35" s="163"/>
      <c r="AE35" s="174"/>
      <c r="AF35" s="163"/>
      <c r="AG35" s="174"/>
    </row>
    <row r="36" spans="1:43" ht="19.5" customHeight="1">
      <c r="A36" s="163"/>
      <c r="B36" s="91">
        <v>280</v>
      </c>
      <c r="C36" s="163"/>
      <c r="D36" s="184">
        <f t="shared" si="0"/>
        <v>14</v>
      </c>
      <c r="E36" s="91">
        <v>23</v>
      </c>
      <c r="F36" s="163"/>
      <c r="G36" s="336">
        <f t="shared" si="3"/>
        <v>670833.33333333337</v>
      </c>
      <c r="H36" s="337"/>
      <c r="I36" s="335"/>
      <c r="J36" s="185">
        <f t="shared" si="1"/>
        <v>0.23958333333333334</v>
      </c>
      <c r="L36" s="2340" t="s">
        <v>186</v>
      </c>
      <c r="M36" s="2341"/>
      <c r="N36" s="2341"/>
      <c r="O36" s="2341"/>
      <c r="P36" s="2341"/>
      <c r="Q36" s="2341"/>
      <c r="R36" s="2341"/>
      <c r="S36" s="2341"/>
      <c r="T36" s="2342"/>
      <c r="U36" s="193"/>
      <c r="V36" s="194">
        <f>SUM(V27:V35)</f>
        <v>72380</v>
      </c>
      <c r="W36" s="162">
        <v>2.1</v>
      </c>
      <c r="X36" s="163" t="s">
        <v>946</v>
      </c>
      <c r="Y36" s="173"/>
      <c r="Z36" s="173"/>
      <c r="AA36" s="174"/>
      <c r="AB36" s="162"/>
      <c r="AC36" s="162">
        <v>1</v>
      </c>
      <c r="AD36" s="163"/>
      <c r="AE36" s="164">
        <v>3000</v>
      </c>
      <c r="AF36" s="163"/>
      <c r="AG36" s="496">
        <f>AC36*AE36/4</f>
        <v>750</v>
      </c>
    </row>
    <row r="37" spans="1:43" ht="19.5" customHeight="1">
      <c r="A37" s="163"/>
      <c r="B37" s="91">
        <v>290</v>
      </c>
      <c r="C37" s="163"/>
      <c r="D37" s="184">
        <f t="shared" si="0"/>
        <v>14.5</v>
      </c>
      <c r="E37" s="91">
        <v>23</v>
      </c>
      <c r="F37" s="163"/>
      <c r="G37" s="336">
        <f t="shared" si="3"/>
        <v>694791.66666666674</v>
      </c>
      <c r="H37" s="337"/>
      <c r="I37" s="335"/>
      <c r="J37" s="185">
        <f t="shared" si="1"/>
        <v>0.23958333333333334</v>
      </c>
      <c r="L37" s="195" t="s">
        <v>254</v>
      </c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62">
        <v>2.2000000000000002</v>
      </c>
      <c r="X37" s="163" t="s">
        <v>252</v>
      </c>
      <c r="Y37" s="173"/>
      <c r="Z37" s="173"/>
      <c r="AA37" s="174"/>
      <c r="AB37" s="162"/>
      <c r="AC37" s="162">
        <v>1</v>
      </c>
      <c r="AD37" s="163"/>
      <c r="AE37" s="164">
        <v>3000</v>
      </c>
      <c r="AF37" s="163"/>
      <c r="AG37" s="496">
        <f>AC37*AE37/4</f>
        <v>750</v>
      </c>
    </row>
    <row r="38" spans="1:43" ht="19.5" customHeight="1">
      <c r="A38" s="163"/>
      <c r="B38" s="91">
        <v>300</v>
      </c>
      <c r="C38" s="163"/>
      <c r="D38" s="184">
        <f t="shared" si="0"/>
        <v>15</v>
      </c>
      <c r="E38" s="91">
        <v>23</v>
      </c>
      <c r="F38" s="163"/>
      <c r="G38" s="336">
        <f t="shared" si="3"/>
        <v>718750</v>
      </c>
      <c r="H38" s="337"/>
      <c r="I38" s="335"/>
      <c r="J38" s="185">
        <f t="shared" si="1"/>
        <v>0.23958333333333334</v>
      </c>
      <c r="L38" s="138" t="s">
        <v>256</v>
      </c>
      <c r="M38" s="138"/>
      <c r="N38" s="138"/>
      <c r="O38" s="138"/>
      <c r="P38" s="196">
        <v>550</v>
      </c>
      <c r="Q38" s="138" t="s">
        <v>257</v>
      </c>
      <c r="R38" s="138" t="s">
        <v>258</v>
      </c>
      <c r="S38" s="138"/>
      <c r="T38" s="138"/>
      <c r="U38" s="196">
        <v>6</v>
      </c>
      <c r="V38" s="138" t="s">
        <v>259</v>
      </c>
      <c r="W38" s="162">
        <v>2.2999999999999998</v>
      </c>
      <c r="X38" s="163" t="s">
        <v>253</v>
      </c>
      <c r="Y38" s="173"/>
      <c r="Z38" s="173"/>
      <c r="AA38" s="174"/>
      <c r="AB38" s="162" t="s">
        <v>407</v>
      </c>
      <c r="AC38" s="162">
        <v>1</v>
      </c>
      <c r="AD38" s="163"/>
      <c r="AE38" s="495">
        <v>60000</v>
      </c>
      <c r="AF38" s="163"/>
      <c r="AG38" s="496">
        <f>(AC38*AE38)/4</f>
        <v>15000</v>
      </c>
    </row>
    <row r="39" spans="1:43" ht="19.5" customHeight="1">
      <c r="A39" s="163"/>
      <c r="B39" s="91">
        <v>350</v>
      </c>
      <c r="C39" s="163"/>
      <c r="D39" s="184">
        <f t="shared" si="0"/>
        <v>17.5</v>
      </c>
      <c r="E39" s="91">
        <v>24</v>
      </c>
      <c r="F39" s="163"/>
      <c r="G39" s="336">
        <f t="shared" si="3"/>
        <v>875000</v>
      </c>
      <c r="H39" s="337"/>
      <c r="I39" s="335"/>
      <c r="J39" s="185">
        <f t="shared" si="1"/>
        <v>0.25</v>
      </c>
      <c r="L39" s="138" t="s">
        <v>261</v>
      </c>
      <c r="M39" s="138"/>
      <c r="N39" s="138"/>
      <c r="O39" s="138"/>
      <c r="P39" s="196">
        <v>8</v>
      </c>
      <c r="Q39" s="138" t="s">
        <v>262</v>
      </c>
      <c r="R39" s="138" t="s">
        <v>263</v>
      </c>
      <c r="S39" s="138"/>
      <c r="T39" s="138"/>
      <c r="U39" s="196">
        <v>4</v>
      </c>
      <c r="V39" s="138" t="s">
        <v>264</v>
      </c>
      <c r="W39" s="162">
        <v>2.4</v>
      </c>
      <c r="X39" s="163" t="s">
        <v>255</v>
      </c>
      <c r="Y39" s="173"/>
      <c r="Z39" s="173"/>
      <c r="AA39" s="174"/>
      <c r="AB39" s="162" t="s">
        <v>407</v>
      </c>
      <c r="AC39" s="162">
        <v>1</v>
      </c>
      <c r="AD39" s="163"/>
      <c r="AE39" s="495">
        <v>8000</v>
      </c>
      <c r="AF39" s="163"/>
      <c r="AG39" s="496">
        <f>AC39*AE39/4</f>
        <v>2000</v>
      </c>
    </row>
    <row r="40" spans="1:43" ht="19.5" customHeight="1">
      <c r="A40" s="163"/>
      <c r="B40" s="91">
        <v>400</v>
      </c>
      <c r="C40" s="163"/>
      <c r="D40" s="184">
        <f t="shared" si="0"/>
        <v>20</v>
      </c>
      <c r="E40" s="91">
        <v>24</v>
      </c>
      <c r="F40" s="163"/>
      <c r="G40" s="336">
        <f t="shared" si="3"/>
        <v>1000000</v>
      </c>
      <c r="H40" s="337"/>
      <c r="I40" s="335"/>
      <c r="J40" s="185">
        <f t="shared" si="1"/>
        <v>0.25</v>
      </c>
      <c r="L40" s="138" t="s">
        <v>266</v>
      </c>
      <c r="M40" s="138"/>
      <c r="N40" s="138"/>
      <c r="O40" s="138"/>
      <c r="P40" s="492">
        <v>20</v>
      </c>
      <c r="Q40" s="138" t="s">
        <v>267</v>
      </c>
      <c r="R40" s="138" t="s">
        <v>268</v>
      </c>
      <c r="S40" s="138"/>
      <c r="T40" s="138"/>
      <c r="U40" s="196">
        <v>30</v>
      </c>
      <c r="V40" s="138" t="s">
        <v>269</v>
      </c>
      <c r="W40" s="162">
        <v>2.5</v>
      </c>
      <c r="X40" s="163" t="s">
        <v>260</v>
      </c>
      <c r="Y40" s="173"/>
      <c r="Z40" s="173"/>
      <c r="AA40" s="174"/>
      <c r="AB40" s="162" t="s">
        <v>407</v>
      </c>
      <c r="AC40" s="162">
        <v>1</v>
      </c>
      <c r="AD40" s="163"/>
      <c r="AE40" s="495">
        <v>8000</v>
      </c>
      <c r="AF40" s="163"/>
      <c r="AG40" s="496">
        <f>AC40*AE40/4</f>
        <v>2000</v>
      </c>
    </row>
    <row r="41" spans="1:43" ht="19.5" customHeight="1">
      <c r="A41" s="163"/>
      <c r="B41" s="91">
        <v>450</v>
      </c>
      <c r="C41" s="163"/>
      <c r="D41" s="184">
        <f t="shared" si="0"/>
        <v>22.5</v>
      </c>
      <c r="E41" s="91">
        <v>24</v>
      </c>
      <c r="F41" s="163"/>
      <c r="G41" s="336">
        <f t="shared" si="3"/>
        <v>1125000</v>
      </c>
      <c r="H41" s="337"/>
      <c r="I41" s="335"/>
      <c r="J41" s="185">
        <f t="shared" si="1"/>
        <v>0.25</v>
      </c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62">
        <v>2.6</v>
      </c>
      <c r="X41" s="163" t="s">
        <v>265</v>
      </c>
      <c r="Y41" s="173"/>
      <c r="Z41" s="173"/>
      <c r="AA41" s="174"/>
      <c r="AB41" s="162" t="s">
        <v>407</v>
      </c>
      <c r="AC41" s="162">
        <v>1</v>
      </c>
      <c r="AD41" s="163"/>
      <c r="AE41" s="164">
        <v>6000</v>
      </c>
      <c r="AF41" s="163"/>
      <c r="AG41" s="204">
        <f>AC41*AE41/4</f>
        <v>1500</v>
      </c>
    </row>
    <row r="42" spans="1:43" ht="19.5" customHeight="1">
      <c r="A42" s="163"/>
      <c r="B42" s="91">
        <v>500</v>
      </c>
      <c r="C42" s="163"/>
      <c r="D42" s="184">
        <f t="shared" si="0"/>
        <v>25</v>
      </c>
      <c r="E42" s="91">
        <v>24</v>
      </c>
      <c r="F42" s="163"/>
      <c r="G42" s="336">
        <f t="shared" si="3"/>
        <v>1250000</v>
      </c>
      <c r="H42" s="337"/>
      <c r="I42" s="335"/>
      <c r="J42" s="185">
        <f t="shared" si="1"/>
        <v>0.25</v>
      </c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97">
        <v>2.7</v>
      </c>
      <c r="X42" s="198" t="s">
        <v>270</v>
      </c>
      <c r="Y42" s="199"/>
      <c r="Z42" s="199"/>
      <c r="AA42" s="200"/>
      <c r="AB42" s="197" t="s">
        <v>407</v>
      </c>
      <c r="AC42" s="197">
        <v>1</v>
      </c>
      <c r="AD42" s="198"/>
      <c r="AE42" s="201">
        <v>4000</v>
      </c>
      <c r="AF42" s="198"/>
      <c r="AG42" s="205">
        <f>AC42*AE42/4</f>
        <v>1000</v>
      </c>
    </row>
    <row r="43" spans="1:43" ht="19.5" customHeight="1">
      <c r="A43" s="338" t="s">
        <v>511</v>
      </c>
      <c r="B43" s="207">
        <v>500</v>
      </c>
      <c r="C43" s="198"/>
      <c r="D43" s="208">
        <f t="shared" si="0"/>
        <v>25</v>
      </c>
      <c r="E43" s="207">
        <v>24</v>
      </c>
      <c r="F43" s="198"/>
      <c r="G43" s="339">
        <f t="shared" si="3"/>
        <v>1250000</v>
      </c>
      <c r="H43" s="340"/>
      <c r="I43" s="341"/>
      <c r="J43" s="209">
        <f t="shared" si="1"/>
        <v>0.25</v>
      </c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2552" t="s">
        <v>186</v>
      </c>
      <c r="X43" s="2553"/>
      <c r="Y43" s="2553"/>
      <c r="Z43" s="2553"/>
      <c r="AA43" s="2553"/>
      <c r="AB43" s="2553"/>
      <c r="AC43" s="2553"/>
      <c r="AD43" s="2553"/>
      <c r="AE43" s="2554"/>
      <c r="AF43" s="191"/>
      <c r="AG43" s="192">
        <f>SUM(AG36:AG42)</f>
        <v>23000</v>
      </c>
    </row>
    <row r="44" spans="1:43" ht="19.5" customHeight="1">
      <c r="A44" s="2336" t="s">
        <v>274</v>
      </c>
      <c r="B44" s="2336"/>
      <c r="C44" s="2336"/>
      <c r="D44" s="2336"/>
      <c r="E44" s="2336"/>
      <c r="F44" s="2336"/>
      <c r="G44" s="2336"/>
      <c r="H44" s="2336"/>
      <c r="I44" s="2336"/>
      <c r="J44" s="2336"/>
      <c r="L44" s="2339" t="s">
        <v>275</v>
      </c>
      <c r="M44" s="2339"/>
      <c r="N44" s="2339"/>
      <c r="O44" s="2339"/>
      <c r="P44" s="2339"/>
      <c r="Q44" s="2339"/>
      <c r="R44" s="2339"/>
      <c r="S44" s="2339"/>
      <c r="T44" s="2339"/>
      <c r="U44" s="2339"/>
      <c r="V44" s="2339"/>
      <c r="W44" s="2336" t="s">
        <v>276</v>
      </c>
      <c r="X44" s="2336"/>
      <c r="Y44" s="2336"/>
      <c r="Z44" s="2336"/>
      <c r="AA44" s="2336"/>
      <c r="AB44" s="2336"/>
      <c r="AC44" s="2336"/>
      <c r="AD44" s="2336"/>
      <c r="AE44" s="2336"/>
      <c r="AF44" s="2336"/>
      <c r="AG44" s="2336"/>
      <c r="AH44" s="2336" t="s">
        <v>277</v>
      </c>
      <c r="AI44" s="2336"/>
      <c r="AJ44" s="2336"/>
      <c r="AK44" s="2336"/>
      <c r="AL44" s="2336"/>
      <c r="AM44" s="2336"/>
      <c r="AN44" s="2336"/>
      <c r="AO44" s="91"/>
      <c r="AQ44" s="351"/>
    </row>
    <row r="45" spans="1:43" ht="19.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AQ45" s="351"/>
    </row>
    <row r="46" spans="1:43" ht="19.5" customHeight="1">
      <c r="A46" s="155" t="s">
        <v>278</v>
      </c>
      <c r="B46" s="212"/>
      <c r="C46" s="212"/>
      <c r="D46" s="212"/>
      <c r="E46" s="212"/>
      <c r="F46" s="212"/>
      <c r="G46" s="212"/>
      <c r="H46" s="212"/>
      <c r="I46" s="138"/>
      <c r="J46" s="277"/>
      <c r="L46" s="277"/>
      <c r="M46" s="135" t="s">
        <v>279</v>
      </c>
      <c r="N46" s="135"/>
      <c r="O46" s="135"/>
      <c r="P46" s="135">
        <v>300</v>
      </c>
      <c r="Q46" s="135" t="s">
        <v>505</v>
      </c>
      <c r="R46" s="277"/>
      <c r="S46" s="277"/>
      <c r="T46" s="277"/>
      <c r="U46" s="277"/>
      <c r="V46" s="277"/>
      <c r="X46" s="343" t="s">
        <v>279</v>
      </c>
      <c r="AA46" s="343">
        <v>300</v>
      </c>
      <c r="AB46" s="343" t="s">
        <v>505</v>
      </c>
      <c r="AH46" s="2560" t="s">
        <v>280</v>
      </c>
      <c r="AI46" s="2560"/>
      <c r="AJ46" s="2560"/>
      <c r="AK46" s="2560"/>
      <c r="AL46" s="2560"/>
      <c r="AM46" s="2560"/>
      <c r="AN46" s="2560"/>
      <c r="AO46" s="344"/>
    </row>
    <row r="47" spans="1:43" ht="19.5" customHeight="1">
      <c r="A47" s="277" t="s">
        <v>399</v>
      </c>
      <c r="B47" s="277"/>
      <c r="C47" s="277">
        <v>5</v>
      </c>
      <c r="D47" s="277" t="s">
        <v>281</v>
      </c>
      <c r="E47" s="277"/>
      <c r="F47" s="173"/>
      <c r="G47" s="277" t="s">
        <v>646</v>
      </c>
      <c r="H47" s="277">
        <v>2</v>
      </c>
      <c r="I47" s="352" t="s">
        <v>282</v>
      </c>
      <c r="J47" s="277"/>
      <c r="L47" s="2343" t="s">
        <v>195</v>
      </c>
      <c r="M47" s="2349" t="s">
        <v>693</v>
      </c>
      <c r="N47" s="2350"/>
      <c r="O47" s="2350"/>
      <c r="P47" s="2351"/>
      <c r="Q47" s="2343" t="s">
        <v>184</v>
      </c>
      <c r="R47" s="2343" t="s">
        <v>183</v>
      </c>
      <c r="S47" s="2337" t="s">
        <v>694</v>
      </c>
      <c r="T47" s="2338"/>
      <c r="U47" s="2337" t="s">
        <v>695</v>
      </c>
      <c r="V47" s="2338"/>
      <c r="W47" s="2343" t="s">
        <v>195</v>
      </c>
      <c r="X47" s="2349" t="s">
        <v>693</v>
      </c>
      <c r="Y47" s="2564"/>
      <c r="Z47" s="2564"/>
      <c r="AA47" s="2565"/>
      <c r="AB47" s="2343" t="s">
        <v>184</v>
      </c>
      <c r="AC47" s="2343" t="s">
        <v>183</v>
      </c>
      <c r="AD47" s="2555" t="s">
        <v>694</v>
      </c>
      <c r="AE47" s="2559"/>
      <c r="AF47" s="2555" t="s">
        <v>695</v>
      </c>
      <c r="AG47" s="2559"/>
      <c r="AH47" s="353"/>
      <c r="AI47" s="353"/>
      <c r="AJ47" s="353"/>
      <c r="AK47" s="353"/>
      <c r="AL47" s="353"/>
      <c r="AM47" s="353"/>
      <c r="AN47" s="353"/>
    </row>
    <row r="48" spans="1:43" ht="19.5" customHeight="1">
      <c r="A48" s="277" t="s">
        <v>283</v>
      </c>
      <c r="B48" s="277"/>
      <c r="C48" s="277">
        <v>2.5</v>
      </c>
      <c r="D48" s="277" t="s">
        <v>496</v>
      </c>
      <c r="E48" s="277"/>
      <c r="F48" s="173"/>
      <c r="G48" s="299" t="s">
        <v>400</v>
      </c>
      <c r="H48" s="299">
        <f>($C$47/100)*($C$48/100)*(2*100)</f>
        <v>0.25000000000000006</v>
      </c>
      <c r="I48" s="299" t="s">
        <v>284</v>
      </c>
      <c r="J48" s="299"/>
      <c r="L48" s="2344"/>
      <c r="M48" s="2352"/>
      <c r="N48" s="2353"/>
      <c r="O48" s="2353"/>
      <c r="P48" s="2354"/>
      <c r="Q48" s="2344"/>
      <c r="R48" s="2344"/>
      <c r="S48" s="2334" t="s">
        <v>927</v>
      </c>
      <c r="T48" s="2335"/>
      <c r="U48" s="2334" t="s">
        <v>927</v>
      </c>
      <c r="V48" s="2335"/>
      <c r="W48" s="2563"/>
      <c r="X48" s="2566"/>
      <c r="Y48" s="2567"/>
      <c r="Z48" s="2567"/>
      <c r="AA48" s="2568"/>
      <c r="AB48" s="2563"/>
      <c r="AC48" s="2344"/>
      <c r="AD48" s="2557" t="s">
        <v>927</v>
      </c>
      <c r="AE48" s="2569"/>
      <c r="AF48" s="2557" t="s">
        <v>927</v>
      </c>
      <c r="AG48" s="2569"/>
      <c r="AH48" s="2561" t="s">
        <v>653</v>
      </c>
      <c r="AI48" s="2562"/>
      <c r="AJ48" s="356" t="s">
        <v>285</v>
      </c>
      <c r="AK48" s="356" t="s">
        <v>286</v>
      </c>
      <c r="AL48" s="356" t="s">
        <v>287</v>
      </c>
      <c r="AM48" s="356" t="s">
        <v>288</v>
      </c>
      <c r="AN48" s="354" t="s">
        <v>558</v>
      </c>
    </row>
    <row r="49" spans="1:40" ht="19.5" customHeight="1">
      <c r="A49" s="210" t="s">
        <v>403</v>
      </c>
      <c r="B49" s="210"/>
      <c r="C49" s="210"/>
      <c r="D49" s="210"/>
      <c r="E49" s="210"/>
      <c r="F49" s="210"/>
      <c r="G49" s="210"/>
      <c r="H49" s="210"/>
      <c r="I49" s="210"/>
      <c r="L49" s="167">
        <v>1</v>
      </c>
      <c r="M49" s="168" t="s">
        <v>405</v>
      </c>
      <c r="N49" s="169"/>
      <c r="O49" s="169"/>
      <c r="P49" s="170"/>
      <c r="Q49" s="171"/>
      <c r="R49" s="171"/>
      <c r="S49" s="172"/>
      <c r="T49" s="170"/>
      <c r="U49" s="172"/>
      <c r="V49" s="170"/>
      <c r="W49" s="211">
        <v>1</v>
      </c>
      <c r="X49" s="159" t="s">
        <v>402</v>
      </c>
      <c r="Y49" s="160"/>
      <c r="Z49" s="160"/>
      <c r="AA49" s="161"/>
      <c r="AB49" s="162"/>
      <c r="AC49" s="162"/>
      <c r="AD49" s="163"/>
      <c r="AE49" s="164"/>
      <c r="AF49" s="163"/>
      <c r="AG49" s="204" t="s">
        <v>403</v>
      </c>
      <c r="AH49" s="2570" t="s">
        <v>505</v>
      </c>
      <c r="AI49" s="2571"/>
      <c r="AJ49" s="359" t="s">
        <v>494</v>
      </c>
      <c r="AK49" s="359" t="s">
        <v>494</v>
      </c>
      <c r="AL49" s="360" t="s">
        <v>494</v>
      </c>
      <c r="AM49" s="359" t="s">
        <v>494</v>
      </c>
      <c r="AN49" s="357" t="s">
        <v>494</v>
      </c>
    </row>
    <row r="50" spans="1:40" ht="19.5" customHeight="1">
      <c r="A50" s="277"/>
      <c r="B50" s="155" t="s">
        <v>289</v>
      </c>
      <c r="C50" s="277"/>
      <c r="D50" s="277"/>
      <c r="E50" s="277"/>
      <c r="F50" s="277"/>
      <c r="G50" s="212"/>
      <c r="H50" s="212"/>
      <c r="I50" s="277"/>
      <c r="J50" s="277"/>
      <c r="L50" s="180">
        <v>1.1000000000000001</v>
      </c>
      <c r="M50" s="181" t="s">
        <v>409</v>
      </c>
      <c r="N50" s="138"/>
      <c r="O50" s="138"/>
      <c r="P50" s="182"/>
      <c r="Q50" s="180" t="s">
        <v>410</v>
      </c>
      <c r="R50" s="180">
        <v>1</v>
      </c>
      <c r="S50" s="181"/>
      <c r="T50" s="183">
        <v>3500</v>
      </c>
      <c r="U50" s="181"/>
      <c r="V50" s="213">
        <f>R50*T50</f>
        <v>3500</v>
      </c>
      <c r="W50" s="162">
        <v>1.1000000000000001</v>
      </c>
      <c r="X50" s="163" t="s">
        <v>406</v>
      </c>
      <c r="Y50" s="173"/>
      <c r="Z50" s="173"/>
      <c r="AA50" s="174"/>
      <c r="AB50" s="162" t="s">
        <v>407</v>
      </c>
      <c r="AC50" s="162">
        <v>1</v>
      </c>
      <c r="AD50" s="163"/>
      <c r="AE50" s="164">
        <v>50000</v>
      </c>
      <c r="AF50" s="163"/>
      <c r="AG50" s="204">
        <f>(AC50*AE50)/2</f>
        <v>25000</v>
      </c>
      <c r="AH50" s="332" t="s">
        <v>510</v>
      </c>
      <c r="AI50" s="361">
        <f>'(F Road)'!B10</f>
        <v>5</v>
      </c>
      <c r="AJ50" s="362">
        <f>J92</f>
        <v>0.6705000000000001</v>
      </c>
      <c r="AK50" s="363">
        <f>U93</f>
        <v>8.2056000000000004</v>
      </c>
      <c r="AL50" s="364">
        <f>AG93</f>
        <v>9.0599999999999987</v>
      </c>
      <c r="AM50" s="363">
        <f>$AM$8</f>
        <v>0.3</v>
      </c>
      <c r="AN50" s="365">
        <f>(AJ50+AK50+AL50+AM50)</f>
        <v>18.2361</v>
      </c>
    </row>
    <row r="51" spans="1:40" ht="19.5" customHeight="1">
      <c r="A51" s="277"/>
      <c r="B51" s="277"/>
      <c r="C51" s="277"/>
      <c r="D51" s="277"/>
      <c r="E51" s="210"/>
      <c r="F51" s="299" t="s">
        <v>290</v>
      </c>
      <c r="G51" s="299"/>
      <c r="H51" s="299">
        <v>0.1</v>
      </c>
      <c r="I51" s="366" t="s">
        <v>928</v>
      </c>
      <c r="J51" s="299"/>
      <c r="L51" s="180">
        <v>1.2</v>
      </c>
      <c r="M51" s="181" t="s">
        <v>413</v>
      </c>
      <c r="N51" s="138"/>
      <c r="O51" s="138"/>
      <c r="P51" s="182"/>
      <c r="Q51" s="180" t="s">
        <v>414</v>
      </c>
      <c r="R51" s="180">
        <v>3</v>
      </c>
      <c r="S51" s="181"/>
      <c r="T51" s="183">
        <v>3000</v>
      </c>
      <c r="U51" s="181"/>
      <c r="V51" s="183">
        <f>R51*T51</f>
        <v>9000</v>
      </c>
      <c r="W51" s="162">
        <v>1.2</v>
      </c>
      <c r="X51" s="163" t="s">
        <v>411</v>
      </c>
      <c r="Y51" s="173"/>
      <c r="Z51" s="173"/>
      <c r="AA51" s="174"/>
      <c r="AB51" s="162" t="s">
        <v>407</v>
      </c>
      <c r="AC51" s="162">
        <v>1</v>
      </c>
      <c r="AD51" s="163"/>
      <c r="AE51" s="495">
        <v>15000</v>
      </c>
      <c r="AF51" s="163"/>
      <c r="AG51" s="496">
        <f>AC51*AE51</f>
        <v>15000</v>
      </c>
      <c r="AH51" s="163"/>
      <c r="AI51" s="367">
        <f>'(F Road)'!B11</f>
        <v>10</v>
      </c>
      <c r="AJ51" s="368">
        <f>J93</f>
        <v>0.7017500000000001</v>
      </c>
      <c r="AK51" s="369">
        <f>U94</f>
        <v>6.1542000000000003</v>
      </c>
      <c r="AL51" s="364">
        <f>AG94</f>
        <v>6.8849999999999998</v>
      </c>
      <c r="AM51" s="369">
        <f>$AM$8</f>
        <v>0.3</v>
      </c>
      <c r="AN51" s="370">
        <f t="shared" ref="AN51:AN85" si="6">(AJ51+AK51+AL51+AM51)</f>
        <v>14.04095</v>
      </c>
    </row>
    <row r="52" spans="1:40" ht="19.5" customHeight="1">
      <c r="A52" s="210" t="s">
        <v>403</v>
      </c>
      <c r="B52" s="210"/>
      <c r="C52" s="210"/>
      <c r="D52" s="210"/>
      <c r="E52" s="210"/>
      <c r="F52" s="210"/>
      <c r="G52" s="210"/>
      <c r="H52" s="210"/>
      <c r="I52" s="210"/>
      <c r="L52" s="180">
        <v>1.3</v>
      </c>
      <c r="M52" s="181" t="s">
        <v>419</v>
      </c>
      <c r="N52" s="138"/>
      <c r="O52" s="138"/>
      <c r="P52" s="182"/>
      <c r="Q52" s="180" t="s">
        <v>890</v>
      </c>
      <c r="R52" s="186">
        <v>2000</v>
      </c>
      <c r="S52" s="181"/>
      <c r="T52" s="183">
        <v>2</v>
      </c>
      <c r="U52" s="181"/>
      <c r="V52" s="213">
        <f>R52*T52</f>
        <v>4000</v>
      </c>
      <c r="W52" s="162">
        <v>1.3</v>
      </c>
      <c r="X52" s="163" t="s">
        <v>415</v>
      </c>
      <c r="Y52" s="173"/>
      <c r="Z52" s="173"/>
      <c r="AA52" s="174"/>
      <c r="AB52" s="162" t="s">
        <v>407</v>
      </c>
      <c r="AC52" s="162">
        <v>2</v>
      </c>
      <c r="AD52" s="163"/>
      <c r="AE52" s="164">
        <v>12000</v>
      </c>
      <c r="AF52" s="163"/>
      <c r="AG52" s="204">
        <f>AC52*AE52</f>
        <v>24000</v>
      </c>
      <c r="AH52" s="163"/>
      <c r="AI52" s="367">
        <f>'(F Road)'!B12</f>
        <v>20</v>
      </c>
      <c r="AJ52" s="368">
        <f t="shared" ref="AJ52:AJ85" si="7">J94</f>
        <v>0.7330000000000001</v>
      </c>
      <c r="AK52" s="369">
        <f t="shared" ref="AK52:AK85" si="8">U95</f>
        <v>4.1028000000000002</v>
      </c>
      <c r="AL52" s="364">
        <f t="shared" ref="AL52:AL85" si="9">AG95</f>
        <v>4.6500000000000004</v>
      </c>
      <c r="AM52" s="369">
        <f t="shared" ref="AM52:AM85" si="10">$AM$8</f>
        <v>0.3</v>
      </c>
      <c r="AN52" s="370">
        <f t="shared" si="6"/>
        <v>9.7858000000000018</v>
      </c>
    </row>
    <row r="53" spans="1:40" ht="19.5" customHeight="1">
      <c r="A53" s="154" t="s">
        <v>291</v>
      </c>
      <c r="B53" s="314"/>
      <c r="C53" s="314"/>
      <c r="D53" s="314"/>
      <c r="E53" s="314"/>
      <c r="F53" s="314"/>
      <c r="G53" s="314"/>
      <c r="H53" s="314"/>
      <c r="I53" s="314"/>
      <c r="J53" s="314"/>
      <c r="L53" s="180">
        <v>1.4</v>
      </c>
      <c r="M53" s="181" t="s">
        <v>421</v>
      </c>
      <c r="N53" s="138"/>
      <c r="O53" s="138"/>
      <c r="P53" s="182"/>
      <c r="Q53" s="180" t="s">
        <v>422</v>
      </c>
      <c r="R53" s="180">
        <v>1</v>
      </c>
      <c r="S53" s="181"/>
      <c r="T53" s="183">
        <v>3000</v>
      </c>
      <c r="U53" s="181"/>
      <c r="V53" s="213">
        <f>R53*T53</f>
        <v>3000</v>
      </c>
      <c r="W53" s="162">
        <v>1.4</v>
      </c>
      <c r="X53" s="163" t="s">
        <v>420</v>
      </c>
      <c r="Y53" s="173"/>
      <c r="Z53" s="173"/>
      <c r="AA53" s="174"/>
      <c r="AB53" s="162" t="s">
        <v>407</v>
      </c>
      <c r="AC53" s="162">
        <v>2</v>
      </c>
      <c r="AD53" s="163"/>
      <c r="AE53" s="164">
        <v>7000</v>
      </c>
      <c r="AF53" s="163"/>
      <c r="AG53" s="204">
        <f>AC53*AE53</f>
        <v>14000</v>
      </c>
      <c r="AH53" s="163"/>
      <c r="AI53" s="367">
        <f>'(F Road)'!B13</f>
        <v>30</v>
      </c>
      <c r="AJ53" s="368">
        <f t="shared" si="7"/>
        <v>0.7330000000000001</v>
      </c>
      <c r="AK53" s="369">
        <f t="shared" si="8"/>
        <v>2.7351999999999999</v>
      </c>
      <c r="AL53" s="364">
        <f t="shared" si="9"/>
        <v>3.1399999999999997</v>
      </c>
      <c r="AM53" s="369">
        <f t="shared" si="10"/>
        <v>0.3</v>
      </c>
      <c r="AN53" s="370">
        <f t="shared" si="6"/>
        <v>6.9081999999999999</v>
      </c>
    </row>
    <row r="54" spans="1:40" ht="19.5" customHeight="1">
      <c r="A54" s="314"/>
      <c r="B54" s="314" t="s">
        <v>292</v>
      </c>
      <c r="C54" s="314"/>
      <c r="D54" s="314"/>
      <c r="E54" s="371">
        <v>0.51</v>
      </c>
      <c r="F54" s="314" t="s">
        <v>293</v>
      </c>
      <c r="G54" s="314"/>
      <c r="H54" s="314"/>
      <c r="I54" s="314"/>
      <c r="J54" s="314"/>
      <c r="L54" s="187">
        <v>2</v>
      </c>
      <c r="M54" s="188" t="s">
        <v>424</v>
      </c>
      <c r="N54" s="138"/>
      <c r="O54" s="138"/>
      <c r="P54" s="182"/>
      <c r="Q54" s="180"/>
      <c r="R54" s="180"/>
      <c r="S54" s="181"/>
      <c r="T54" s="183"/>
      <c r="U54" s="181"/>
      <c r="V54" s="213" t="s">
        <v>403</v>
      </c>
      <c r="W54" s="162">
        <v>1.5</v>
      </c>
      <c r="X54" s="163" t="s">
        <v>423</v>
      </c>
      <c r="Y54" s="173"/>
      <c r="Z54" s="173"/>
      <c r="AA54" s="174"/>
      <c r="AB54" s="162" t="s">
        <v>407</v>
      </c>
      <c r="AC54" s="162">
        <v>1</v>
      </c>
      <c r="AD54" s="163"/>
      <c r="AE54" s="164">
        <v>6000</v>
      </c>
      <c r="AF54" s="163"/>
      <c r="AG54" s="204">
        <f>AC54*AE54</f>
        <v>6000</v>
      </c>
      <c r="AH54" s="163"/>
      <c r="AI54" s="367">
        <f>'(F Road)'!B14</f>
        <v>40</v>
      </c>
      <c r="AJ54" s="368">
        <f t="shared" si="7"/>
        <v>0.77466666666666673</v>
      </c>
      <c r="AK54" s="369">
        <f t="shared" si="8"/>
        <v>2.7351999999999999</v>
      </c>
      <c r="AL54" s="364">
        <f t="shared" si="9"/>
        <v>3.1799743758007559</v>
      </c>
      <c r="AM54" s="369">
        <f t="shared" si="10"/>
        <v>0.3</v>
      </c>
      <c r="AN54" s="370">
        <f t="shared" si="6"/>
        <v>6.9898410424674227</v>
      </c>
    </row>
    <row r="55" spans="1:40" ht="19.5" customHeight="1">
      <c r="A55" s="314"/>
      <c r="B55" s="314"/>
      <c r="C55" s="314" t="s">
        <v>351</v>
      </c>
      <c r="D55" s="314"/>
      <c r="E55" s="371">
        <v>0.3</v>
      </c>
      <c r="F55" s="314" t="s">
        <v>397</v>
      </c>
      <c r="G55" s="314"/>
      <c r="H55" s="314"/>
      <c r="I55" s="314"/>
      <c r="J55" s="314"/>
      <c r="L55" s="180">
        <v>2.1</v>
      </c>
      <c r="M55" s="181" t="s">
        <v>426</v>
      </c>
      <c r="N55" s="138"/>
      <c r="O55" s="138"/>
      <c r="P55" s="182"/>
      <c r="Q55" s="180" t="s">
        <v>427</v>
      </c>
      <c r="R55" s="180">
        <v>2</v>
      </c>
      <c r="S55" s="181"/>
      <c r="T55" s="183">
        <v>21500</v>
      </c>
      <c r="U55" s="181"/>
      <c r="V55" s="213">
        <f>R55*T55</f>
        <v>43000</v>
      </c>
      <c r="W55" s="197">
        <v>1.6</v>
      </c>
      <c r="X55" s="163" t="s">
        <v>425</v>
      </c>
      <c r="Y55" s="173"/>
      <c r="Z55" s="173"/>
      <c r="AA55" s="174"/>
      <c r="AB55" s="162" t="s">
        <v>407</v>
      </c>
      <c r="AC55" s="162">
        <v>1</v>
      </c>
      <c r="AD55" s="163"/>
      <c r="AE55" s="495">
        <v>4000</v>
      </c>
      <c r="AF55" s="163"/>
      <c r="AG55" s="496">
        <f>AC55*AE55</f>
        <v>4000</v>
      </c>
      <c r="AH55" s="163"/>
      <c r="AI55" s="367">
        <f>'(F Road)'!B15</f>
        <v>50</v>
      </c>
      <c r="AJ55" s="368">
        <f t="shared" si="7"/>
        <v>0.7955000000000001</v>
      </c>
      <c r="AK55" s="369">
        <f t="shared" si="8"/>
        <v>2.4616799999999999</v>
      </c>
      <c r="AL55" s="364">
        <f t="shared" si="9"/>
        <v>2.8980000000000001</v>
      </c>
      <c r="AM55" s="369">
        <f t="shared" si="10"/>
        <v>0.3</v>
      </c>
      <c r="AN55" s="370">
        <f t="shared" si="6"/>
        <v>6.4551799999999995</v>
      </c>
    </row>
    <row r="56" spans="1:40" ht="19.5" customHeight="1">
      <c r="A56" s="314"/>
      <c r="B56" s="314"/>
      <c r="C56" s="314" t="s">
        <v>294</v>
      </c>
      <c r="D56" s="314" t="s">
        <v>295</v>
      </c>
      <c r="E56" s="314"/>
      <c r="F56" s="372">
        <f>$E$54*$E$55</f>
        <v>0.153</v>
      </c>
      <c r="G56" s="314" t="s">
        <v>397</v>
      </c>
      <c r="H56" s="314"/>
      <c r="I56" s="314"/>
      <c r="J56" s="314"/>
      <c r="L56" s="180">
        <v>2.2000000000000002</v>
      </c>
      <c r="M56" s="181" t="s">
        <v>947</v>
      </c>
      <c r="N56" s="138"/>
      <c r="O56" s="138"/>
      <c r="P56" s="182"/>
      <c r="Q56" s="180" t="s">
        <v>427</v>
      </c>
      <c r="R56" s="180">
        <v>2</v>
      </c>
      <c r="S56" s="181"/>
      <c r="T56" s="491">
        <v>6000</v>
      </c>
      <c r="U56" s="181"/>
      <c r="V56" s="493">
        <f>R56*T56</f>
        <v>12000</v>
      </c>
      <c r="W56" s="2552" t="s">
        <v>186</v>
      </c>
      <c r="X56" s="2553"/>
      <c r="Y56" s="2553"/>
      <c r="Z56" s="2553"/>
      <c r="AA56" s="2553"/>
      <c r="AB56" s="2553"/>
      <c r="AC56" s="2553"/>
      <c r="AD56" s="2553"/>
      <c r="AE56" s="2554"/>
      <c r="AF56" s="191"/>
      <c r="AG56" s="192">
        <f>SUM(AG50:AG55)</f>
        <v>88000</v>
      </c>
      <c r="AH56" s="163"/>
      <c r="AI56" s="367">
        <f>'(F Road)'!B16</f>
        <v>60</v>
      </c>
      <c r="AJ56" s="368">
        <f t="shared" si="7"/>
        <v>0.7955000000000001</v>
      </c>
      <c r="AK56" s="369">
        <f t="shared" si="8"/>
        <v>2.0514000000000001</v>
      </c>
      <c r="AL56" s="364">
        <f t="shared" si="9"/>
        <v>2.4450000000000003</v>
      </c>
      <c r="AM56" s="369">
        <f t="shared" si="10"/>
        <v>0.3</v>
      </c>
      <c r="AN56" s="370">
        <f t="shared" si="6"/>
        <v>5.5918999999999999</v>
      </c>
    </row>
    <row r="57" spans="1:40" ht="19.5" customHeight="1">
      <c r="A57" s="314"/>
      <c r="B57" s="314"/>
      <c r="C57" s="314"/>
      <c r="D57" s="314"/>
      <c r="E57" s="314"/>
      <c r="F57" s="314"/>
      <c r="G57" s="314"/>
      <c r="H57" s="314"/>
      <c r="I57" s="314"/>
      <c r="J57" s="314"/>
      <c r="L57" s="180">
        <v>2.2999999999999998</v>
      </c>
      <c r="M57" s="181" t="s">
        <v>949</v>
      </c>
      <c r="N57" s="138"/>
      <c r="O57" s="138"/>
      <c r="P57" s="182"/>
      <c r="Q57" s="180" t="s">
        <v>427</v>
      </c>
      <c r="R57" s="180">
        <v>2</v>
      </c>
      <c r="S57" s="181"/>
      <c r="T57" s="183">
        <v>1000</v>
      </c>
      <c r="U57" s="181"/>
      <c r="V57" s="213">
        <f>R57*T57</f>
        <v>2000</v>
      </c>
      <c r="W57" s="211">
        <v>2</v>
      </c>
      <c r="X57" s="159" t="s">
        <v>948</v>
      </c>
      <c r="Y57" s="160"/>
      <c r="Z57" s="160"/>
      <c r="AA57" s="161"/>
      <c r="AB57" s="162"/>
      <c r="AC57" s="162"/>
      <c r="AD57" s="163"/>
      <c r="AE57" s="174"/>
      <c r="AF57" s="163"/>
      <c r="AG57" s="174"/>
      <c r="AH57" s="163"/>
      <c r="AI57" s="367">
        <f>'(F Road)'!B17</f>
        <v>70</v>
      </c>
      <c r="AJ57" s="368">
        <f t="shared" si="7"/>
        <v>0.80591666666666673</v>
      </c>
      <c r="AK57" s="369">
        <f t="shared" si="8"/>
        <v>1.9645999999999999</v>
      </c>
      <c r="AL57" s="364">
        <f t="shared" si="9"/>
        <v>2.3344453469307944</v>
      </c>
      <c r="AM57" s="369">
        <f t="shared" si="10"/>
        <v>0.3</v>
      </c>
      <c r="AN57" s="370">
        <f t="shared" si="6"/>
        <v>5.4049620135974612</v>
      </c>
    </row>
    <row r="58" spans="1:40" ht="19.5" customHeight="1">
      <c r="A58" s="314"/>
      <c r="B58" s="314" t="s">
        <v>296</v>
      </c>
      <c r="C58" s="314"/>
      <c r="D58" s="314"/>
      <c r="E58" s="371">
        <v>0.35</v>
      </c>
      <c r="F58" s="314" t="s">
        <v>293</v>
      </c>
      <c r="G58" s="314"/>
      <c r="H58" s="314"/>
      <c r="I58" s="314"/>
      <c r="J58" s="314"/>
      <c r="L58" s="180">
        <v>2.4</v>
      </c>
      <c r="M58" s="181" t="s">
        <v>226</v>
      </c>
      <c r="N58" s="138"/>
      <c r="O58" s="138"/>
      <c r="P58" s="182"/>
      <c r="Q58" s="180" t="s">
        <v>427</v>
      </c>
      <c r="R58" s="180">
        <v>2</v>
      </c>
      <c r="S58" s="181"/>
      <c r="T58" s="183">
        <v>840</v>
      </c>
      <c r="U58" s="181"/>
      <c r="V58" s="214">
        <f>R58*T58</f>
        <v>1680</v>
      </c>
      <c r="W58" s="162">
        <v>2.1</v>
      </c>
      <c r="X58" s="163" t="s">
        <v>297</v>
      </c>
      <c r="Y58" s="173"/>
      <c r="Z58" s="173"/>
      <c r="AA58" s="174"/>
      <c r="AB58" s="162"/>
      <c r="AC58" s="162">
        <v>1</v>
      </c>
      <c r="AD58" s="163"/>
      <c r="AE58" s="164">
        <v>3000</v>
      </c>
      <c r="AF58" s="163"/>
      <c r="AG58" s="496">
        <f>AC58*AE58/4</f>
        <v>750</v>
      </c>
      <c r="AH58" s="163"/>
      <c r="AI58" s="367">
        <f>'(F Road)'!B18</f>
        <v>80</v>
      </c>
      <c r="AJ58" s="368">
        <f t="shared" si="7"/>
        <v>0.81633333333333336</v>
      </c>
      <c r="AK58" s="369">
        <f t="shared" si="8"/>
        <v>1.8095000000000001</v>
      </c>
      <c r="AL58" s="364">
        <f t="shared" si="9"/>
        <v>1.8203703703703704</v>
      </c>
      <c r="AM58" s="369">
        <f t="shared" si="10"/>
        <v>0.3</v>
      </c>
      <c r="AN58" s="370">
        <f t="shared" si="6"/>
        <v>4.7462037037037037</v>
      </c>
    </row>
    <row r="59" spans="1:40" ht="19.5" customHeight="1">
      <c r="A59" s="314"/>
      <c r="B59" s="314"/>
      <c r="C59" s="314" t="s">
        <v>351</v>
      </c>
      <c r="D59" s="314"/>
      <c r="E59" s="371">
        <v>0.3</v>
      </c>
      <c r="F59" s="314" t="s">
        <v>293</v>
      </c>
      <c r="G59" s="314"/>
      <c r="H59" s="314"/>
      <c r="I59" s="314"/>
      <c r="J59" s="314"/>
      <c r="L59" s="2340" t="s">
        <v>186</v>
      </c>
      <c r="M59" s="2341"/>
      <c r="N59" s="2341"/>
      <c r="O59" s="2341"/>
      <c r="P59" s="2341"/>
      <c r="Q59" s="2341"/>
      <c r="R59" s="2341"/>
      <c r="S59" s="2341"/>
      <c r="T59" s="2342"/>
      <c r="U59" s="193"/>
      <c r="V59" s="194">
        <f>SUM(V50:V58)</f>
        <v>78180</v>
      </c>
      <c r="W59" s="162">
        <v>2.2000000000000002</v>
      </c>
      <c r="X59" s="163" t="s">
        <v>252</v>
      </c>
      <c r="Y59" s="173"/>
      <c r="Z59" s="173"/>
      <c r="AA59" s="174"/>
      <c r="AB59" s="162"/>
      <c r="AC59" s="162">
        <v>1</v>
      </c>
      <c r="AD59" s="163"/>
      <c r="AE59" s="164">
        <v>3000</v>
      </c>
      <c r="AF59" s="163"/>
      <c r="AG59" s="496">
        <f>AC59*AE59/4</f>
        <v>750</v>
      </c>
      <c r="AH59" s="163"/>
      <c r="AI59" s="367">
        <f>'(F Road)'!B19</f>
        <v>90</v>
      </c>
      <c r="AJ59" s="368">
        <f t="shared" si="7"/>
        <v>0.81633333333333336</v>
      </c>
      <c r="AK59" s="369">
        <f t="shared" si="8"/>
        <v>1.6084444444444443</v>
      </c>
      <c r="AL59" s="364">
        <f t="shared" si="9"/>
        <v>1.7037037037037037</v>
      </c>
      <c r="AM59" s="369">
        <f t="shared" si="10"/>
        <v>0.3</v>
      </c>
      <c r="AN59" s="370">
        <f t="shared" si="6"/>
        <v>4.428481481481481</v>
      </c>
    </row>
    <row r="60" spans="1:40" ht="19.5" customHeight="1">
      <c r="A60" s="314"/>
      <c r="B60" s="314"/>
      <c r="C60" s="314" t="s">
        <v>294</v>
      </c>
      <c r="D60" s="314" t="s">
        <v>298</v>
      </c>
      <c r="E60" s="314"/>
      <c r="F60" s="372">
        <f>$E$58*$E$59</f>
        <v>0.105</v>
      </c>
      <c r="G60" s="314" t="s">
        <v>397</v>
      </c>
      <c r="H60" s="314"/>
      <c r="I60" s="314"/>
      <c r="J60" s="314"/>
      <c r="L60" s="195" t="s">
        <v>254</v>
      </c>
      <c r="M60" s="138"/>
      <c r="N60" s="138"/>
      <c r="O60" s="138"/>
      <c r="P60" s="138"/>
      <c r="Q60" s="138"/>
      <c r="R60" s="138"/>
      <c r="S60" s="138"/>
      <c r="T60" s="138"/>
      <c r="U60" s="138"/>
      <c r="V60" s="169"/>
      <c r="W60" s="162">
        <v>2.2999999999999998</v>
      </c>
      <c r="X60" s="163" t="s">
        <v>253</v>
      </c>
      <c r="Y60" s="173"/>
      <c r="Z60" s="173"/>
      <c r="AA60" s="174"/>
      <c r="AB60" s="162" t="s">
        <v>407</v>
      </c>
      <c r="AC60" s="162">
        <v>1</v>
      </c>
      <c r="AD60" s="163"/>
      <c r="AE60" s="164">
        <v>84000</v>
      </c>
      <c r="AF60" s="163"/>
      <c r="AG60" s="204">
        <f>(AC60*AE60)/4</f>
        <v>21000</v>
      </c>
      <c r="AH60" s="163"/>
      <c r="AI60" s="367">
        <f>'(F Road)'!B20</f>
        <v>100</v>
      </c>
      <c r="AJ60" s="368">
        <f t="shared" si="7"/>
        <v>0.81633333333333347</v>
      </c>
      <c r="AK60" s="369">
        <f t="shared" si="8"/>
        <v>1.4476</v>
      </c>
      <c r="AL60" s="364">
        <f t="shared" si="9"/>
        <v>1.6103703703703705</v>
      </c>
      <c r="AM60" s="369">
        <f t="shared" si="10"/>
        <v>0.3</v>
      </c>
      <c r="AN60" s="370">
        <f t="shared" si="6"/>
        <v>4.1743037037037043</v>
      </c>
    </row>
    <row r="61" spans="1:40" ht="19.5" customHeight="1">
      <c r="A61" s="314"/>
      <c r="B61" s="314"/>
      <c r="C61" s="314"/>
      <c r="D61" s="314"/>
      <c r="E61" s="314"/>
      <c r="F61" s="314"/>
      <c r="G61" s="314"/>
      <c r="H61" s="314"/>
      <c r="I61" s="314"/>
      <c r="J61" s="314"/>
      <c r="L61" s="138" t="s">
        <v>256</v>
      </c>
      <c r="M61" s="138"/>
      <c r="N61" s="138"/>
      <c r="O61" s="138"/>
      <c r="P61" s="196">
        <v>550</v>
      </c>
      <c r="Q61" s="138" t="s">
        <v>257</v>
      </c>
      <c r="R61" s="138" t="s">
        <v>258</v>
      </c>
      <c r="S61" s="138"/>
      <c r="T61" s="138"/>
      <c r="U61" s="196">
        <v>20</v>
      </c>
      <c r="V61" s="138" t="s">
        <v>259</v>
      </c>
      <c r="W61" s="162">
        <v>2.4</v>
      </c>
      <c r="X61" s="163" t="s">
        <v>255</v>
      </c>
      <c r="Y61" s="173"/>
      <c r="Z61" s="173"/>
      <c r="AA61" s="174"/>
      <c r="AB61" s="162" t="s">
        <v>407</v>
      </c>
      <c r="AC61" s="162">
        <v>1</v>
      </c>
      <c r="AD61" s="163"/>
      <c r="AE61" s="164">
        <v>8000</v>
      </c>
      <c r="AF61" s="163"/>
      <c r="AG61" s="496">
        <f>AC61*AE61/4</f>
        <v>2000</v>
      </c>
      <c r="AH61" s="163"/>
      <c r="AI61" s="367">
        <f>'(F Road)'!B21</f>
        <v>110</v>
      </c>
      <c r="AJ61" s="368">
        <f t="shared" si="7"/>
        <v>0.8267500000000001</v>
      </c>
      <c r="AK61" s="369">
        <f t="shared" si="8"/>
        <v>1.3817999999999999</v>
      </c>
      <c r="AL61" s="364">
        <f t="shared" si="9"/>
        <v>1.6196515151515152</v>
      </c>
      <c r="AM61" s="369">
        <f t="shared" si="10"/>
        <v>0.3</v>
      </c>
      <c r="AN61" s="370">
        <f t="shared" si="6"/>
        <v>4.128201515151515</v>
      </c>
    </row>
    <row r="62" spans="1:40" ht="19.5" customHeight="1">
      <c r="A62" s="314"/>
      <c r="B62" s="215" t="s">
        <v>299</v>
      </c>
      <c r="C62" s="215"/>
      <c r="D62" s="215"/>
      <c r="E62" s="215"/>
      <c r="F62" s="215"/>
      <c r="G62" s="299"/>
      <c r="H62" s="216">
        <f>($F$56+$F$60)</f>
        <v>0.25800000000000001</v>
      </c>
      <c r="I62" s="215" t="s">
        <v>284</v>
      </c>
      <c r="J62" s="215"/>
      <c r="L62" s="138" t="s">
        <v>261</v>
      </c>
      <c r="M62" s="138"/>
      <c r="N62" s="138"/>
      <c r="O62" s="138"/>
      <c r="P62" s="196">
        <v>8</v>
      </c>
      <c r="Q62" s="138" t="s">
        <v>262</v>
      </c>
      <c r="R62" s="138" t="s">
        <v>263</v>
      </c>
      <c r="S62" s="138"/>
      <c r="T62" s="138"/>
      <c r="U62" s="196">
        <v>2</v>
      </c>
      <c r="V62" s="138" t="s">
        <v>264</v>
      </c>
      <c r="W62" s="162">
        <v>2.5</v>
      </c>
      <c r="X62" s="163" t="s">
        <v>260</v>
      </c>
      <c r="Y62" s="173"/>
      <c r="Z62" s="173"/>
      <c r="AA62" s="174"/>
      <c r="AB62" s="162" t="s">
        <v>407</v>
      </c>
      <c r="AC62" s="162">
        <v>1</v>
      </c>
      <c r="AD62" s="163"/>
      <c r="AE62" s="164">
        <v>8000</v>
      </c>
      <c r="AF62" s="163"/>
      <c r="AG62" s="496">
        <f>AC62*AE62/4</f>
        <v>2000</v>
      </c>
      <c r="AH62" s="163"/>
      <c r="AI62" s="367">
        <f>'(F Road)'!B22</f>
        <v>120</v>
      </c>
      <c r="AJ62" s="368">
        <f t="shared" si="7"/>
        <v>0.83716666666666673</v>
      </c>
      <c r="AK62" s="369">
        <f t="shared" si="8"/>
        <v>1.3269666666666666</v>
      </c>
      <c r="AL62" s="364">
        <f t="shared" si="9"/>
        <v>1.6361481481481481</v>
      </c>
      <c r="AM62" s="369">
        <f t="shared" si="10"/>
        <v>0.3</v>
      </c>
      <c r="AN62" s="370">
        <f t="shared" si="6"/>
        <v>4.1002814814814812</v>
      </c>
    </row>
    <row r="63" spans="1:40" ht="19.5" customHeight="1">
      <c r="J63" s="210"/>
      <c r="L63" s="138" t="s">
        <v>266</v>
      </c>
      <c r="M63" s="138"/>
      <c r="N63" s="138"/>
      <c r="O63" s="138"/>
      <c r="P63" s="492">
        <v>20</v>
      </c>
      <c r="Q63" s="138" t="s">
        <v>267</v>
      </c>
      <c r="R63" s="138" t="s">
        <v>268</v>
      </c>
      <c r="S63" s="138"/>
      <c r="T63" s="138"/>
      <c r="U63" s="196">
        <v>30</v>
      </c>
      <c r="V63" s="138" t="s">
        <v>269</v>
      </c>
      <c r="W63" s="162">
        <v>2.6</v>
      </c>
      <c r="X63" s="163" t="s">
        <v>265</v>
      </c>
      <c r="Y63" s="173"/>
      <c r="Z63" s="173"/>
      <c r="AA63" s="174"/>
      <c r="AB63" s="162" t="s">
        <v>407</v>
      </c>
      <c r="AC63" s="162">
        <v>1</v>
      </c>
      <c r="AD63" s="163"/>
      <c r="AE63" s="164">
        <v>6000</v>
      </c>
      <c r="AF63" s="163"/>
      <c r="AG63" s="496">
        <f>AC63*AE63/4</f>
        <v>1500</v>
      </c>
      <c r="AH63" s="163"/>
      <c r="AI63" s="367">
        <f>'(F Road)'!B23</f>
        <v>130</v>
      </c>
      <c r="AJ63" s="368">
        <f t="shared" si="7"/>
        <v>0.83716666666666673</v>
      </c>
      <c r="AK63" s="369">
        <f t="shared" si="8"/>
        <v>1.2248923076923077</v>
      </c>
      <c r="AL63" s="364">
        <f t="shared" si="9"/>
        <v>1.5769173789173789</v>
      </c>
      <c r="AM63" s="369">
        <f t="shared" si="10"/>
        <v>0.3</v>
      </c>
      <c r="AN63" s="370">
        <f t="shared" si="6"/>
        <v>3.9389763532763533</v>
      </c>
    </row>
    <row r="64" spans="1:40" ht="19.5" customHeight="1">
      <c r="J64" s="210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97">
        <v>2.7</v>
      </c>
      <c r="X64" s="198" t="s">
        <v>270</v>
      </c>
      <c r="Y64" s="199"/>
      <c r="Z64" s="199"/>
      <c r="AA64" s="200"/>
      <c r="AB64" s="197" t="s">
        <v>407</v>
      </c>
      <c r="AC64" s="197">
        <v>1</v>
      </c>
      <c r="AD64" s="198"/>
      <c r="AE64" s="201">
        <v>4000</v>
      </c>
      <c r="AF64" s="198"/>
      <c r="AG64" s="496">
        <f>AC64*AE64/4</f>
        <v>1000</v>
      </c>
      <c r="AH64" s="163"/>
      <c r="AI64" s="367">
        <f>'(F Road)'!B24</f>
        <v>140</v>
      </c>
      <c r="AJ64" s="368">
        <f t="shared" si="7"/>
        <v>0.83716666666666673</v>
      </c>
      <c r="AK64" s="369">
        <f t="shared" si="8"/>
        <v>1.1374</v>
      </c>
      <c r="AL64" s="364">
        <f t="shared" si="9"/>
        <v>1.5261481481481483</v>
      </c>
      <c r="AM64" s="369">
        <f t="shared" si="10"/>
        <v>0.3</v>
      </c>
      <c r="AN64" s="370">
        <f t="shared" si="6"/>
        <v>3.8007148148148149</v>
      </c>
    </row>
    <row r="65" spans="1:40" ht="19.5" customHeight="1">
      <c r="A65" s="210" t="s">
        <v>403</v>
      </c>
      <c r="B65" s="210"/>
      <c r="C65" s="210"/>
      <c r="D65" s="210"/>
      <c r="E65" s="210"/>
      <c r="F65" s="210"/>
      <c r="G65" s="210"/>
      <c r="H65" s="210"/>
      <c r="I65" s="210"/>
      <c r="J65" s="210"/>
      <c r="L65" s="277"/>
      <c r="M65" s="135" t="s">
        <v>300</v>
      </c>
      <c r="N65" s="135"/>
      <c r="O65" s="135"/>
      <c r="P65" s="135">
        <v>300</v>
      </c>
      <c r="Q65" s="135" t="s">
        <v>505</v>
      </c>
      <c r="R65" s="277"/>
      <c r="S65" s="277"/>
      <c r="T65" s="277"/>
      <c r="U65" s="277"/>
      <c r="V65" s="373"/>
      <c r="W65" s="2552" t="s">
        <v>186</v>
      </c>
      <c r="X65" s="2553"/>
      <c r="Y65" s="2553"/>
      <c r="Z65" s="2553"/>
      <c r="AA65" s="2553"/>
      <c r="AB65" s="2553"/>
      <c r="AC65" s="2553"/>
      <c r="AD65" s="2553"/>
      <c r="AE65" s="2554"/>
      <c r="AF65" s="191"/>
      <c r="AG65" s="192">
        <f>SUM(AG58:AG64)</f>
        <v>29000</v>
      </c>
      <c r="AH65" s="163"/>
      <c r="AI65" s="367">
        <f>'(F Road)'!B25</f>
        <v>150</v>
      </c>
      <c r="AJ65" s="368">
        <f t="shared" si="7"/>
        <v>0.83716666666666673</v>
      </c>
      <c r="AK65" s="369">
        <f t="shared" si="8"/>
        <v>1.0615733333333333</v>
      </c>
      <c r="AL65" s="364">
        <f t="shared" si="9"/>
        <v>1.4821481481481482</v>
      </c>
      <c r="AM65" s="369">
        <f t="shared" si="10"/>
        <v>0.3</v>
      </c>
      <c r="AN65" s="370">
        <f t="shared" si="6"/>
        <v>3.6808881481481484</v>
      </c>
    </row>
    <row r="66" spans="1:40" ht="19.5" customHeight="1">
      <c r="A66" s="210" t="s">
        <v>403</v>
      </c>
      <c r="B66" s="210"/>
      <c r="C66" s="210"/>
      <c r="D66" s="210"/>
      <c r="E66" s="210"/>
      <c r="F66" s="210"/>
      <c r="G66" s="210"/>
      <c r="H66" s="210"/>
      <c r="I66" s="210"/>
      <c r="J66" s="210"/>
      <c r="L66" s="2343" t="s">
        <v>195</v>
      </c>
      <c r="M66" s="2349" t="s">
        <v>693</v>
      </c>
      <c r="N66" s="2350"/>
      <c r="O66" s="2350"/>
      <c r="P66" s="2351"/>
      <c r="Q66" s="2343" t="s">
        <v>184</v>
      </c>
      <c r="R66" s="2343" t="s">
        <v>183</v>
      </c>
      <c r="S66" s="2337" t="s">
        <v>694</v>
      </c>
      <c r="T66" s="2338"/>
      <c r="U66" s="2337" t="s">
        <v>695</v>
      </c>
      <c r="V66" s="2338"/>
      <c r="AH66" s="163"/>
      <c r="AI66" s="367">
        <f>'(F Road)'!B26</f>
        <v>160</v>
      </c>
      <c r="AJ66" s="368">
        <f t="shared" si="7"/>
        <v>0.83716666666666673</v>
      </c>
      <c r="AK66" s="369">
        <f t="shared" si="8"/>
        <v>1.074975</v>
      </c>
      <c r="AL66" s="364">
        <f t="shared" si="9"/>
        <v>1.331</v>
      </c>
      <c r="AM66" s="369">
        <f t="shared" si="10"/>
        <v>0.3</v>
      </c>
      <c r="AN66" s="370">
        <f t="shared" si="6"/>
        <v>3.5431416666666666</v>
      </c>
    </row>
    <row r="67" spans="1:40" ht="19.5" customHeight="1">
      <c r="A67" s="210" t="s">
        <v>403</v>
      </c>
      <c r="B67" s="210"/>
      <c r="C67" s="210"/>
      <c r="D67" s="210"/>
      <c r="E67" s="210"/>
      <c r="F67" s="210"/>
      <c r="G67" s="210"/>
      <c r="H67" s="210"/>
      <c r="I67" s="210"/>
      <c r="J67" s="210"/>
      <c r="L67" s="2344"/>
      <c r="M67" s="2352"/>
      <c r="N67" s="2353"/>
      <c r="O67" s="2353"/>
      <c r="P67" s="2354"/>
      <c r="Q67" s="2344"/>
      <c r="R67" s="2344"/>
      <c r="S67" s="2334" t="s">
        <v>927</v>
      </c>
      <c r="T67" s="2335"/>
      <c r="U67" s="2334" t="s">
        <v>927</v>
      </c>
      <c r="V67" s="2335"/>
      <c r="X67" s="343" t="s">
        <v>300</v>
      </c>
      <c r="Y67" s="343"/>
      <c r="Z67" s="343"/>
      <c r="AA67" s="343">
        <v>300</v>
      </c>
      <c r="AB67" s="343" t="s">
        <v>505</v>
      </c>
      <c r="AC67" s="351"/>
      <c r="AD67" s="351"/>
      <c r="AE67" s="351"/>
      <c r="AF67" s="351"/>
      <c r="AG67" s="351"/>
      <c r="AH67" s="163"/>
      <c r="AI67" s="367">
        <f>'(F Road)'!B27</f>
        <v>170</v>
      </c>
      <c r="AJ67" s="368">
        <f t="shared" si="7"/>
        <v>0.83716666666666673</v>
      </c>
      <c r="AK67" s="369">
        <f t="shared" si="8"/>
        <v>1.0440941176470588</v>
      </c>
      <c r="AL67" s="364">
        <f t="shared" si="9"/>
        <v>1.2791394335511983</v>
      </c>
      <c r="AM67" s="369">
        <f t="shared" si="10"/>
        <v>0.3</v>
      </c>
      <c r="AN67" s="370">
        <f t="shared" si="6"/>
        <v>3.4604002178649238</v>
      </c>
    </row>
    <row r="68" spans="1:40" ht="19.5" customHeight="1">
      <c r="A68" s="210" t="s">
        <v>403</v>
      </c>
      <c r="B68" s="210"/>
      <c r="C68" s="210"/>
      <c r="D68" s="210"/>
      <c r="E68" s="210"/>
      <c r="F68" s="210"/>
      <c r="G68" s="210"/>
      <c r="H68" s="210"/>
      <c r="I68" s="210"/>
      <c r="J68" s="210"/>
      <c r="L68" s="167">
        <v>1</v>
      </c>
      <c r="M68" s="168" t="s">
        <v>405</v>
      </c>
      <c r="N68" s="169"/>
      <c r="O68" s="169"/>
      <c r="P68" s="170"/>
      <c r="Q68" s="171"/>
      <c r="R68" s="171"/>
      <c r="S68" s="172"/>
      <c r="T68" s="170"/>
      <c r="U68" s="172"/>
      <c r="V68" s="170"/>
      <c r="W68" s="2343" t="s">
        <v>195</v>
      </c>
      <c r="X68" s="2349" t="s">
        <v>693</v>
      </c>
      <c r="Y68" s="2564"/>
      <c r="Z68" s="2564"/>
      <c r="AA68" s="2565"/>
      <c r="AB68" s="2343" t="s">
        <v>184</v>
      </c>
      <c r="AC68" s="2343" t="s">
        <v>183</v>
      </c>
      <c r="AD68" s="2555" t="s">
        <v>694</v>
      </c>
      <c r="AE68" s="2559"/>
      <c r="AF68" s="2555" t="s">
        <v>695</v>
      </c>
      <c r="AG68" s="2559"/>
      <c r="AH68" s="163"/>
      <c r="AI68" s="367">
        <f>'(F Road)'!B28</f>
        <v>180</v>
      </c>
      <c r="AJ68" s="368">
        <f t="shared" si="7"/>
        <v>0.83716666666666673</v>
      </c>
      <c r="AK68" s="369">
        <f t="shared" si="8"/>
        <v>1.0166444444444445</v>
      </c>
      <c r="AL68" s="364">
        <f t="shared" si="9"/>
        <v>1.2250740740740742</v>
      </c>
      <c r="AM68" s="369">
        <f t="shared" si="10"/>
        <v>0.3</v>
      </c>
      <c r="AN68" s="370">
        <f t="shared" si="6"/>
        <v>3.3788851851851853</v>
      </c>
    </row>
    <row r="69" spans="1:40" ht="19.5" customHeight="1">
      <c r="A69" s="210" t="s">
        <v>403</v>
      </c>
      <c r="B69" s="210"/>
      <c r="C69" s="210"/>
      <c r="D69" s="210"/>
      <c r="E69" s="210"/>
      <c r="F69" s="210"/>
      <c r="G69" s="210"/>
      <c r="H69" s="210"/>
      <c r="I69" s="210"/>
      <c r="J69" s="210"/>
      <c r="L69" s="180">
        <v>1.1000000000000001</v>
      </c>
      <c r="M69" s="181" t="s">
        <v>409</v>
      </c>
      <c r="N69" s="138"/>
      <c r="O69" s="138"/>
      <c r="P69" s="182"/>
      <c r="Q69" s="180" t="s">
        <v>410</v>
      </c>
      <c r="R69" s="180">
        <v>1</v>
      </c>
      <c r="S69" s="181"/>
      <c r="T69" s="183">
        <v>3500</v>
      </c>
      <c r="U69" s="181"/>
      <c r="V69" s="213">
        <f>R69*T69</f>
        <v>3500</v>
      </c>
      <c r="W69" s="2563"/>
      <c r="X69" s="2566"/>
      <c r="Y69" s="2567"/>
      <c r="Z69" s="2567"/>
      <c r="AA69" s="2568"/>
      <c r="AB69" s="2563"/>
      <c r="AC69" s="2344"/>
      <c r="AD69" s="2557" t="s">
        <v>927</v>
      </c>
      <c r="AE69" s="2569"/>
      <c r="AF69" s="2557" t="s">
        <v>927</v>
      </c>
      <c r="AG69" s="2569"/>
      <c r="AH69" s="163"/>
      <c r="AI69" s="367">
        <f>'(F Road)'!B29</f>
        <v>190</v>
      </c>
      <c r="AJ69" s="368">
        <f t="shared" si="7"/>
        <v>0.84758333333333336</v>
      </c>
      <c r="AK69" s="369">
        <f t="shared" si="8"/>
        <v>1.037178947368421</v>
      </c>
      <c r="AL69" s="364">
        <f t="shared" si="9"/>
        <v>1.2363620857699804</v>
      </c>
      <c r="AM69" s="369">
        <f t="shared" si="10"/>
        <v>0.3</v>
      </c>
      <c r="AN69" s="370">
        <f t="shared" si="6"/>
        <v>3.4211243664717346</v>
      </c>
    </row>
    <row r="70" spans="1:40" ht="19.5" customHeight="1">
      <c r="A70" s="210" t="s">
        <v>403</v>
      </c>
      <c r="B70" s="210"/>
      <c r="C70" s="210"/>
      <c r="D70" s="210"/>
      <c r="E70" s="210"/>
      <c r="F70" s="210"/>
      <c r="G70" s="210"/>
      <c r="H70" s="210"/>
      <c r="I70" s="210"/>
      <c r="J70" s="210"/>
      <c r="L70" s="180">
        <v>1.2</v>
      </c>
      <c r="M70" s="181" t="s">
        <v>413</v>
      </c>
      <c r="N70" s="138"/>
      <c r="O70" s="138"/>
      <c r="P70" s="182"/>
      <c r="Q70" s="180" t="s">
        <v>414</v>
      </c>
      <c r="R70" s="180">
        <v>4</v>
      </c>
      <c r="S70" s="181"/>
      <c r="T70" s="183">
        <v>3000</v>
      </c>
      <c r="U70" s="181"/>
      <c r="V70" s="213">
        <f t="shared" ref="V70:V77" si="11">R70*T70</f>
        <v>12000</v>
      </c>
      <c r="W70" s="158">
        <v>1</v>
      </c>
      <c r="X70" s="159" t="s">
        <v>402</v>
      </c>
      <c r="Y70" s="160"/>
      <c r="Z70" s="160"/>
      <c r="AA70" s="161"/>
      <c r="AB70" s="162"/>
      <c r="AC70" s="162"/>
      <c r="AD70" s="163"/>
      <c r="AE70" s="164"/>
      <c r="AF70" s="163"/>
      <c r="AG70" s="204" t="s">
        <v>403</v>
      </c>
      <c r="AH70" s="163"/>
      <c r="AI70" s="367">
        <f>'(F Road)'!B30</f>
        <v>200</v>
      </c>
      <c r="AJ70" s="368">
        <f t="shared" si="7"/>
        <v>0.84758333333333347</v>
      </c>
      <c r="AK70" s="369">
        <f t="shared" si="8"/>
        <v>1.01407</v>
      </c>
      <c r="AL70" s="364">
        <f t="shared" si="9"/>
        <v>1.1908462962962962</v>
      </c>
      <c r="AM70" s="369">
        <f t="shared" si="10"/>
        <v>0.3</v>
      </c>
      <c r="AN70" s="370">
        <f t="shared" si="6"/>
        <v>3.3524996296296292</v>
      </c>
    </row>
    <row r="71" spans="1:40" ht="19.5" customHeight="1">
      <c r="A71" s="210" t="s">
        <v>403</v>
      </c>
      <c r="B71" s="210"/>
      <c r="C71" s="210"/>
      <c r="D71" s="210"/>
      <c r="E71" s="210"/>
      <c r="F71" s="210"/>
      <c r="G71" s="210"/>
      <c r="H71" s="210"/>
      <c r="I71" s="210"/>
      <c r="J71" s="210"/>
      <c r="L71" s="180">
        <v>1.3</v>
      </c>
      <c r="M71" s="181" t="s">
        <v>419</v>
      </c>
      <c r="N71" s="138"/>
      <c r="O71" s="138"/>
      <c r="P71" s="182"/>
      <c r="Q71" s="180" t="s">
        <v>890</v>
      </c>
      <c r="R71" s="186">
        <v>2500</v>
      </c>
      <c r="S71" s="181"/>
      <c r="T71" s="183">
        <v>2</v>
      </c>
      <c r="U71" s="181"/>
      <c r="V71" s="213">
        <f t="shared" si="11"/>
        <v>5000</v>
      </c>
      <c r="W71" s="162">
        <v>1.1000000000000001</v>
      </c>
      <c r="X71" s="163" t="s">
        <v>406</v>
      </c>
      <c r="Y71" s="173"/>
      <c r="Z71" s="173"/>
      <c r="AA71" s="174"/>
      <c r="AB71" s="162" t="s">
        <v>407</v>
      </c>
      <c r="AC71" s="162">
        <v>1</v>
      </c>
      <c r="AD71" s="163"/>
      <c r="AE71" s="164">
        <v>50000</v>
      </c>
      <c r="AF71" s="163"/>
      <c r="AG71" s="204">
        <f>(AC71*AE71)/2</f>
        <v>25000</v>
      </c>
      <c r="AH71" s="163"/>
      <c r="AI71" s="367">
        <f>'(F Road)'!B31</f>
        <v>210</v>
      </c>
      <c r="AJ71" s="368">
        <f t="shared" si="7"/>
        <v>0.84758333333333336</v>
      </c>
      <c r="AK71" s="369">
        <f t="shared" si="8"/>
        <v>0.9931619047619048</v>
      </c>
      <c r="AL71" s="364">
        <f t="shared" si="9"/>
        <v>1.1496653439153439</v>
      </c>
      <c r="AM71" s="369">
        <f t="shared" si="10"/>
        <v>0.3</v>
      </c>
      <c r="AN71" s="370">
        <f t="shared" si="6"/>
        <v>3.290410582010582</v>
      </c>
    </row>
    <row r="72" spans="1:40" ht="19.5" customHeight="1">
      <c r="A72" s="210" t="s">
        <v>403</v>
      </c>
      <c r="B72" s="210"/>
      <c r="C72" s="210"/>
      <c r="D72" s="210"/>
      <c r="E72" s="210"/>
      <c r="F72" s="210"/>
      <c r="G72" s="210"/>
      <c r="H72" s="210"/>
      <c r="I72" s="210"/>
      <c r="J72" s="210"/>
      <c r="L72" s="180">
        <v>1.4</v>
      </c>
      <c r="M72" s="181" t="s">
        <v>421</v>
      </c>
      <c r="N72" s="138"/>
      <c r="O72" s="138"/>
      <c r="P72" s="182"/>
      <c r="Q72" s="180" t="s">
        <v>422</v>
      </c>
      <c r="R72" s="186">
        <v>1</v>
      </c>
      <c r="S72" s="181"/>
      <c r="T72" s="183">
        <v>3000</v>
      </c>
      <c r="U72" s="181"/>
      <c r="V72" s="213">
        <f t="shared" si="11"/>
        <v>3000</v>
      </c>
      <c r="W72" s="162">
        <v>1.2</v>
      </c>
      <c r="X72" s="163" t="s">
        <v>411</v>
      </c>
      <c r="Y72" s="173"/>
      <c r="Z72" s="173"/>
      <c r="AA72" s="174"/>
      <c r="AB72" s="162" t="s">
        <v>407</v>
      </c>
      <c r="AC72" s="162">
        <v>2</v>
      </c>
      <c r="AD72" s="163"/>
      <c r="AE72" s="164">
        <v>15000</v>
      </c>
      <c r="AF72" s="163"/>
      <c r="AG72" s="204">
        <f>AC72*AE72</f>
        <v>30000</v>
      </c>
      <c r="AH72" s="163"/>
      <c r="AI72" s="367">
        <f>'(F Road)'!B32</f>
        <v>220</v>
      </c>
      <c r="AJ72" s="368">
        <f t="shared" si="7"/>
        <v>0.84758333333333336</v>
      </c>
      <c r="AK72" s="369">
        <f t="shared" si="8"/>
        <v>0.9741545454545455</v>
      </c>
      <c r="AL72" s="364">
        <f t="shared" si="9"/>
        <v>1.1122281144781145</v>
      </c>
      <c r="AM72" s="369">
        <f t="shared" si="10"/>
        <v>0.3</v>
      </c>
      <c r="AN72" s="370">
        <f t="shared" si="6"/>
        <v>3.2339659932659934</v>
      </c>
    </row>
    <row r="73" spans="1:40" ht="19.5" customHeight="1">
      <c r="A73" s="210" t="s">
        <v>403</v>
      </c>
      <c r="B73" s="210"/>
      <c r="C73" s="210"/>
      <c r="D73" s="210"/>
      <c r="E73" s="210"/>
      <c r="F73" s="210"/>
      <c r="G73" s="210"/>
      <c r="H73" s="210"/>
      <c r="I73" s="210"/>
      <c r="J73" s="210"/>
      <c r="L73" s="187">
        <v>2</v>
      </c>
      <c r="M73" s="188" t="s">
        <v>424</v>
      </c>
      <c r="N73" s="138"/>
      <c r="O73" s="138"/>
      <c r="P73" s="182"/>
      <c r="Q73" s="180"/>
      <c r="R73" s="180"/>
      <c r="S73" s="181"/>
      <c r="T73" s="183"/>
      <c r="U73" s="181"/>
      <c r="V73" s="213" t="s">
        <v>403</v>
      </c>
      <c r="W73" s="162">
        <v>1.3</v>
      </c>
      <c r="X73" s="163" t="s">
        <v>415</v>
      </c>
      <c r="Y73" s="173"/>
      <c r="Z73" s="173"/>
      <c r="AA73" s="174"/>
      <c r="AB73" s="162" t="s">
        <v>407</v>
      </c>
      <c r="AC73" s="162">
        <v>3</v>
      </c>
      <c r="AD73" s="163"/>
      <c r="AE73" s="164">
        <v>8000</v>
      </c>
      <c r="AF73" s="163"/>
      <c r="AG73" s="204">
        <f>AC73*AE73</f>
        <v>24000</v>
      </c>
      <c r="AH73" s="163"/>
      <c r="AI73" s="367">
        <f>'(F Road)'!B33</f>
        <v>230</v>
      </c>
      <c r="AJ73" s="368">
        <f t="shared" si="7"/>
        <v>0.84758333333333336</v>
      </c>
      <c r="AK73" s="369">
        <f t="shared" si="8"/>
        <v>0.95679999999999998</v>
      </c>
      <c r="AL73" s="364">
        <f t="shared" si="9"/>
        <v>1.0780462962962964</v>
      </c>
      <c r="AM73" s="369">
        <f t="shared" si="10"/>
        <v>0.3</v>
      </c>
      <c r="AN73" s="370">
        <f t="shared" si="6"/>
        <v>3.1824296296296297</v>
      </c>
    </row>
    <row r="74" spans="1:40" ht="19.5" customHeight="1">
      <c r="A74" s="210" t="s">
        <v>403</v>
      </c>
      <c r="B74" s="210"/>
      <c r="C74" s="210"/>
      <c r="D74" s="210"/>
      <c r="E74" s="210"/>
      <c r="F74" s="210"/>
      <c r="G74" s="210"/>
      <c r="H74" s="210"/>
      <c r="I74" s="210"/>
      <c r="J74" s="210"/>
      <c r="L74" s="180">
        <v>2.1</v>
      </c>
      <c r="M74" s="181" t="s">
        <v>426</v>
      </c>
      <c r="N74" s="138"/>
      <c r="O74" s="138"/>
      <c r="P74" s="182"/>
      <c r="Q74" s="180" t="s">
        <v>427</v>
      </c>
      <c r="R74" s="180">
        <v>3</v>
      </c>
      <c r="S74" s="181"/>
      <c r="T74" s="183">
        <v>21500</v>
      </c>
      <c r="U74" s="181"/>
      <c r="V74" s="213">
        <f t="shared" si="11"/>
        <v>64500</v>
      </c>
      <c r="W74" s="162">
        <v>1.4</v>
      </c>
      <c r="X74" s="163" t="s">
        <v>420</v>
      </c>
      <c r="Y74" s="173"/>
      <c r="Z74" s="173"/>
      <c r="AA74" s="174"/>
      <c r="AB74" s="162" t="s">
        <v>407</v>
      </c>
      <c r="AC74" s="162">
        <v>2</v>
      </c>
      <c r="AD74" s="163"/>
      <c r="AE74" s="164">
        <v>7000</v>
      </c>
      <c r="AF74" s="163"/>
      <c r="AG74" s="204">
        <f>AC74*AE74</f>
        <v>14000</v>
      </c>
      <c r="AH74" s="163"/>
      <c r="AI74" s="367">
        <f>'(F Road)'!B34</f>
        <v>240</v>
      </c>
      <c r="AJ74" s="368">
        <f t="shared" si="7"/>
        <v>0.84758333333333336</v>
      </c>
      <c r="AK74" s="369">
        <f t="shared" si="8"/>
        <v>0.94089166666666668</v>
      </c>
      <c r="AL74" s="364">
        <f t="shared" si="9"/>
        <v>1.046712962962963</v>
      </c>
      <c r="AM74" s="369">
        <f t="shared" si="10"/>
        <v>0.3</v>
      </c>
      <c r="AN74" s="370">
        <f t="shared" si="6"/>
        <v>3.1351879629629629</v>
      </c>
    </row>
    <row r="75" spans="1:40" ht="19.5" customHeight="1">
      <c r="A75" s="210" t="s">
        <v>403</v>
      </c>
      <c r="B75" s="210"/>
      <c r="C75" s="210"/>
      <c r="D75" s="210"/>
      <c r="E75" s="210"/>
      <c r="F75" s="210"/>
      <c r="G75" s="210"/>
      <c r="H75" s="210"/>
      <c r="I75" s="210"/>
      <c r="J75" s="210"/>
      <c r="L75" s="180">
        <v>2.2000000000000002</v>
      </c>
      <c r="M75" s="181" t="s">
        <v>947</v>
      </c>
      <c r="N75" s="138"/>
      <c r="O75" s="138"/>
      <c r="P75" s="182"/>
      <c r="Q75" s="180" t="s">
        <v>427</v>
      </c>
      <c r="R75" s="180">
        <v>3</v>
      </c>
      <c r="S75" s="181"/>
      <c r="T75" s="491">
        <v>9000</v>
      </c>
      <c r="U75" s="181"/>
      <c r="V75" s="493">
        <f t="shared" si="11"/>
        <v>27000</v>
      </c>
      <c r="W75" s="162">
        <v>1.5</v>
      </c>
      <c r="X75" s="163" t="s">
        <v>423</v>
      </c>
      <c r="Y75" s="173"/>
      <c r="Z75" s="173"/>
      <c r="AA75" s="174"/>
      <c r="AB75" s="162" t="s">
        <v>407</v>
      </c>
      <c r="AC75" s="162">
        <v>1</v>
      </c>
      <c r="AD75" s="163"/>
      <c r="AE75" s="164">
        <v>6000</v>
      </c>
      <c r="AF75" s="163"/>
      <c r="AG75" s="204">
        <f>AC75*AE75</f>
        <v>6000</v>
      </c>
      <c r="AH75" s="163"/>
      <c r="AI75" s="367">
        <f>'(F Road)'!B35</f>
        <v>250</v>
      </c>
      <c r="AJ75" s="368">
        <f t="shared" si="7"/>
        <v>0.84758333333333336</v>
      </c>
      <c r="AK75" s="369">
        <f t="shared" si="8"/>
        <v>0.92625599999999997</v>
      </c>
      <c r="AL75" s="364">
        <f t="shared" si="9"/>
        <v>1.0178862962962962</v>
      </c>
      <c r="AM75" s="369">
        <f t="shared" si="10"/>
        <v>0.3</v>
      </c>
      <c r="AN75" s="370">
        <f t="shared" si="6"/>
        <v>3.0917256296296296</v>
      </c>
    </row>
    <row r="76" spans="1:40" ht="19.5" customHeight="1">
      <c r="A76" s="210" t="s">
        <v>403</v>
      </c>
      <c r="B76" s="210"/>
      <c r="C76" s="210"/>
      <c r="D76" s="210"/>
      <c r="E76" s="210"/>
      <c r="F76" s="210"/>
      <c r="G76" s="210"/>
      <c r="H76" s="210"/>
      <c r="I76" s="210"/>
      <c r="J76" s="210"/>
      <c r="L76" s="180">
        <v>2.2999999999999998</v>
      </c>
      <c r="M76" s="181" t="s">
        <v>949</v>
      </c>
      <c r="N76" s="138"/>
      <c r="O76" s="138"/>
      <c r="P76" s="182"/>
      <c r="Q76" s="180" t="s">
        <v>427</v>
      </c>
      <c r="R76" s="180">
        <v>3</v>
      </c>
      <c r="S76" s="181"/>
      <c r="T76" s="183">
        <v>1000</v>
      </c>
      <c r="U76" s="181"/>
      <c r="V76" s="213">
        <f t="shared" si="11"/>
        <v>3000</v>
      </c>
      <c r="W76" s="162">
        <v>1.6</v>
      </c>
      <c r="X76" s="163" t="s">
        <v>425</v>
      </c>
      <c r="Y76" s="173"/>
      <c r="Z76" s="173"/>
      <c r="AA76" s="174"/>
      <c r="AB76" s="162" t="s">
        <v>407</v>
      </c>
      <c r="AC76" s="162">
        <v>1</v>
      </c>
      <c r="AD76" s="163"/>
      <c r="AE76" s="495">
        <v>4000</v>
      </c>
      <c r="AF76" s="163"/>
      <c r="AG76" s="496">
        <f>AC76*AE76</f>
        <v>4000</v>
      </c>
      <c r="AH76" s="163"/>
      <c r="AI76" s="367">
        <f>'(F Road)'!B36</f>
        <v>260</v>
      </c>
      <c r="AJ76" s="368">
        <f t="shared" si="7"/>
        <v>0.84758333333333336</v>
      </c>
      <c r="AK76" s="369">
        <f t="shared" si="8"/>
        <v>0.91274615384615387</v>
      </c>
      <c r="AL76" s="364">
        <f t="shared" si="9"/>
        <v>0.99127706552706552</v>
      </c>
      <c r="AM76" s="369">
        <f t="shared" si="10"/>
        <v>0.3</v>
      </c>
      <c r="AN76" s="370">
        <f t="shared" si="6"/>
        <v>3.0516065527065526</v>
      </c>
    </row>
    <row r="77" spans="1:40" ht="19.5" customHeight="1">
      <c r="A77" s="210" t="s">
        <v>403</v>
      </c>
      <c r="B77" s="210"/>
      <c r="C77" s="210"/>
      <c r="D77" s="210"/>
      <c r="E77" s="210"/>
      <c r="F77" s="210"/>
      <c r="G77" s="210"/>
      <c r="H77" s="210"/>
      <c r="I77" s="210"/>
      <c r="J77" s="210"/>
      <c r="L77" s="180">
        <v>2.4</v>
      </c>
      <c r="M77" s="181" t="s">
        <v>226</v>
      </c>
      <c r="N77" s="138"/>
      <c r="O77" s="138"/>
      <c r="P77" s="182"/>
      <c r="Q77" s="180" t="s">
        <v>427</v>
      </c>
      <c r="R77" s="180">
        <v>3</v>
      </c>
      <c r="S77" s="181"/>
      <c r="T77" s="183">
        <v>840</v>
      </c>
      <c r="U77" s="181"/>
      <c r="V77" s="213">
        <f t="shared" si="11"/>
        <v>2520</v>
      </c>
      <c r="W77" s="2552" t="s">
        <v>186</v>
      </c>
      <c r="X77" s="2553"/>
      <c r="Y77" s="2553"/>
      <c r="Z77" s="2553"/>
      <c r="AA77" s="2553"/>
      <c r="AB77" s="2553"/>
      <c r="AC77" s="2553"/>
      <c r="AD77" s="2553"/>
      <c r="AE77" s="2554"/>
      <c r="AF77" s="191"/>
      <c r="AG77" s="192">
        <f>SUM(AG71:AG76)</f>
        <v>103000</v>
      </c>
      <c r="AH77" s="163"/>
      <c r="AI77" s="367">
        <f>'(F Road)'!B37</f>
        <v>270</v>
      </c>
      <c r="AJ77" s="368">
        <f t="shared" si="7"/>
        <v>0.84758333333333336</v>
      </c>
      <c r="AK77" s="369">
        <f t="shared" si="8"/>
        <v>0.90023703703703706</v>
      </c>
      <c r="AL77" s="364">
        <f t="shared" si="9"/>
        <v>0.96663888888888883</v>
      </c>
      <c r="AM77" s="369">
        <f t="shared" si="10"/>
        <v>0.3</v>
      </c>
      <c r="AN77" s="370">
        <f t="shared" si="6"/>
        <v>3.0144592592592589</v>
      </c>
    </row>
    <row r="78" spans="1:40" ht="19.5" customHeight="1">
      <c r="A78" s="210" t="s">
        <v>403</v>
      </c>
      <c r="B78" s="210"/>
      <c r="C78" s="210"/>
      <c r="D78" s="210"/>
      <c r="E78" s="210"/>
      <c r="F78" s="210"/>
      <c r="G78" s="210"/>
      <c r="H78" s="210"/>
      <c r="I78" s="210"/>
      <c r="J78" s="210"/>
      <c r="L78" s="2340" t="s">
        <v>186</v>
      </c>
      <c r="M78" s="2341"/>
      <c r="N78" s="2341"/>
      <c r="O78" s="2341"/>
      <c r="P78" s="2341"/>
      <c r="Q78" s="2341"/>
      <c r="R78" s="2341"/>
      <c r="S78" s="2341"/>
      <c r="T78" s="2342"/>
      <c r="U78" s="217"/>
      <c r="V78" s="194">
        <f>SUM(V69:V77)</f>
        <v>120520</v>
      </c>
      <c r="W78" s="158">
        <v>2</v>
      </c>
      <c r="X78" s="159" t="s">
        <v>948</v>
      </c>
      <c r="Y78" s="160"/>
      <c r="Z78" s="160"/>
      <c r="AA78" s="161"/>
      <c r="AB78" s="162"/>
      <c r="AC78" s="162"/>
      <c r="AD78" s="163"/>
      <c r="AE78" s="164"/>
      <c r="AF78" s="163"/>
      <c r="AG78" s="174"/>
      <c r="AH78" s="163"/>
      <c r="AI78" s="367">
        <f>'(F Road)'!B38</f>
        <v>280</v>
      </c>
      <c r="AJ78" s="368">
        <f t="shared" si="7"/>
        <v>0.84758333333333336</v>
      </c>
      <c r="AK78" s="369">
        <f t="shared" si="8"/>
        <v>0.88862142857142856</v>
      </c>
      <c r="AL78" s="364">
        <f t="shared" si="9"/>
        <v>0.94376058201058199</v>
      </c>
      <c r="AM78" s="369">
        <f t="shared" si="10"/>
        <v>0.3</v>
      </c>
      <c r="AN78" s="370">
        <f t="shared" si="6"/>
        <v>2.9799653439153437</v>
      </c>
    </row>
    <row r="79" spans="1:40" ht="19.5" customHeight="1">
      <c r="A79" s="210" t="s">
        <v>403</v>
      </c>
      <c r="B79" s="210"/>
      <c r="C79" s="210"/>
      <c r="D79" s="210"/>
      <c r="E79" s="210"/>
      <c r="F79" s="210"/>
      <c r="G79" s="210"/>
      <c r="H79" s="210"/>
      <c r="I79" s="210"/>
      <c r="J79" s="210"/>
      <c r="L79" s="195" t="s">
        <v>254</v>
      </c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62">
        <v>2.1</v>
      </c>
      <c r="X79" s="163" t="s">
        <v>946</v>
      </c>
      <c r="Y79" s="173"/>
      <c r="Z79" s="173"/>
      <c r="AA79" s="174"/>
      <c r="AB79" s="162"/>
      <c r="AC79" s="162">
        <v>1</v>
      </c>
      <c r="AD79" s="163"/>
      <c r="AE79" s="164">
        <v>3000</v>
      </c>
      <c r="AF79" s="163"/>
      <c r="AG79" s="496">
        <f>AC79*AE79/4</f>
        <v>750</v>
      </c>
      <c r="AH79" s="163"/>
      <c r="AI79" s="367">
        <f>'(F Road)'!B39</f>
        <v>290</v>
      </c>
      <c r="AJ79" s="368">
        <f t="shared" si="7"/>
        <v>0.84758333333333336</v>
      </c>
      <c r="AK79" s="369">
        <f t="shared" si="8"/>
        <v>0.87780689655172417</v>
      </c>
      <c r="AL79" s="364">
        <f t="shared" si="9"/>
        <v>0.92246008939974455</v>
      </c>
      <c r="AM79" s="369">
        <f t="shared" si="10"/>
        <v>0.3</v>
      </c>
      <c r="AN79" s="370">
        <f t="shared" si="6"/>
        <v>2.947850319284802</v>
      </c>
    </row>
    <row r="80" spans="1:40" ht="19.5" customHeight="1">
      <c r="A80" s="210" t="s">
        <v>403</v>
      </c>
      <c r="B80" s="210"/>
      <c r="C80" s="210"/>
      <c r="D80" s="210"/>
      <c r="E80" s="210"/>
      <c r="F80" s="210"/>
      <c r="G80" s="210"/>
      <c r="H80" s="210"/>
      <c r="I80" s="210"/>
      <c r="J80" s="210"/>
      <c r="L80" s="138" t="s">
        <v>256</v>
      </c>
      <c r="M80" s="138"/>
      <c r="N80" s="138"/>
      <c r="O80" s="138"/>
      <c r="P80" s="196">
        <v>550</v>
      </c>
      <c r="Q80" s="138" t="s">
        <v>257</v>
      </c>
      <c r="R80" s="138" t="s">
        <v>258</v>
      </c>
      <c r="S80" s="138"/>
      <c r="T80" s="138"/>
      <c r="U80" s="196">
        <v>30</v>
      </c>
      <c r="V80" s="138" t="s">
        <v>259</v>
      </c>
      <c r="W80" s="162">
        <v>2.2000000000000002</v>
      </c>
      <c r="X80" s="163" t="s">
        <v>252</v>
      </c>
      <c r="Y80" s="173"/>
      <c r="Z80" s="173"/>
      <c r="AA80" s="174"/>
      <c r="AB80" s="162"/>
      <c r="AC80" s="162">
        <v>1</v>
      </c>
      <c r="AD80" s="163"/>
      <c r="AE80" s="164">
        <v>3000</v>
      </c>
      <c r="AF80" s="163"/>
      <c r="AG80" s="496">
        <f>AC80*AE80/4</f>
        <v>750</v>
      </c>
      <c r="AH80" s="163"/>
      <c r="AI80" s="367">
        <f>'(F Road)'!B40</f>
        <v>300</v>
      </c>
      <c r="AJ80" s="368">
        <f t="shared" si="7"/>
        <v>0.84758333333333336</v>
      </c>
      <c r="AK80" s="369">
        <f t="shared" si="8"/>
        <v>0.86771333333333334</v>
      </c>
      <c r="AL80" s="364">
        <f t="shared" si="9"/>
        <v>0.90257962962962957</v>
      </c>
      <c r="AM80" s="369">
        <f t="shared" si="10"/>
        <v>0.3</v>
      </c>
      <c r="AN80" s="370">
        <f t="shared" si="6"/>
        <v>2.9178762962962961</v>
      </c>
    </row>
    <row r="81" spans="1:40" ht="19.5" customHeight="1">
      <c r="A81" s="210" t="s">
        <v>403</v>
      </c>
      <c r="B81" s="210"/>
      <c r="C81" s="210"/>
      <c r="D81" s="210"/>
      <c r="E81" s="210"/>
      <c r="F81" s="210"/>
      <c r="G81" s="210"/>
      <c r="H81" s="210"/>
      <c r="I81" s="210"/>
      <c r="J81" s="210"/>
      <c r="L81" s="138" t="s">
        <v>261</v>
      </c>
      <c r="M81" s="138"/>
      <c r="N81" s="138"/>
      <c r="O81" s="138"/>
      <c r="P81" s="196">
        <v>8</v>
      </c>
      <c r="Q81" s="138" t="s">
        <v>262</v>
      </c>
      <c r="R81" s="138" t="s">
        <v>263</v>
      </c>
      <c r="S81" s="138"/>
      <c r="T81" s="138"/>
      <c r="U81" s="196">
        <v>2</v>
      </c>
      <c r="V81" s="138" t="s">
        <v>264</v>
      </c>
      <c r="W81" s="162">
        <v>2.2999999999999998</v>
      </c>
      <c r="X81" s="163" t="s">
        <v>253</v>
      </c>
      <c r="Y81" s="173"/>
      <c r="Z81" s="173"/>
      <c r="AA81" s="174"/>
      <c r="AB81" s="162" t="s">
        <v>407</v>
      </c>
      <c r="AC81" s="162">
        <v>1</v>
      </c>
      <c r="AD81" s="163"/>
      <c r="AE81" s="164">
        <v>84000</v>
      </c>
      <c r="AF81" s="163"/>
      <c r="AG81" s="204">
        <f>(AC81*AE81)/4</f>
        <v>21000</v>
      </c>
      <c r="AH81" s="163"/>
      <c r="AI81" s="367">
        <f>'(F Road)'!B41</f>
        <v>350</v>
      </c>
      <c r="AJ81" s="368">
        <f t="shared" si="7"/>
        <v>0.85799999999999998</v>
      </c>
      <c r="AK81" s="369">
        <f t="shared" si="8"/>
        <v>0.82642285714285713</v>
      </c>
      <c r="AL81" s="364">
        <f t="shared" si="9"/>
        <v>0.77588571428571429</v>
      </c>
      <c r="AM81" s="369">
        <f t="shared" si="10"/>
        <v>0.3</v>
      </c>
      <c r="AN81" s="370">
        <f t="shared" si="6"/>
        <v>2.7603085714285713</v>
      </c>
    </row>
    <row r="82" spans="1:40" ht="19.5" customHeight="1">
      <c r="A82" s="210" t="s">
        <v>403</v>
      </c>
      <c r="B82" s="210"/>
      <c r="C82" s="210"/>
      <c r="D82" s="210"/>
      <c r="E82" s="210"/>
      <c r="F82" s="210"/>
      <c r="G82" s="210"/>
      <c r="H82" s="210"/>
      <c r="I82" s="210"/>
      <c r="J82" s="210"/>
      <c r="L82" s="138" t="s">
        <v>266</v>
      </c>
      <c r="M82" s="138"/>
      <c r="N82" s="138"/>
      <c r="O82" s="138"/>
      <c r="P82" s="492">
        <v>20</v>
      </c>
      <c r="Q82" s="138" t="s">
        <v>267</v>
      </c>
      <c r="R82" s="138" t="s">
        <v>268</v>
      </c>
      <c r="S82" s="138"/>
      <c r="T82" s="138"/>
      <c r="U82" s="196">
        <v>30</v>
      </c>
      <c r="V82" s="138" t="s">
        <v>269</v>
      </c>
      <c r="W82" s="162">
        <v>2.4</v>
      </c>
      <c r="X82" s="163" t="s">
        <v>255</v>
      </c>
      <c r="Y82" s="173"/>
      <c r="Z82" s="173"/>
      <c r="AA82" s="174"/>
      <c r="AB82" s="162" t="s">
        <v>407</v>
      </c>
      <c r="AC82" s="162">
        <v>1</v>
      </c>
      <c r="AD82" s="163"/>
      <c r="AE82" s="164">
        <v>8000</v>
      </c>
      <c r="AF82" s="163"/>
      <c r="AG82" s="496">
        <f>AC82*AE82/4</f>
        <v>2000</v>
      </c>
      <c r="AH82" s="163"/>
      <c r="AI82" s="367">
        <f>'(F Road)'!B42</f>
        <v>400</v>
      </c>
      <c r="AJ82" s="368">
        <f t="shared" si="7"/>
        <v>0.85799999999999998</v>
      </c>
      <c r="AK82" s="369">
        <f t="shared" si="8"/>
        <v>0.72311999999999999</v>
      </c>
      <c r="AL82" s="364">
        <f t="shared" si="9"/>
        <v>0.68759999999999999</v>
      </c>
      <c r="AM82" s="369">
        <f t="shared" si="10"/>
        <v>0.3</v>
      </c>
      <c r="AN82" s="370">
        <f t="shared" si="6"/>
        <v>2.5687199999999999</v>
      </c>
    </row>
    <row r="83" spans="1:40" ht="19.5" customHeight="1">
      <c r="A83" s="210" t="s">
        <v>403</v>
      </c>
      <c r="B83" s="210"/>
      <c r="C83" s="210"/>
      <c r="D83" s="210"/>
      <c r="E83" s="210"/>
      <c r="F83" s="210"/>
      <c r="G83" s="210"/>
      <c r="H83" s="210"/>
      <c r="I83" s="210"/>
      <c r="J83" s="210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62">
        <v>2.5</v>
      </c>
      <c r="X83" s="163" t="s">
        <v>260</v>
      </c>
      <c r="Y83" s="173"/>
      <c r="Z83" s="173"/>
      <c r="AA83" s="174"/>
      <c r="AB83" s="162" t="s">
        <v>407</v>
      </c>
      <c r="AC83" s="162">
        <v>1</v>
      </c>
      <c r="AD83" s="163"/>
      <c r="AE83" s="164">
        <v>8000</v>
      </c>
      <c r="AF83" s="163"/>
      <c r="AG83" s="496">
        <f>AC83*AE83/4</f>
        <v>2000</v>
      </c>
      <c r="AH83" s="163"/>
      <c r="AI83" s="367">
        <f>'(F Road)'!B43</f>
        <v>450</v>
      </c>
      <c r="AJ83" s="368">
        <f t="shared" si="7"/>
        <v>0.85799999999999998</v>
      </c>
      <c r="AK83" s="369">
        <f t="shared" si="8"/>
        <v>0.64277333333333331</v>
      </c>
      <c r="AL83" s="364">
        <f t="shared" si="9"/>
        <v>0.61893333333333334</v>
      </c>
      <c r="AM83" s="369">
        <f t="shared" si="10"/>
        <v>0.3</v>
      </c>
      <c r="AN83" s="370">
        <f t="shared" si="6"/>
        <v>2.4197066666666665</v>
      </c>
    </row>
    <row r="84" spans="1:40" ht="19.5" customHeight="1">
      <c r="A84" s="210" t="s">
        <v>403</v>
      </c>
      <c r="B84" s="210"/>
      <c r="C84" s="210"/>
      <c r="D84" s="210"/>
      <c r="E84" s="210"/>
      <c r="F84" s="210"/>
      <c r="G84" s="210"/>
      <c r="H84" s="210"/>
      <c r="I84" s="210"/>
      <c r="J84" s="210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62">
        <v>2.6</v>
      </c>
      <c r="X84" s="163" t="s">
        <v>265</v>
      </c>
      <c r="Y84" s="173"/>
      <c r="Z84" s="173"/>
      <c r="AA84" s="174"/>
      <c r="AB84" s="162" t="s">
        <v>407</v>
      </c>
      <c r="AC84" s="162">
        <v>1</v>
      </c>
      <c r="AD84" s="163"/>
      <c r="AE84" s="164">
        <v>6000</v>
      </c>
      <c r="AF84" s="163"/>
      <c r="AG84" s="496">
        <f>AC84*AE84/4</f>
        <v>1500</v>
      </c>
      <c r="AH84" s="163"/>
      <c r="AI84" s="367">
        <f>'(F Road)'!B44</f>
        <v>500</v>
      </c>
      <c r="AJ84" s="368">
        <f t="shared" si="7"/>
        <v>0.85799999999999998</v>
      </c>
      <c r="AK84" s="369">
        <f t="shared" si="8"/>
        <v>0.57849600000000001</v>
      </c>
      <c r="AL84" s="364">
        <f t="shared" si="9"/>
        <v>0.56400000000000006</v>
      </c>
      <c r="AM84" s="369">
        <f t="shared" si="10"/>
        <v>0.3</v>
      </c>
      <c r="AN84" s="370">
        <f t="shared" si="6"/>
        <v>2.3004959999999999</v>
      </c>
    </row>
    <row r="85" spans="1:40" ht="19.5" customHeight="1">
      <c r="A85" s="210" t="s">
        <v>403</v>
      </c>
      <c r="B85" s="210"/>
      <c r="C85" s="210"/>
      <c r="D85" s="210"/>
      <c r="E85" s="210"/>
      <c r="F85" s="210"/>
      <c r="G85" s="210"/>
      <c r="H85" s="210"/>
      <c r="I85" s="210"/>
      <c r="J85" s="210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97">
        <v>2.7</v>
      </c>
      <c r="X85" s="198" t="s">
        <v>270</v>
      </c>
      <c r="Y85" s="199"/>
      <c r="Z85" s="199"/>
      <c r="AA85" s="200"/>
      <c r="AB85" s="197" t="s">
        <v>407</v>
      </c>
      <c r="AC85" s="197">
        <v>1</v>
      </c>
      <c r="AD85" s="198"/>
      <c r="AE85" s="201">
        <v>4000</v>
      </c>
      <c r="AF85" s="198"/>
      <c r="AG85" s="496">
        <f>AC85*AE85/4</f>
        <v>1000</v>
      </c>
      <c r="AH85" s="338" t="s">
        <v>511</v>
      </c>
      <c r="AI85" s="367">
        <f>'(F Road)'!B45</f>
        <v>700</v>
      </c>
      <c r="AJ85" s="374">
        <f t="shared" si="7"/>
        <v>0.85799999999999998</v>
      </c>
      <c r="AK85" s="374">
        <f t="shared" si="8"/>
        <v>0.57849600000000001</v>
      </c>
      <c r="AL85" s="374">
        <f t="shared" si="9"/>
        <v>0.42274285714285714</v>
      </c>
      <c r="AM85" s="374">
        <f t="shared" si="10"/>
        <v>0.3</v>
      </c>
      <c r="AN85" s="375">
        <f t="shared" si="6"/>
        <v>2.1592388571428569</v>
      </c>
    </row>
    <row r="86" spans="1:40" ht="19.5" customHeight="1">
      <c r="A86" s="210" t="s">
        <v>403</v>
      </c>
      <c r="B86" s="210"/>
      <c r="C86" s="210"/>
      <c r="D86" s="210"/>
      <c r="E86" s="210"/>
      <c r="F86" s="210"/>
      <c r="G86" s="210"/>
      <c r="H86" s="210"/>
      <c r="I86" s="210"/>
      <c r="J86" s="210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2552" t="s">
        <v>186</v>
      </c>
      <c r="X86" s="2553"/>
      <c r="Y86" s="2553"/>
      <c r="Z86" s="2553"/>
      <c r="AA86" s="2553"/>
      <c r="AB86" s="2553"/>
      <c r="AC86" s="2553"/>
      <c r="AD86" s="2553"/>
      <c r="AE86" s="2554"/>
      <c r="AF86" s="190"/>
      <c r="AG86" s="192">
        <f>SUM(AG79:AG85)</f>
        <v>29000</v>
      </c>
    </row>
    <row r="87" spans="1:40" ht="19.5" customHeight="1">
      <c r="A87" s="2336" t="s">
        <v>301</v>
      </c>
      <c r="B87" s="2336"/>
      <c r="C87" s="2336"/>
      <c r="D87" s="2336"/>
      <c r="E87" s="2336"/>
      <c r="F87" s="2336"/>
      <c r="G87" s="2336"/>
      <c r="H87" s="2336"/>
      <c r="I87" s="2336"/>
      <c r="J87" s="2336"/>
      <c r="L87" s="2339" t="s">
        <v>302</v>
      </c>
      <c r="M87" s="2339"/>
      <c r="N87" s="2339"/>
      <c r="O87" s="2339"/>
      <c r="P87" s="2339"/>
      <c r="Q87" s="2339"/>
      <c r="R87" s="2339"/>
      <c r="S87" s="2339"/>
      <c r="T87" s="2339"/>
      <c r="U87" s="2339"/>
      <c r="V87" s="2339"/>
      <c r="W87" s="2336" t="s">
        <v>303</v>
      </c>
      <c r="X87" s="2336"/>
      <c r="Y87" s="2336"/>
      <c r="Z87" s="2336"/>
      <c r="AA87" s="2336"/>
      <c r="AB87" s="2336"/>
      <c r="AC87" s="2336"/>
      <c r="AD87" s="2336"/>
      <c r="AE87" s="2336"/>
      <c r="AF87" s="2336"/>
      <c r="AG87" s="2336"/>
    </row>
    <row r="88" spans="1:40" ht="19.5" customHeight="1">
      <c r="A88" s="210" t="s">
        <v>403</v>
      </c>
      <c r="B88" s="210"/>
      <c r="C88" s="210"/>
      <c r="D88" s="210"/>
      <c r="E88" s="210"/>
      <c r="F88" s="210"/>
      <c r="G88" s="210"/>
      <c r="H88" s="210"/>
      <c r="I88" s="210"/>
      <c r="J88" s="210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</row>
    <row r="89" spans="1:40" ht="19.5" customHeight="1">
      <c r="A89" s="2576" t="s">
        <v>304</v>
      </c>
      <c r="B89" s="2576"/>
      <c r="C89" s="2576"/>
      <c r="D89" s="2576"/>
      <c r="E89" s="2576"/>
      <c r="F89" s="2576"/>
      <c r="G89" s="2576"/>
      <c r="H89" s="2576"/>
      <c r="I89" s="2576"/>
      <c r="J89" s="2576"/>
      <c r="L89" s="2580" t="s">
        <v>305</v>
      </c>
      <c r="M89" s="2580"/>
      <c r="N89" s="2580"/>
      <c r="O89" s="2580"/>
      <c r="P89" s="2580"/>
      <c r="Q89" s="2580"/>
      <c r="R89" s="2580"/>
      <c r="S89" s="2580"/>
      <c r="T89" s="2580"/>
      <c r="U89" s="2580"/>
      <c r="V89" s="2580"/>
      <c r="W89" s="2576" t="s">
        <v>306</v>
      </c>
      <c r="X89" s="2576"/>
      <c r="Y89" s="2576"/>
      <c r="Z89" s="2576"/>
      <c r="AA89" s="2576"/>
      <c r="AB89" s="2576"/>
      <c r="AC89" s="2576"/>
      <c r="AD89" s="2576"/>
      <c r="AE89" s="2576"/>
      <c r="AF89" s="2576"/>
      <c r="AG89" s="2576"/>
    </row>
    <row r="90" spans="1:40" ht="19.5" customHeight="1">
      <c r="A90" s="2555" t="s">
        <v>653</v>
      </c>
      <c r="B90" s="2559"/>
      <c r="C90" s="2555" t="s">
        <v>307</v>
      </c>
      <c r="D90" s="2559"/>
      <c r="E90" s="2555" t="s">
        <v>308</v>
      </c>
      <c r="F90" s="2559"/>
      <c r="G90" s="218" t="s">
        <v>309</v>
      </c>
      <c r="H90" s="2555" t="s">
        <v>310</v>
      </c>
      <c r="I90" s="2559"/>
      <c r="J90" s="376" t="s">
        <v>186</v>
      </c>
      <c r="L90" s="2345" t="s">
        <v>645</v>
      </c>
      <c r="M90" s="2346"/>
      <c r="N90" s="2347"/>
      <c r="O90" s="157" t="s">
        <v>646</v>
      </c>
      <c r="P90" s="2345" t="s">
        <v>509</v>
      </c>
      <c r="Q90" s="2338"/>
      <c r="R90" s="2345" t="s">
        <v>329</v>
      </c>
      <c r="S90" s="2338"/>
      <c r="T90" s="2345" t="s">
        <v>311</v>
      </c>
      <c r="U90" s="2581"/>
      <c r="V90" s="2338"/>
      <c r="W90" s="2561" t="s">
        <v>645</v>
      </c>
      <c r="X90" s="2562"/>
      <c r="Y90" s="356" t="s">
        <v>646</v>
      </c>
      <c r="Z90" s="356" t="s">
        <v>509</v>
      </c>
      <c r="AA90" s="356" t="s">
        <v>186</v>
      </c>
      <c r="AB90" s="356" t="s">
        <v>90</v>
      </c>
      <c r="AC90" s="356" t="s">
        <v>312</v>
      </c>
      <c r="AD90" s="356" t="s">
        <v>90</v>
      </c>
      <c r="AE90" s="356" t="s">
        <v>186</v>
      </c>
      <c r="AF90" s="356" t="s">
        <v>90</v>
      </c>
      <c r="AG90" s="356" t="s">
        <v>313</v>
      </c>
    </row>
    <row r="91" spans="1:40" ht="19.5" customHeight="1">
      <c r="A91" s="2557" t="s">
        <v>505</v>
      </c>
      <c r="B91" s="2569"/>
      <c r="C91" s="2557" t="s">
        <v>314</v>
      </c>
      <c r="D91" s="2569"/>
      <c r="E91" s="2557" t="s">
        <v>315</v>
      </c>
      <c r="F91" s="2569"/>
      <c r="G91" s="219" t="s">
        <v>316</v>
      </c>
      <c r="H91" s="2572" t="s">
        <v>317</v>
      </c>
      <c r="I91" s="2573"/>
      <c r="J91" s="377" t="s">
        <v>494</v>
      </c>
      <c r="L91" s="2364"/>
      <c r="M91" s="2574"/>
      <c r="N91" s="2575"/>
      <c r="O91" s="380"/>
      <c r="P91" s="2364" t="s">
        <v>318</v>
      </c>
      <c r="Q91" s="2575"/>
      <c r="R91" s="2364" t="s">
        <v>319</v>
      </c>
      <c r="S91" s="2575"/>
      <c r="T91" s="2364" t="s">
        <v>320</v>
      </c>
      <c r="U91" s="2574"/>
      <c r="V91" s="2575"/>
      <c r="W91" s="2577"/>
      <c r="X91" s="2578"/>
      <c r="Y91" s="381"/>
      <c r="Z91" s="359" t="s">
        <v>321</v>
      </c>
      <c r="AA91" s="359" t="s">
        <v>509</v>
      </c>
      <c r="AB91" s="359" t="s">
        <v>322</v>
      </c>
      <c r="AC91" s="359" t="s">
        <v>323</v>
      </c>
      <c r="AD91" s="359" t="s">
        <v>324</v>
      </c>
      <c r="AE91" s="359" t="s">
        <v>509</v>
      </c>
      <c r="AF91" s="359" t="s">
        <v>324</v>
      </c>
      <c r="AG91" s="359" t="s">
        <v>325</v>
      </c>
    </row>
    <row r="92" spans="1:40" ht="19.5" customHeight="1">
      <c r="A92" s="382" t="s">
        <v>510</v>
      </c>
      <c r="B92" s="345">
        <f>B8</f>
        <v>5</v>
      </c>
      <c r="C92" s="220"/>
      <c r="D92" s="383">
        <f>J8</f>
        <v>6.25E-2</v>
      </c>
      <c r="E92" s="220"/>
      <c r="F92" s="383">
        <f>$H$48</f>
        <v>0.25000000000000006</v>
      </c>
      <c r="G92" s="221">
        <f>$H$51</f>
        <v>0.1</v>
      </c>
      <c r="H92" s="220"/>
      <c r="I92" s="383">
        <f>$H$62</f>
        <v>0.25800000000000001</v>
      </c>
      <c r="J92" s="384">
        <f>(D92+F92+G92+I92)</f>
        <v>0.6705000000000001</v>
      </c>
      <c r="L92" s="2355" t="s">
        <v>505</v>
      </c>
      <c r="M92" s="2357"/>
      <c r="N92" s="2356"/>
      <c r="O92" s="166" t="s">
        <v>654</v>
      </c>
      <c r="P92" s="2368" t="s">
        <v>326</v>
      </c>
      <c r="Q92" s="2335"/>
      <c r="R92" s="2368" t="s">
        <v>327</v>
      </c>
      <c r="S92" s="2335"/>
      <c r="T92" s="2368" t="s">
        <v>328</v>
      </c>
      <c r="U92" s="2579"/>
      <c r="V92" s="2335"/>
      <c r="W92" s="2570" t="s">
        <v>505</v>
      </c>
      <c r="X92" s="2571"/>
      <c r="Y92" s="360" t="s">
        <v>654</v>
      </c>
      <c r="Z92" s="385" t="s">
        <v>927</v>
      </c>
      <c r="AA92" s="385" t="s">
        <v>918</v>
      </c>
      <c r="AB92" s="385" t="s">
        <v>494</v>
      </c>
      <c r="AC92" s="385" t="s">
        <v>505</v>
      </c>
      <c r="AD92" s="385" t="s">
        <v>927</v>
      </c>
      <c r="AE92" s="385" t="s">
        <v>918</v>
      </c>
      <c r="AF92" s="385" t="s">
        <v>494</v>
      </c>
      <c r="AG92" s="385" t="s">
        <v>494</v>
      </c>
    </row>
    <row r="93" spans="1:40" ht="19.5" customHeight="1">
      <c r="A93" s="386"/>
      <c r="B93" s="387">
        <f>B9</f>
        <v>10</v>
      </c>
      <c r="C93" s="222"/>
      <c r="D93" s="388">
        <f>J9</f>
        <v>9.375E-2</v>
      </c>
      <c r="E93" s="389"/>
      <c r="F93" s="388">
        <f>$H$48</f>
        <v>0.25000000000000006</v>
      </c>
      <c r="G93" s="223">
        <f>$H$51</f>
        <v>0.1</v>
      </c>
      <c r="H93" s="389"/>
      <c r="I93" s="388">
        <f>$H$62</f>
        <v>0.25800000000000001</v>
      </c>
      <c r="J93" s="390">
        <f>(D93+F93+G93+I93)</f>
        <v>0.7017500000000001</v>
      </c>
      <c r="L93" s="391" t="s">
        <v>510</v>
      </c>
      <c r="M93" s="392">
        <f>B8</f>
        <v>5</v>
      </c>
      <c r="N93" s="277"/>
      <c r="O93" s="171">
        <f>E8</f>
        <v>6</v>
      </c>
      <c r="P93" s="393"/>
      <c r="Q93" s="394">
        <f t="shared" ref="Q93:Q99" si="12">$V$17</f>
        <v>68380</v>
      </c>
      <c r="R93" s="277"/>
      <c r="S93" s="395">
        <f>(O93*Q93)</f>
        <v>410280</v>
      </c>
      <c r="T93" s="396"/>
      <c r="U93" s="438">
        <f>(S93*100)/(M93*1000000)</f>
        <v>8.2056000000000004</v>
      </c>
      <c r="V93" s="397"/>
      <c r="W93" s="362" t="s">
        <v>510</v>
      </c>
      <c r="X93" s="398">
        <f>'(F Road)'!B10</f>
        <v>5</v>
      </c>
      <c r="Y93" s="399">
        <f>E8</f>
        <v>6</v>
      </c>
      <c r="Z93" s="400">
        <f>$AG$13</f>
        <v>55000</v>
      </c>
      <c r="AA93" s="401">
        <f>(Y93*Z93)</f>
        <v>330000</v>
      </c>
      <c r="AB93" s="402">
        <f>(AA93*100)/(X93*1000000)</f>
        <v>6.6</v>
      </c>
      <c r="AC93" s="399">
        <v>2.5</v>
      </c>
      <c r="AD93" s="400">
        <f t="shared" ref="AD93:AD99" si="13">$AG$22</f>
        <v>20500</v>
      </c>
      <c r="AE93" s="401">
        <f>(Y93*AD93)</f>
        <v>123000</v>
      </c>
      <c r="AF93" s="403">
        <f>(AE93*100)/(AC93*1000000)*(Y93/12)</f>
        <v>2.46</v>
      </c>
      <c r="AG93" s="404">
        <f>AB93+AF93</f>
        <v>9.0599999999999987</v>
      </c>
    </row>
    <row r="94" spans="1:40" ht="19.5" customHeight="1">
      <c r="A94" s="386"/>
      <c r="B94" s="387">
        <f t="shared" ref="B94:B127" si="14">B10</f>
        <v>20</v>
      </c>
      <c r="C94" s="222"/>
      <c r="D94" s="388">
        <f t="shared" ref="D94:D127" si="15">J10</f>
        <v>0.125</v>
      </c>
      <c r="E94" s="389"/>
      <c r="F94" s="388">
        <f t="shared" ref="F94:F127" si="16">$H$48</f>
        <v>0.25000000000000006</v>
      </c>
      <c r="G94" s="223">
        <f t="shared" ref="G94:G127" si="17">$H$51</f>
        <v>0.1</v>
      </c>
      <c r="H94" s="389"/>
      <c r="I94" s="388">
        <f t="shared" ref="I94:I127" si="18">$H$62</f>
        <v>0.25800000000000001</v>
      </c>
      <c r="J94" s="390">
        <f t="shared" ref="J94:J127" si="19">(D94+F94+G94+I94)</f>
        <v>0.7330000000000001</v>
      </c>
      <c r="L94" s="405"/>
      <c r="M94" s="137">
        <f>B9</f>
        <v>10</v>
      </c>
      <c r="N94" s="277"/>
      <c r="O94" s="180">
        <f>E9</f>
        <v>9</v>
      </c>
      <c r="P94" s="406"/>
      <c r="Q94" s="394">
        <f t="shared" si="12"/>
        <v>68380</v>
      </c>
      <c r="R94" s="277"/>
      <c r="S94" s="407">
        <f>(O94*Q94)</f>
        <v>615420</v>
      </c>
      <c r="T94" s="396"/>
      <c r="U94" s="438">
        <f>(S94*100)/(M94*1000000)</f>
        <v>6.1542000000000003</v>
      </c>
      <c r="V94" s="408"/>
      <c r="W94" s="409"/>
      <c r="X94" s="410">
        <f>'(F Road)'!B11</f>
        <v>10</v>
      </c>
      <c r="Y94" s="162">
        <f>E9</f>
        <v>9</v>
      </c>
      <c r="Z94" s="497">
        <v>56000</v>
      </c>
      <c r="AA94" s="412">
        <f t="shared" ref="AA94:AA128" si="20">(Y94*Z94)</f>
        <v>504000</v>
      </c>
      <c r="AB94" s="402">
        <f t="shared" ref="AB94:AB128" si="21">(AA94*100)/(X94*1000000)</f>
        <v>5.04</v>
      </c>
      <c r="AC94" s="162">
        <v>7.5</v>
      </c>
      <c r="AD94" s="411">
        <f t="shared" si="13"/>
        <v>20500</v>
      </c>
      <c r="AE94" s="412">
        <f t="shared" ref="AE94:AE128" si="22">(Y94*AD94)</f>
        <v>184500</v>
      </c>
      <c r="AF94" s="413">
        <f>(AE94*100)/(AC94*1000000)*(Y94/12)</f>
        <v>1.845</v>
      </c>
      <c r="AG94" s="414">
        <f t="shared" ref="AG94:AG128" si="23">AB94+AF94</f>
        <v>6.8849999999999998</v>
      </c>
    </row>
    <row r="95" spans="1:40" ht="19.5" customHeight="1">
      <c r="A95" s="386"/>
      <c r="B95" s="387">
        <f t="shared" si="14"/>
        <v>30</v>
      </c>
      <c r="C95" s="222"/>
      <c r="D95" s="388">
        <f t="shared" si="15"/>
        <v>0.125</v>
      </c>
      <c r="E95" s="222"/>
      <c r="F95" s="388">
        <f t="shared" si="16"/>
        <v>0.25000000000000006</v>
      </c>
      <c r="G95" s="223">
        <f t="shared" si="17"/>
        <v>0.1</v>
      </c>
      <c r="H95" s="222"/>
      <c r="I95" s="388">
        <f t="shared" si="18"/>
        <v>0.25800000000000001</v>
      </c>
      <c r="J95" s="390">
        <f t="shared" si="19"/>
        <v>0.7330000000000001</v>
      </c>
      <c r="L95" s="405"/>
      <c r="M95" s="137">
        <f t="shared" ref="M95:M128" si="24">B10</f>
        <v>20</v>
      </c>
      <c r="N95" s="277"/>
      <c r="O95" s="180">
        <f t="shared" ref="O95:O126" si="25">E10</f>
        <v>12</v>
      </c>
      <c r="P95" s="406"/>
      <c r="Q95" s="394">
        <f t="shared" si="12"/>
        <v>68380</v>
      </c>
      <c r="R95" s="277"/>
      <c r="S95" s="407">
        <f t="shared" ref="S95:S128" si="26">(O95*Q95)</f>
        <v>820560</v>
      </c>
      <c r="T95" s="396"/>
      <c r="U95" s="438">
        <f t="shared" ref="U95:U128" si="27">(S95*100)/(M95*1000000)</f>
        <v>4.1028000000000002</v>
      </c>
      <c r="V95" s="408"/>
      <c r="W95" s="409"/>
      <c r="X95" s="410">
        <f>'(F Road)'!B12</f>
        <v>20</v>
      </c>
      <c r="Y95" s="162">
        <f t="shared" ref="Y95:Y128" si="28">E10</f>
        <v>12</v>
      </c>
      <c r="Z95" s="497">
        <v>57000</v>
      </c>
      <c r="AA95" s="412">
        <f t="shared" si="20"/>
        <v>684000</v>
      </c>
      <c r="AB95" s="402">
        <f t="shared" si="21"/>
        <v>3.42</v>
      </c>
      <c r="AC95" s="162">
        <v>20</v>
      </c>
      <c r="AD95" s="411">
        <f t="shared" si="13"/>
        <v>20500</v>
      </c>
      <c r="AE95" s="412">
        <f t="shared" si="22"/>
        <v>246000</v>
      </c>
      <c r="AF95" s="413">
        <f t="shared" ref="AF95:AF128" si="29">(AE95*100)/(AC95*1000000)*(Y95/12)</f>
        <v>1.23</v>
      </c>
      <c r="AG95" s="414">
        <f t="shared" si="23"/>
        <v>4.6500000000000004</v>
      </c>
    </row>
    <row r="96" spans="1:40" ht="19.5" customHeight="1">
      <c r="A96" s="386"/>
      <c r="B96" s="387">
        <f t="shared" si="14"/>
        <v>40</v>
      </c>
      <c r="C96" s="222"/>
      <c r="D96" s="388">
        <f t="shared" si="15"/>
        <v>0.16666666666666666</v>
      </c>
      <c r="E96" s="222"/>
      <c r="F96" s="388">
        <f t="shared" si="16"/>
        <v>0.25000000000000006</v>
      </c>
      <c r="G96" s="223">
        <f t="shared" si="17"/>
        <v>0.1</v>
      </c>
      <c r="H96" s="222"/>
      <c r="I96" s="388">
        <f t="shared" si="18"/>
        <v>0.25800000000000001</v>
      </c>
      <c r="J96" s="390">
        <f t="shared" si="19"/>
        <v>0.77466666666666673</v>
      </c>
      <c r="L96" s="405"/>
      <c r="M96" s="137">
        <f t="shared" si="24"/>
        <v>30</v>
      </c>
      <c r="N96" s="277"/>
      <c r="O96" s="180">
        <f t="shared" si="25"/>
        <v>12</v>
      </c>
      <c r="P96" s="406"/>
      <c r="Q96" s="394">
        <f t="shared" si="12"/>
        <v>68380</v>
      </c>
      <c r="R96" s="277"/>
      <c r="S96" s="407">
        <f t="shared" si="26"/>
        <v>820560</v>
      </c>
      <c r="T96" s="396"/>
      <c r="U96" s="438">
        <f t="shared" si="27"/>
        <v>2.7351999999999999</v>
      </c>
      <c r="V96" s="408"/>
      <c r="W96" s="409"/>
      <c r="X96" s="410">
        <f>'(F Road)'!B13</f>
        <v>30</v>
      </c>
      <c r="Y96" s="162">
        <f t="shared" si="28"/>
        <v>12</v>
      </c>
      <c r="Z96" s="497">
        <v>58000</v>
      </c>
      <c r="AA96" s="412">
        <f t="shared" si="20"/>
        <v>696000</v>
      </c>
      <c r="AB96" s="402">
        <f t="shared" si="21"/>
        <v>2.3199999999999998</v>
      </c>
      <c r="AC96" s="162">
        <v>30</v>
      </c>
      <c r="AD96" s="411">
        <f t="shared" si="13"/>
        <v>20500</v>
      </c>
      <c r="AE96" s="412">
        <f t="shared" si="22"/>
        <v>246000</v>
      </c>
      <c r="AF96" s="413">
        <f t="shared" si="29"/>
        <v>0.82</v>
      </c>
      <c r="AG96" s="414">
        <f t="shared" si="23"/>
        <v>3.1399999999999997</v>
      </c>
    </row>
    <row r="97" spans="1:35" ht="19.5" customHeight="1">
      <c r="A97" s="386"/>
      <c r="B97" s="387">
        <f t="shared" si="14"/>
        <v>50</v>
      </c>
      <c r="C97" s="222"/>
      <c r="D97" s="388">
        <f t="shared" si="15"/>
        <v>0.1875</v>
      </c>
      <c r="E97" s="222"/>
      <c r="F97" s="388">
        <f t="shared" si="16"/>
        <v>0.25000000000000006</v>
      </c>
      <c r="G97" s="223">
        <f t="shared" si="17"/>
        <v>0.1</v>
      </c>
      <c r="H97" s="222"/>
      <c r="I97" s="388">
        <f t="shared" si="18"/>
        <v>0.25800000000000001</v>
      </c>
      <c r="J97" s="390">
        <f t="shared" si="19"/>
        <v>0.7955000000000001</v>
      </c>
      <c r="L97" s="405"/>
      <c r="M97" s="137">
        <f t="shared" si="24"/>
        <v>40</v>
      </c>
      <c r="N97" s="277"/>
      <c r="O97" s="180">
        <f t="shared" si="25"/>
        <v>16</v>
      </c>
      <c r="P97" s="406"/>
      <c r="Q97" s="394">
        <f t="shared" si="12"/>
        <v>68380</v>
      </c>
      <c r="R97" s="277"/>
      <c r="S97" s="407">
        <f t="shared" si="26"/>
        <v>1094080</v>
      </c>
      <c r="T97" s="396"/>
      <c r="U97" s="438">
        <f t="shared" si="27"/>
        <v>2.7351999999999999</v>
      </c>
      <c r="V97" s="408"/>
      <c r="W97" s="409"/>
      <c r="X97" s="410">
        <f>'(F Road)'!B14</f>
        <v>40</v>
      </c>
      <c r="Y97" s="162">
        <f t="shared" si="28"/>
        <v>16</v>
      </c>
      <c r="Z97" s="497">
        <v>59000</v>
      </c>
      <c r="AA97" s="412">
        <f t="shared" si="20"/>
        <v>944000</v>
      </c>
      <c r="AB97" s="402">
        <f t="shared" si="21"/>
        <v>2.36</v>
      </c>
      <c r="AC97" s="162">
        <v>53.335000000000001</v>
      </c>
      <c r="AD97" s="411">
        <f t="shared" si="13"/>
        <v>20500</v>
      </c>
      <c r="AE97" s="412">
        <f t="shared" si="22"/>
        <v>328000</v>
      </c>
      <c r="AF97" s="413">
        <f t="shared" si="29"/>
        <v>0.81997437580075616</v>
      </c>
      <c r="AG97" s="414">
        <f t="shared" si="23"/>
        <v>3.1799743758007559</v>
      </c>
      <c r="AH97" s="351"/>
      <c r="AI97" s="351"/>
    </row>
    <row r="98" spans="1:35" ht="19.5" customHeight="1">
      <c r="A98" s="386"/>
      <c r="B98" s="387">
        <f t="shared" si="14"/>
        <v>60</v>
      </c>
      <c r="C98" s="222"/>
      <c r="D98" s="388">
        <f t="shared" si="15"/>
        <v>0.1875</v>
      </c>
      <c r="E98" s="222"/>
      <c r="F98" s="388">
        <f t="shared" si="16"/>
        <v>0.25000000000000006</v>
      </c>
      <c r="G98" s="223">
        <f t="shared" si="17"/>
        <v>0.1</v>
      </c>
      <c r="H98" s="222"/>
      <c r="I98" s="388">
        <f t="shared" si="18"/>
        <v>0.25800000000000001</v>
      </c>
      <c r="J98" s="390">
        <f t="shared" si="19"/>
        <v>0.7955000000000001</v>
      </c>
      <c r="L98" s="405"/>
      <c r="M98" s="137">
        <f t="shared" si="24"/>
        <v>50</v>
      </c>
      <c r="N98" s="277"/>
      <c r="O98" s="180">
        <f t="shared" si="25"/>
        <v>18</v>
      </c>
      <c r="P98" s="406"/>
      <c r="Q98" s="394">
        <f t="shared" si="12"/>
        <v>68380</v>
      </c>
      <c r="R98" s="277"/>
      <c r="S98" s="407">
        <f t="shared" si="26"/>
        <v>1230840</v>
      </c>
      <c r="T98" s="396"/>
      <c r="U98" s="438">
        <f t="shared" si="27"/>
        <v>2.4616799999999999</v>
      </c>
      <c r="V98" s="408"/>
      <c r="W98" s="409"/>
      <c r="X98" s="410">
        <f>'(F Road)'!B15</f>
        <v>50</v>
      </c>
      <c r="Y98" s="162">
        <f t="shared" si="28"/>
        <v>18</v>
      </c>
      <c r="Z98" s="497">
        <v>60000</v>
      </c>
      <c r="AA98" s="412">
        <f t="shared" si="20"/>
        <v>1080000</v>
      </c>
      <c r="AB98" s="402">
        <f t="shared" si="21"/>
        <v>2.16</v>
      </c>
      <c r="AC98" s="162">
        <v>75</v>
      </c>
      <c r="AD98" s="411">
        <f t="shared" si="13"/>
        <v>20500</v>
      </c>
      <c r="AE98" s="412">
        <f t="shared" si="22"/>
        <v>369000</v>
      </c>
      <c r="AF98" s="413">
        <f t="shared" si="29"/>
        <v>0.73799999999999999</v>
      </c>
      <c r="AG98" s="414">
        <f t="shared" si="23"/>
        <v>2.8980000000000001</v>
      </c>
      <c r="AH98" s="351"/>
      <c r="AI98" s="351"/>
    </row>
    <row r="99" spans="1:35" ht="19.5" customHeight="1">
      <c r="A99" s="386"/>
      <c r="B99" s="387">
        <f t="shared" si="14"/>
        <v>70</v>
      </c>
      <c r="C99" s="222"/>
      <c r="D99" s="388">
        <f t="shared" si="15"/>
        <v>0.19791666666666666</v>
      </c>
      <c r="E99" s="222"/>
      <c r="F99" s="388">
        <f t="shared" si="16"/>
        <v>0.25000000000000006</v>
      </c>
      <c r="G99" s="223">
        <f t="shared" si="17"/>
        <v>0.1</v>
      </c>
      <c r="H99" s="222"/>
      <c r="I99" s="388">
        <f t="shared" si="18"/>
        <v>0.25800000000000001</v>
      </c>
      <c r="J99" s="390">
        <f t="shared" si="19"/>
        <v>0.80591666666666673</v>
      </c>
      <c r="L99" s="405"/>
      <c r="M99" s="137">
        <f t="shared" si="24"/>
        <v>60</v>
      </c>
      <c r="N99" s="277"/>
      <c r="O99" s="180">
        <f t="shared" si="25"/>
        <v>18</v>
      </c>
      <c r="P99" s="406"/>
      <c r="Q99" s="394">
        <f t="shared" si="12"/>
        <v>68380</v>
      </c>
      <c r="R99" s="277"/>
      <c r="S99" s="407">
        <f t="shared" si="26"/>
        <v>1230840</v>
      </c>
      <c r="T99" s="396"/>
      <c r="U99" s="438">
        <f t="shared" si="27"/>
        <v>2.0514000000000001</v>
      </c>
      <c r="V99" s="408"/>
      <c r="W99" s="409"/>
      <c r="X99" s="410">
        <f>'(F Road)'!B16</f>
        <v>60</v>
      </c>
      <c r="Y99" s="162">
        <f t="shared" si="28"/>
        <v>18</v>
      </c>
      <c r="Z99" s="497">
        <v>61000</v>
      </c>
      <c r="AA99" s="412">
        <f t="shared" si="20"/>
        <v>1098000</v>
      </c>
      <c r="AB99" s="402">
        <f t="shared" si="21"/>
        <v>1.83</v>
      </c>
      <c r="AC99" s="162">
        <v>90</v>
      </c>
      <c r="AD99" s="411">
        <f t="shared" si="13"/>
        <v>20500</v>
      </c>
      <c r="AE99" s="412">
        <f t="shared" si="22"/>
        <v>369000</v>
      </c>
      <c r="AF99" s="413">
        <f t="shared" si="29"/>
        <v>0.61499999999999999</v>
      </c>
      <c r="AG99" s="414">
        <f t="shared" si="23"/>
        <v>2.4450000000000003</v>
      </c>
      <c r="AI99" s="351"/>
    </row>
    <row r="100" spans="1:35" ht="19.5" customHeight="1">
      <c r="A100" s="386"/>
      <c r="B100" s="387">
        <f t="shared" si="14"/>
        <v>80</v>
      </c>
      <c r="C100" s="222"/>
      <c r="D100" s="388">
        <f t="shared" si="15"/>
        <v>0.20833333333333334</v>
      </c>
      <c r="E100" s="222"/>
      <c r="F100" s="388">
        <f t="shared" si="16"/>
        <v>0.25000000000000006</v>
      </c>
      <c r="G100" s="223">
        <f t="shared" si="17"/>
        <v>0.1</v>
      </c>
      <c r="H100" s="222"/>
      <c r="I100" s="388">
        <f t="shared" si="18"/>
        <v>0.25800000000000001</v>
      </c>
      <c r="J100" s="390">
        <f t="shared" si="19"/>
        <v>0.81633333333333336</v>
      </c>
      <c r="L100" s="405"/>
      <c r="M100" s="137">
        <f t="shared" si="24"/>
        <v>70</v>
      </c>
      <c r="N100" s="277"/>
      <c r="O100" s="180">
        <f t="shared" si="25"/>
        <v>19</v>
      </c>
      <c r="P100" s="406"/>
      <c r="Q100" s="394">
        <f t="shared" ref="Q100:Q108" si="30">$V$36</f>
        <v>72380</v>
      </c>
      <c r="R100" s="277"/>
      <c r="S100" s="407">
        <f t="shared" si="26"/>
        <v>1375220</v>
      </c>
      <c r="T100" s="396"/>
      <c r="U100" s="438">
        <f t="shared" si="27"/>
        <v>1.9645999999999999</v>
      </c>
      <c r="V100" s="408"/>
      <c r="W100" s="409"/>
      <c r="X100" s="410">
        <f>'(F Road)'!B17</f>
        <v>70</v>
      </c>
      <c r="Y100" s="162">
        <f t="shared" si="28"/>
        <v>19</v>
      </c>
      <c r="Z100" s="411">
        <f>$AG$34</f>
        <v>63000</v>
      </c>
      <c r="AA100" s="412">
        <f t="shared" si="20"/>
        <v>1197000</v>
      </c>
      <c r="AB100" s="402">
        <f t="shared" si="21"/>
        <v>1.71</v>
      </c>
      <c r="AC100" s="162">
        <v>110.80500000000001</v>
      </c>
      <c r="AD100" s="411">
        <f t="shared" ref="AD100:AD108" si="31">$AG$43</f>
        <v>23000</v>
      </c>
      <c r="AE100" s="412">
        <f t="shared" si="22"/>
        <v>437000</v>
      </c>
      <c r="AF100" s="413">
        <f t="shared" si="29"/>
        <v>0.62444534693079434</v>
      </c>
      <c r="AG100" s="414">
        <f t="shared" si="23"/>
        <v>2.3344453469307944</v>
      </c>
      <c r="AI100" s="351"/>
    </row>
    <row r="101" spans="1:35" ht="19.5" customHeight="1">
      <c r="A101" s="386"/>
      <c r="B101" s="387">
        <f t="shared" si="14"/>
        <v>90</v>
      </c>
      <c r="C101" s="222"/>
      <c r="D101" s="388">
        <f t="shared" si="15"/>
        <v>0.20833333333333334</v>
      </c>
      <c r="E101" s="222"/>
      <c r="F101" s="388">
        <f t="shared" si="16"/>
        <v>0.25000000000000006</v>
      </c>
      <c r="G101" s="223">
        <f t="shared" si="17"/>
        <v>0.1</v>
      </c>
      <c r="H101" s="222"/>
      <c r="I101" s="388">
        <f t="shared" si="18"/>
        <v>0.25800000000000001</v>
      </c>
      <c r="J101" s="390">
        <f t="shared" si="19"/>
        <v>0.81633333333333336</v>
      </c>
      <c r="L101" s="405"/>
      <c r="M101" s="137">
        <f t="shared" si="24"/>
        <v>80</v>
      </c>
      <c r="N101" s="277"/>
      <c r="O101" s="180">
        <f t="shared" si="25"/>
        <v>20</v>
      </c>
      <c r="P101" s="406"/>
      <c r="Q101" s="394">
        <f t="shared" si="30"/>
        <v>72380</v>
      </c>
      <c r="R101" s="277"/>
      <c r="S101" s="407">
        <f t="shared" si="26"/>
        <v>1447600</v>
      </c>
      <c r="T101" s="396"/>
      <c r="U101" s="438">
        <f t="shared" si="27"/>
        <v>1.8095000000000001</v>
      </c>
      <c r="V101" s="408"/>
      <c r="W101" s="409"/>
      <c r="X101" s="410">
        <f>'(F Road)'!B18</f>
        <v>80</v>
      </c>
      <c r="Y101" s="162">
        <f t="shared" si="28"/>
        <v>20</v>
      </c>
      <c r="Z101" s="497">
        <v>66000</v>
      </c>
      <c r="AA101" s="412">
        <f t="shared" si="20"/>
        <v>1320000</v>
      </c>
      <c r="AB101" s="402">
        <f t="shared" si="21"/>
        <v>1.65</v>
      </c>
      <c r="AC101" s="162">
        <f t="shared" ref="AC101:AC108" si="32">150*3</f>
        <v>450</v>
      </c>
      <c r="AD101" s="411">
        <f t="shared" si="31"/>
        <v>23000</v>
      </c>
      <c r="AE101" s="412">
        <f t="shared" si="22"/>
        <v>460000</v>
      </c>
      <c r="AF101" s="413">
        <f t="shared" si="29"/>
        <v>0.17037037037037039</v>
      </c>
      <c r="AG101" s="414">
        <f t="shared" si="23"/>
        <v>1.8203703703703704</v>
      </c>
      <c r="AI101" s="351"/>
    </row>
    <row r="102" spans="1:35" ht="19.5" customHeight="1">
      <c r="A102" s="386"/>
      <c r="B102" s="387">
        <f t="shared" si="14"/>
        <v>100</v>
      </c>
      <c r="C102" s="222"/>
      <c r="D102" s="388">
        <f t="shared" si="15"/>
        <v>0.20833333333333337</v>
      </c>
      <c r="E102" s="222"/>
      <c r="F102" s="388">
        <f t="shared" si="16"/>
        <v>0.25000000000000006</v>
      </c>
      <c r="G102" s="223">
        <f t="shared" si="17"/>
        <v>0.1</v>
      </c>
      <c r="H102" s="222"/>
      <c r="I102" s="388">
        <f t="shared" si="18"/>
        <v>0.25800000000000001</v>
      </c>
      <c r="J102" s="390">
        <f t="shared" si="19"/>
        <v>0.81633333333333347</v>
      </c>
      <c r="L102" s="405"/>
      <c r="M102" s="137">
        <f t="shared" si="24"/>
        <v>90</v>
      </c>
      <c r="N102" s="277"/>
      <c r="O102" s="180">
        <f t="shared" si="25"/>
        <v>20</v>
      </c>
      <c r="P102" s="406"/>
      <c r="Q102" s="394">
        <f t="shared" si="30"/>
        <v>72380</v>
      </c>
      <c r="R102" s="277"/>
      <c r="S102" s="407">
        <f t="shared" si="26"/>
        <v>1447600</v>
      </c>
      <c r="T102" s="396"/>
      <c r="U102" s="438">
        <f t="shared" si="27"/>
        <v>1.6084444444444443</v>
      </c>
      <c r="V102" s="408"/>
      <c r="W102" s="409"/>
      <c r="X102" s="410">
        <f>'(F Road)'!B19</f>
        <v>90</v>
      </c>
      <c r="Y102" s="162">
        <f t="shared" si="28"/>
        <v>20</v>
      </c>
      <c r="Z102" s="497">
        <v>69000</v>
      </c>
      <c r="AA102" s="412">
        <f t="shared" si="20"/>
        <v>1380000</v>
      </c>
      <c r="AB102" s="402">
        <f t="shared" si="21"/>
        <v>1.5333333333333334</v>
      </c>
      <c r="AC102" s="162">
        <f t="shared" si="32"/>
        <v>450</v>
      </c>
      <c r="AD102" s="411">
        <f t="shared" si="31"/>
        <v>23000</v>
      </c>
      <c r="AE102" s="412">
        <f t="shared" si="22"/>
        <v>460000</v>
      </c>
      <c r="AF102" s="413">
        <f t="shared" si="29"/>
        <v>0.17037037037037039</v>
      </c>
      <c r="AG102" s="414">
        <f t="shared" si="23"/>
        <v>1.7037037037037037</v>
      </c>
      <c r="AI102" s="351"/>
    </row>
    <row r="103" spans="1:35" ht="19.5" customHeight="1">
      <c r="A103" s="386"/>
      <c r="B103" s="387">
        <f t="shared" si="14"/>
        <v>110</v>
      </c>
      <c r="C103" s="222"/>
      <c r="D103" s="388">
        <f t="shared" si="15"/>
        <v>0.21875</v>
      </c>
      <c r="E103" s="222"/>
      <c r="F103" s="388">
        <f t="shared" si="16"/>
        <v>0.25000000000000006</v>
      </c>
      <c r="G103" s="223">
        <f t="shared" si="17"/>
        <v>0.1</v>
      </c>
      <c r="H103" s="222"/>
      <c r="I103" s="388">
        <f t="shared" si="18"/>
        <v>0.25800000000000001</v>
      </c>
      <c r="J103" s="390">
        <f t="shared" si="19"/>
        <v>0.8267500000000001</v>
      </c>
      <c r="L103" s="405"/>
      <c r="M103" s="137">
        <f t="shared" si="24"/>
        <v>100</v>
      </c>
      <c r="N103" s="277"/>
      <c r="O103" s="180">
        <f t="shared" si="25"/>
        <v>20</v>
      </c>
      <c r="P103" s="406"/>
      <c r="Q103" s="394">
        <f t="shared" si="30"/>
        <v>72380</v>
      </c>
      <c r="R103" s="277"/>
      <c r="S103" s="407">
        <f t="shared" si="26"/>
        <v>1447600</v>
      </c>
      <c r="T103" s="396"/>
      <c r="U103" s="438">
        <f t="shared" si="27"/>
        <v>1.4476</v>
      </c>
      <c r="V103" s="408"/>
      <c r="W103" s="409"/>
      <c r="X103" s="410">
        <f>'(F Road)'!B20</f>
        <v>100</v>
      </c>
      <c r="Y103" s="162">
        <f t="shared" si="28"/>
        <v>20</v>
      </c>
      <c r="Z103" s="497">
        <v>72000</v>
      </c>
      <c r="AA103" s="412">
        <f t="shared" si="20"/>
        <v>1440000</v>
      </c>
      <c r="AB103" s="402">
        <f t="shared" si="21"/>
        <v>1.44</v>
      </c>
      <c r="AC103" s="162">
        <f t="shared" si="32"/>
        <v>450</v>
      </c>
      <c r="AD103" s="411">
        <f t="shared" si="31"/>
        <v>23000</v>
      </c>
      <c r="AE103" s="412">
        <f t="shared" si="22"/>
        <v>460000</v>
      </c>
      <c r="AF103" s="413">
        <f t="shared" si="29"/>
        <v>0.17037037037037039</v>
      </c>
      <c r="AG103" s="414">
        <f t="shared" si="23"/>
        <v>1.6103703703703705</v>
      </c>
      <c r="AI103" s="351"/>
    </row>
    <row r="104" spans="1:35" ht="19.5" customHeight="1">
      <c r="A104" s="386"/>
      <c r="B104" s="387">
        <f t="shared" si="14"/>
        <v>120</v>
      </c>
      <c r="C104" s="222"/>
      <c r="D104" s="388">
        <f t="shared" si="15"/>
        <v>0.22916666666666666</v>
      </c>
      <c r="E104" s="222"/>
      <c r="F104" s="388">
        <f t="shared" si="16"/>
        <v>0.25000000000000006</v>
      </c>
      <c r="G104" s="223">
        <f t="shared" si="17"/>
        <v>0.1</v>
      </c>
      <c r="H104" s="222"/>
      <c r="I104" s="388">
        <f t="shared" si="18"/>
        <v>0.25800000000000001</v>
      </c>
      <c r="J104" s="390">
        <f t="shared" si="19"/>
        <v>0.83716666666666673</v>
      </c>
      <c r="L104" s="405"/>
      <c r="M104" s="137">
        <f t="shared" si="24"/>
        <v>110</v>
      </c>
      <c r="N104" s="277"/>
      <c r="O104" s="180">
        <f t="shared" si="25"/>
        <v>21</v>
      </c>
      <c r="P104" s="406"/>
      <c r="Q104" s="394">
        <f t="shared" si="30"/>
        <v>72380</v>
      </c>
      <c r="R104" s="277"/>
      <c r="S104" s="407">
        <f t="shared" si="26"/>
        <v>1519980</v>
      </c>
      <c r="T104" s="396"/>
      <c r="U104" s="438">
        <f t="shared" si="27"/>
        <v>1.3817999999999999</v>
      </c>
      <c r="V104" s="408"/>
      <c r="W104" s="409"/>
      <c r="X104" s="410">
        <f>'(F Road)'!B21</f>
        <v>110</v>
      </c>
      <c r="Y104" s="162">
        <f t="shared" si="28"/>
        <v>21</v>
      </c>
      <c r="Z104" s="497">
        <v>75000</v>
      </c>
      <c r="AA104" s="412">
        <f t="shared" si="20"/>
        <v>1575000</v>
      </c>
      <c r="AB104" s="402">
        <f t="shared" si="21"/>
        <v>1.4318181818181819</v>
      </c>
      <c r="AC104" s="162">
        <f t="shared" si="32"/>
        <v>450</v>
      </c>
      <c r="AD104" s="411">
        <f t="shared" si="31"/>
        <v>23000</v>
      </c>
      <c r="AE104" s="412">
        <f t="shared" si="22"/>
        <v>483000</v>
      </c>
      <c r="AF104" s="413">
        <f t="shared" si="29"/>
        <v>0.18783333333333335</v>
      </c>
      <c r="AG104" s="414">
        <f t="shared" si="23"/>
        <v>1.6196515151515152</v>
      </c>
      <c r="AI104" s="351"/>
    </row>
    <row r="105" spans="1:35" ht="19.5" customHeight="1">
      <c r="A105" s="386"/>
      <c r="B105" s="387">
        <f t="shared" si="14"/>
        <v>130</v>
      </c>
      <c r="C105" s="222"/>
      <c r="D105" s="388">
        <f t="shared" si="15"/>
        <v>0.22916666666666666</v>
      </c>
      <c r="E105" s="222"/>
      <c r="F105" s="388">
        <f t="shared" si="16"/>
        <v>0.25000000000000006</v>
      </c>
      <c r="G105" s="223">
        <f t="shared" si="17"/>
        <v>0.1</v>
      </c>
      <c r="H105" s="222"/>
      <c r="I105" s="388">
        <f t="shared" si="18"/>
        <v>0.25800000000000001</v>
      </c>
      <c r="J105" s="390">
        <f t="shared" si="19"/>
        <v>0.83716666666666673</v>
      </c>
      <c r="L105" s="405"/>
      <c r="M105" s="137">
        <f t="shared" si="24"/>
        <v>120</v>
      </c>
      <c r="N105" s="277"/>
      <c r="O105" s="180">
        <f t="shared" si="25"/>
        <v>22</v>
      </c>
      <c r="P105" s="406"/>
      <c r="Q105" s="394">
        <f t="shared" si="30"/>
        <v>72380</v>
      </c>
      <c r="R105" s="277"/>
      <c r="S105" s="407">
        <f t="shared" si="26"/>
        <v>1592360</v>
      </c>
      <c r="T105" s="396"/>
      <c r="U105" s="438">
        <f t="shared" si="27"/>
        <v>1.3269666666666666</v>
      </c>
      <c r="V105" s="408"/>
      <c r="W105" s="409"/>
      <c r="X105" s="410">
        <f>'(F Road)'!B22</f>
        <v>120</v>
      </c>
      <c r="Y105" s="162">
        <f t="shared" si="28"/>
        <v>22</v>
      </c>
      <c r="Z105" s="497">
        <v>78000</v>
      </c>
      <c r="AA105" s="412">
        <f t="shared" si="20"/>
        <v>1716000</v>
      </c>
      <c r="AB105" s="402">
        <f t="shared" si="21"/>
        <v>1.43</v>
      </c>
      <c r="AC105" s="162">
        <f t="shared" si="32"/>
        <v>450</v>
      </c>
      <c r="AD105" s="411">
        <f t="shared" si="31"/>
        <v>23000</v>
      </c>
      <c r="AE105" s="412">
        <f t="shared" si="22"/>
        <v>506000</v>
      </c>
      <c r="AF105" s="413">
        <f t="shared" si="29"/>
        <v>0.20614814814814814</v>
      </c>
      <c r="AG105" s="414">
        <f t="shared" si="23"/>
        <v>1.6361481481481481</v>
      </c>
      <c r="AI105" s="351"/>
    </row>
    <row r="106" spans="1:35" ht="19.5" customHeight="1">
      <c r="A106" s="386"/>
      <c r="B106" s="387">
        <f t="shared" si="14"/>
        <v>140</v>
      </c>
      <c r="C106" s="222"/>
      <c r="D106" s="388">
        <f t="shared" si="15"/>
        <v>0.22916666666666666</v>
      </c>
      <c r="E106" s="222"/>
      <c r="F106" s="388">
        <f t="shared" si="16"/>
        <v>0.25000000000000006</v>
      </c>
      <c r="G106" s="223">
        <f t="shared" si="17"/>
        <v>0.1</v>
      </c>
      <c r="H106" s="222"/>
      <c r="I106" s="388">
        <f t="shared" si="18"/>
        <v>0.25800000000000001</v>
      </c>
      <c r="J106" s="390">
        <f t="shared" si="19"/>
        <v>0.83716666666666673</v>
      </c>
      <c r="L106" s="405"/>
      <c r="M106" s="137">
        <f t="shared" si="24"/>
        <v>130</v>
      </c>
      <c r="N106" s="277"/>
      <c r="O106" s="180">
        <f t="shared" si="25"/>
        <v>22</v>
      </c>
      <c r="P106" s="406"/>
      <c r="Q106" s="394">
        <f t="shared" si="30"/>
        <v>72380</v>
      </c>
      <c r="R106" s="277"/>
      <c r="S106" s="407">
        <f t="shared" si="26"/>
        <v>1592360</v>
      </c>
      <c r="T106" s="396"/>
      <c r="U106" s="438">
        <f t="shared" si="27"/>
        <v>1.2248923076923077</v>
      </c>
      <c r="V106" s="408"/>
      <c r="W106" s="409"/>
      <c r="X106" s="410">
        <f>'(F Road)'!B23</f>
        <v>130</v>
      </c>
      <c r="Y106" s="162">
        <f t="shared" si="28"/>
        <v>22</v>
      </c>
      <c r="Z106" s="497">
        <v>81000</v>
      </c>
      <c r="AA106" s="412">
        <f t="shared" si="20"/>
        <v>1782000</v>
      </c>
      <c r="AB106" s="402">
        <f t="shared" si="21"/>
        <v>1.3707692307692307</v>
      </c>
      <c r="AC106" s="162">
        <f t="shared" si="32"/>
        <v>450</v>
      </c>
      <c r="AD106" s="411">
        <f t="shared" si="31"/>
        <v>23000</v>
      </c>
      <c r="AE106" s="412">
        <f t="shared" si="22"/>
        <v>506000</v>
      </c>
      <c r="AF106" s="413">
        <f t="shared" si="29"/>
        <v>0.20614814814814814</v>
      </c>
      <c r="AG106" s="414">
        <f t="shared" si="23"/>
        <v>1.5769173789173789</v>
      </c>
      <c r="AI106" s="351"/>
    </row>
    <row r="107" spans="1:35" ht="19.5" customHeight="1">
      <c r="A107" s="386"/>
      <c r="B107" s="387">
        <f t="shared" si="14"/>
        <v>150</v>
      </c>
      <c r="C107" s="222"/>
      <c r="D107" s="388">
        <f t="shared" si="15"/>
        <v>0.22916666666666666</v>
      </c>
      <c r="E107" s="222"/>
      <c r="F107" s="388">
        <f t="shared" si="16"/>
        <v>0.25000000000000006</v>
      </c>
      <c r="G107" s="223">
        <f t="shared" si="17"/>
        <v>0.1</v>
      </c>
      <c r="H107" s="222"/>
      <c r="I107" s="388">
        <f t="shared" si="18"/>
        <v>0.25800000000000001</v>
      </c>
      <c r="J107" s="390">
        <f t="shared" si="19"/>
        <v>0.83716666666666673</v>
      </c>
      <c r="L107" s="405"/>
      <c r="M107" s="137">
        <f t="shared" si="24"/>
        <v>140</v>
      </c>
      <c r="N107" s="277"/>
      <c r="O107" s="180">
        <f t="shared" si="25"/>
        <v>22</v>
      </c>
      <c r="P107" s="406"/>
      <c r="Q107" s="394">
        <f t="shared" si="30"/>
        <v>72380</v>
      </c>
      <c r="R107" s="277"/>
      <c r="S107" s="407">
        <f t="shared" si="26"/>
        <v>1592360</v>
      </c>
      <c r="T107" s="396"/>
      <c r="U107" s="438">
        <f t="shared" si="27"/>
        <v>1.1374</v>
      </c>
      <c r="V107" s="408"/>
      <c r="W107" s="409"/>
      <c r="X107" s="410">
        <f>'(F Road)'!B24</f>
        <v>140</v>
      </c>
      <c r="Y107" s="162">
        <f t="shared" si="28"/>
        <v>22</v>
      </c>
      <c r="Z107" s="497">
        <v>84000</v>
      </c>
      <c r="AA107" s="412">
        <f t="shared" si="20"/>
        <v>1848000</v>
      </c>
      <c r="AB107" s="402">
        <f t="shared" si="21"/>
        <v>1.32</v>
      </c>
      <c r="AC107" s="162">
        <f t="shared" si="32"/>
        <v>450</v>
      </c>
      <c r="AD107" s="411">
        <f t="shared" si="31"/>
        <v>23000</v>
      </c>
      <c r="AE107" s="412">
        <f t="shared" si="22"/>
        <v>506000</v>
      </c>
      <c r="AF107" s="413">
        <f t="shared" si="29"/>
        <v>0.20614814814814814</v>
      </c>
      <c r="AG107" s="414">
        <f t="shared" si="23"/>
        <v>1.5261481481481483</v>
      </c>
      <c r="AI107" s="351"/>
    </row>
    <row r="108" spans="1:35" ht="19.5" customHeight="1">
      <c r="A108" s="386"/>
      <c r="B108" s="387">
        <f t="shared" si="14"/>
        <v>160</v>
      </c>
      <c r="C108" s="222"/>
      <c r="D108" s="388">
        <f t="shared" si="15"/>
        <v>0.22916666666666666</v>
      </c>
      <c r="E108" s="222"/>
      <c r="F108" s="388">
        <f t="shared" si="16"/>
        <v>0.25000000000000006</v>
      </c>
      <c r="G108" s="223">
        <f t="shared" si="17"/>
        <v>0.1</v>
      </c>
      <c r="H108" s="222"/>
      <c r="I108" s="388">
        <f t="shared" si="18"/>
        <v>0.25800000000000001</v>
      </c>
      <c r="J108" s="390">
        <f t="shared" si="19"/>
        <v>0.83716666666666673</v>
      </c>
      <c r="L108" s="405"/>
      <c r="M108" s="137">
        <f t="shared" si="24"/>
        <v>150</v>
      </c>
      <c r="N108" s="277"/>
      <c r="O108" s="180">
        <f t="shared" si="25"/>
        <v>22</v>
      </c>
      <c r="P108" s="406"/>
      <c r="Q108" s="394">
        <f t="shared" si="30"/>
        <v>72380</v>
      </c>
      <c r="R108" s="277"/>
      <c r="S108" s="407">
        <f t="shared" si="26"/>
        <v>1592360</v>
      </c>
      <c r="T108" s="396"/>
      <c r="U108" s="438">
        <f t="shared" si="27"/>
        <v>1.0615733333333333</v>
      </c>
      <c r="V108" s="408"/>
      <c r="W108" s="409"/>
      <c r="X108" s="410">
        <f>'(F Road)'!B25</f>
        <v>150</v>
      </c>
      <c r="Y108" s="162">
        <f t="shared" si="28"/>
        <v>22</v>
      </c>
      <c r="Z108" s="497">
        <v>87000</v>
      </c>
      <c r="AA108" s="412">
        <f t="shared" si="20"/>
        <v>1914000</v>
      </c>
      <c r="AB108" s="402">
        <f t="shared" si="21"/>
        <v>1.276</v>
      </c>
      <c r="AC108" s="162">
        <f t="shared" si="32"/>
        <v>450</v>
      </c>
      <c r="AD108" s="411">
        <f t="shared" si="31"/>
        <v>23000</v>
      </c>
      <c r="AE108" s="412">
        <f t="shared" si="22"/>
        <v>506000</v>
      </c>
      <c r="AF108" s="413">
        <f t="shared" si="29"/>
        <v>0.20614814814814814</v>
      </c>
      <c r="AG108" s="414">
        <f t="shared" si="23"/>
        <v>1.4821481481481482</v>
      </c>
      <c r="AI108" s="351"/>
    </row>
    <row r="109" spans="1:35" ht="19.5" customHeight="1">
      <c r="A109" s="386"/>
      <c r="B109" s="387">
        <f t="shared" si="14"/>
        <v>170</v>
      </c>
      <c r="C109" s="222"/>
      <c r="D109" s="388">
        <f t="shared" si="15"/>
        <v>0.22916666666666663</v>
      </c>
      <c r="E109" s="222"/>
      <c r="F109" s="388">
        <f t="shared" si="16"/>
        <v>0.25000000000000006</v>
      </c>
      <c r="G109" s="223">
        <f t="shared" si="17"/>
        <v>0.1</v>
      </c>
      <c r="H109" s="222"/>
      <c r="I109" s="388">
        <f t="shared" si="18"/>
        <v>0.25800000000000001</v>
      </c>
      <c r="J109" s="390">
        <f t="shared" si="19"/>
        <v>0.83716666666666673</v>
      </c>
      <c r="L109" s="405"/>
      <c r="M109" s="137">
        <f t="shared" si="24"/>
        <v>160</v>
      </c>
      <c r="N109" s="277"/>
      <c r="O109" s="180">
        <f t="shared" si="25"/>
        <v>22</v>
      </c>
      <c r="P109" s="406"/>
      <c r="Q109" s="394">
        <f>$V$59</f>
        <v>78180</v>
      </c>
      <c r="R109" s="277"/>
      <c r="S109" s="407">
        <f t="shared" si="26"/>
        <v>1719960</v>
      </c>
      <c r="T109" s="396"/>
      <c r="U109" s="438">
        <f t="shared" si="27"/>
        <v>1.074975</v>
      </c>
      <c r="V109" s="408"/>
      <c r="W109" s="409"/>
      <c r="X109" s="410">
        <f>'(F Road)'!B26</f>
        <v>160</v>
      </c>
      <c r="Y109" s="162">
        <f t="shared" si="28"/>
        <v>22</v>
      </c>
      <c r="Z109" s="411">
        <f>$AG$56</f>
        <v>88000</v>
      </c>
      <c r="AA109" s="412">
        <f t="shared" si="20"/>
        <v>1936000</v>
      </c>
      <c r="AB109" s="402">
        <f t="shared" si="21"/>
        <v>1.21</v>
      </c>
      <c r="AC109" s="162">
        <f>300*3</f>
        <v>900</v>
      </c>
      <c r="AD109" s="497">
        <v>27000</v>
      </c>
      <c r="AE109" s="412">
        <f t="shared" si="22"/>
        <v>594000</v>
      </c>
      <c r="AF109" s="413">
        <f t="shared" si="29"/>
        <v>0.121</v>
      </c>
      <c r="AG109" s="414">
        <f t="shared" si="23"/>
        <v>1.331</v>
      </c>
      <c r="AI109" s="351"/>
    </row>
    <row r="110" spans="1:35" ht="19.5" customHeight="1">
      <c r="A110" s="386"/>
      <c r="B110" s="387">
        <f t="shared" si="14"/>
        <v>180</v>
      </c>
      <c r="C110" s="222"/>
      <c r="D110" s="388">
        <f t="shared" si="15"/>
        <v>0.22916666666666666</v>
      </c>
      <c r="E110" s="222"/>
      <c r="F110" s="388">
        <f t="shared" si="16"/>
        <v>0.25000000000000006</v>
      </c>
      <c r="G110" s="223">
        <f t="shared" si="17"/>
        <v>0.1</v>
      </c>
      <c r="H110" s="222"/>
      <c r="I110" s="388">
        <f t="shared" si="18"/>
        <v>0.25800000000000001</v>
      </c>
      <c r="J110" s="390">
        <f t="shared" si="19"/>
        <v>0.83716666666666673</v>
      </c>
      <c r="L110" s="405"/>
      <c r="M110" s="137">
        <f t="shared" si="24"/>
        <v>170</v>
      </c>
      <c r="N110" s="277"/>
      <c r="O110" s="180">
        <f t="shared" si="25"/>
        <v>22</v>
      </c>
      <c r="P110" s="406"/>
      <c r="Q110" s="494">
        <v>80680</v>
      </c>
      <c r="R110" s="277"/>
      <c r="S110" s="407">
        <f t="shared" si="26"/>
        <v>1774960</v>
      </c>
      <c r="T110" s="396"/>
      <c r="U110" s="438">
        <f t="shared" si="27"/>
        <v>1.0440941176470588</v>
      </c>
      <c r="V110" s="408"/>
      <c r="W110" s="409"/>
      <c r="X110" s="410">
        <f>'(F Road)'!B27</f>
        <v>170</v>
      </c>
      <c r="Y110" s="162">
        <f t="shared" si="28"/>
        <v>22</v>
      </c>
      <c r="Z110" s="497">
        <v>88800</v>
      </c>
      <c r="AA110" s="412">
        <f t="shared" si="20"/>
        <v>1953600</v>
      </c>
      <c r="AB110" s="402">
        <f t="shared" si="21"/>
        <v>1.1491764705882352</v>
      </c>
      <c r="AC110" s="162">
        <f t="shared" ref="AC110:AC123" si="33">300*3</f>
        <v>900</v>
      </c>
      <c r="AD110" s="411">
        <f t="shared" ref="AD110:AD123" si="34">$AG$65</f>
        <v>29000</v>
      </c>
      <c r="AE110" s="412">
        <f t="shared" si="22"/>
        <v>638000</v>
      </c>
      <c r="AF110" s="413">
        <f t="shared" si="29"/>
        <v>0.12996296296296295</v>
      </c>
      <c r="AG110" s="414">
        <f t="shared" si="23"/>
        <v>1.2791394335511983</v>
      </c>
      <c r="AI110" s="351"/>
    </row>
    <row r="111" spans="1:35" ht="19.5" customHeight="1">
      <c r="A111" s="386"/>
      <c r="B111" s="387">
        <f t="shared" si="14"/>
        <v>190</v>
      </c>
      <c r="C111" s="222"/>
      <c r="D111" s="388">
        <f t="shared" si="15"/>
        <v>0.23958333333333334</v>
      </c>
      <c r="E111" s="222"/>
      <c r="F111" s="388">
        <f t="shared" si="16"/>
        <v>0.25000000000000006</v>
      </c>
      <c r="G111" s="223">
        <f t="shared" si="17"/>
        <v>0.1</v>
      </c>
      <c r="H111" s="222"/>
      <c r="I111" s="388">
        <f t="shared" si="18"/>
        <v>0.25800000000000001</v>
      </c>
      <c r="J111" s="390">
        <f t="shared" si="19"/>
        <v>0.84758333333333336</v>
      </c>
      <c r="L111" s="405"/>
      <c r="M111" s="137">
        <f t="shared" si="24"/>
        <v>180</v>
      </c>
      <c r="N111" s="277"/>
      <c r="O111" s="180">
        <f t="shared" si="25"/>
        <v>22</v>
      </c>
      <c r="P111" s="406"/>
      <c r="Q111" s="494">
        <v>83180</v>
      </c>
      <c r="R111" s="277"/>
      <c r="S111" s="407">
        <f t="shared" si="26"/>
        <v>1829960</v>
      </c>
      <c r="T111" s="396"/>
      <c r="U111" s="438">
        <f t="shared" si="27"/>
        <v>1.0166444444444445</v>
      </c>
      <c r="V111" s="408"/>
      <c r="W111" s="409"/>
      <c r="X111" s="410">
        <f>'(F Road)'!B28</f>
        <v>180</v>
      </c>
      <c r="Y111" s="162">
        <f t="shared" si="28"/>
        <v>22</v>
      </c>
      <c r="Z111" s="497">
        <v>89600</v>
      </c>
      <c r="AA111" s="412">
        <f t="shared" si="20"/>
        <v>1971200</v>
      </c>
      <c r="AB111" s="402">
        <f t="shared" si="21"/>
        <v>1.0951111111111111</v>
      </c>
      <c r="AC111" s="162">
        <f t="shared" si="33"/>
        <v>900</v>
      </c>
      <c r="AD111" s="411">
        <f t="shared" si="34"/>
        <v>29000</v>
      </c>
      <c r="AE111" s="412">
        <f t="shared" si="22"/>
        <v>638000</v>
      </c>
      <c r="AF111" s="413">
        <f t="shared" si="29"/>
        <v>0.12996296296296295</v>
      </c>
      <c r="AG111" s="414">
        <f t="shared" si="23"/>
        <v>1.2250740740740742</v>
      </c>
      <c r="AI111" s="351"/>
    </row>
    <row r="112" spans="1:35" ht="19.5" customHeight="1">
      <c r="A112" s="386"/>
      <c r="B112" s="387">
        <f t="shared" si="14"/>
        <v>200</v>
      </c>
      <c r="C112" s="222"/>
      <c r="D112" s="388">
        <f t="shared" si="15"/>
        <v>0.23958333333333337</v>
      </c>
      <c r="E112" s="222"/>
      <c r="F112" s="388">
        <f t="shared" si="16"/>
        <v>0.25000000000000006</v>
      </c>
      <c r="G112" s="223">
        <f t="shared" si="17"/>
        <v>0.1</v>
      </c>
      <c r="H112" s="222"/>
      <c r="I112" s="388">
        <f t="shared" si="18"/>
        <v>0.25800000000000001</v>
      </c>
      <c r="J112" s="390">
        <f t="shared" si="19"/>
        <v>0.84758333333333347</v>
      </c>
      <c r="L112" s="405"/>
      <c r="M112" s="137">
        <f t="shared" si="24"/>
        <v>190</v>
      </c>
      <c r="N112" s="277"/>
      <c r="O112" s="180">
        <f t="shared" si="25"/>
        <v>23</v>
      </c>
      <c r="P112" s="406"/>
      <c r="Q112" s="494">
        <v>85680</v>
      </c>
      <c r="R112" s="277"/>
      <c r="S112" s="407">
        <f t="shared" si="26"/>
        <v>1970640</v>
      </c>
      <c r="T112" s="396"/>
      <c r="U112" s="438">
        <f t="shared" si="27"/>
        <v>1.037178947368421</v>
      </c>
      <c r="V112" s="408"/>
      <c r="W112" s="409"/>
      <c r="X112" s="410">
        <f>'(F Road)'!B29</f>
        <v>190</v>
      </c>
      <c r="Y112" s="162">
        <f t="shared" si="28"/>
        <v>23</v>
      </c>
      <c r="Z112" s="497">
        <v>90400</v>
      </c>
      <c r="AA112" s="412">
        <f t="shared" si="20"/>
        <v>2079200</v>
      </c>
      <c r="AB112" s="402">
        <f t="shared" si="21"/>
        <v>1.0943157894736841</v>
      </c>
      <c r="AC112" s="162">
        <f t="shared" si="33"/>
        <v>900</v>
      </c>
      <c r="AD112" s="411">
        <f t="shared" si="34"/>
        <v>29000</v>
      </c>
      <c r="AE112" s="412">
        <f t="shared" si="22"/>
        <v>667000</v>
      </c>
      <c r="AF112" s="413">
        <f t="shared" si="29"/>
        <v>0.14204629629629631</v>
      </c>
      <c r="AG112" s="414">
        <f t="shared" si="23"/>
        <v>1.2363620857699804</v>
      </c>
      <c r="AI112" s="351"/>
    </row>
    <row r="113" spans="1:35" ht="19.5" customHeight="1">
      <c r="A113" s="386"/>
      <c r="B113" s="387">
        <f t="shared" si="14"/>
        <v>210</v>
      </c>
      <c r="C113" s="222"/>
      <c r="D113" s="388">
        <f t="shared" si="15"/>
        <v>0.23958333333333334</v>
      </c>
      <c r="E113" s="222"/>
      <c r="F113" s="388">
        <f t="shared" si="16"/>
        <v>0.25000000000000006</v>
      </c>
      <c r="G113" s="223">
        <f t="shared" si="17"/>
        <v>0.1</v>
      </c>
      <c r="H113" s="222"/>
      <c r="I113" s="388">
        <f t="shared" si="18"/>
        <v>0.25800000000000001</v>
      </c>
      <c r="J113" s="390">
        <f t="shared" si="19"/>
        <v>0.84758333333333336</v>
      </c>
      <c r="L113" s="405"/>
      <c r="M113" s="137">
        <f t="shared" si="24"/>
        <v>200</v>
      </c>
      <c r="N113" s="277"/>
      <c r="O113" s="180">
        <f t="shared" si="25"/>
        <v>23</v>
      </c>
      <c r="P113" s="406"/>
      <c r="Q113" s="494">
        <f>$V$59+10000</f>
        <v>88180</v>
      </c>
      <c r="R113" s="277"/>
      <c r="S113" s="407">
        <f t="shared" si="26"/>
        <v>2028140</v>
      </c>
      <c r="T113" s="396"/>
      <c r="U113" s="438">
        <f t="shared" si="27"/>
        <v>1.01407</v>
      </c>
      <c r="V113" s="408"/>
      <c r="W113" s="409"/>
      <c r="X113" s="410">
        <f>'(F Road)'!B30</f>
        <v>200</v>
      </c>
      <c r="Y113" s="162">
        <f t="shared" si="28"/>
        <v>23</v>
      </c>
      <c r="Z113" s="497">
        <v>91200</v>
      </c>
      <c r="AA113" s="412">
        <f t="shared" si="20"/>
        <v>2097600</v>
      </c>
      <c r="AB113" s="402">
        <f t="shared" si="21"/>
        <v>1.0488</v>
      </c>
      <c r="AC113" s="162">
        <f t="shared" si="33"/>
        <v>900</v>
      </c>
      <c r="AD113" s="411">
        <f t="shared" si="34"/>
        <v>29000</v>
      </c>
      <c r="AE113" s="412">
        <f t="shared" si="22"/>
        <v>667000</v>
      </c>
      <c r="AF113" s="413">
        <f t="shared" si="29"/>
        <v>0.14204629629629631</v>
      </c>
      <c r="AG113" s="414">
        <f t="shared" si="23"/>
        <v>1.1908462962962962</v>
      </c>
      <c r="AI113" s="351"/>
    </row>
    <row r="114" spans="1:35" ht="19.5" customHeight="1">
      <c r="A114" s="386"/>
      <c r="B114" s="387">
        <f t="shared" si="14"/>
        <v>220</v>
      </c>
      <c r="C114" s="222"/>
      <c r="D114" s="388">
        <f t="shared" si="15"/>
        <v>0.23958333333333334</v>
      </c>
      <c r="E114" s="222"/>
      <c r="F114" s="388">
        <f t="shared" si="16"/>
        <v>0.25000000000000006</v>
      </c>
      <c r="G114" s="223">
        <f t="shared" si="17"/>
        <v>0.1</v>
      </c>
      <c r="H114" s="222"/>
      <c r="I114" s="388">
        <f t="shared" si="18"/>
        <v>0.25800000000000001</v>
      </c>
      <c r="J114" s="390">
        <f t="shared" si="19"/>
        <v>0.84758333333333336</v>
      </c>
      <c r="L114" s="405"/>
      <c r="M114" s="137">
        <f t="shared" si="24"/>
        <v>210</v>
      </c>
      <c r="N114" s="277"/>
      <c r="O114" s="180">
        <f t="shared" si="25"/>
        <v>23</v>
      </c>
      <c r="P114" s="406"/>
      <c r="Q114" s="494">
        <v>90680</v>
      </c>
      <c r="R114" s="277"/>
      <c r="S114" s="407">
        <f t="shared" si="26"/>
        <v>2085640</v>
      </c>
      <c r="T114" s="396"/>
      <c r="U114" s="438">
        <f t="shared" si="27"/>
        <v>0.9931619047619048</v>
      </c>
      <c r="V114" s="408"/>
      <c r="W114" s="409"/>
      <c r="X114" s="410">
        <f>'(F Road)'!B31</f>
        <v>210</v>
      </c>
      <c r="Y114" s="162">
        <f t="shared" si="28"/>
        <v>23</v>
      </c>
      <c r="Z114" s="497">
        <v>92000</v>
      </c>
      <c r="AA114" s="412">
        <f t="shared" si="20"/>
        <v>2116000</v>
      </c>
      <c r="AB114" s="402">
        <f t="shared" si="21"/>
        <v>1.0076190476190476</v>
      </c>
      <c r="AC114" s="162">
        <f t="shared" si="33"/>
        <v>900</v>
      </c>
      <c r="AD114" s="411">
        <f t="shared" si="34"/>
        <v>29000</v>
      </c>
      <c r="AE114" s="412">
        <f t="shared" si="22"/>
        <v>667000</v>
      </c>
      <c r="AF114" s="413">
        <f t="shared" si="29"/>
        <v>0.14204629629629631</v>
      </c>
      <c r="AG114" s="414">
        <f t="shared" si="23"/>
        <v>1.1496653439153439</v>
      </c>
      <c r="AI114" s="351"/>
    </row>
    <row r="115" spans="1:35" ht="19.5" customHeight="1">
      <c r="A115" s="386"/>
      <c r="B115" s="387">
        <f t="shared" si="14"/>
        <v>230</v>
      </c>
      <c r="C115" s="222"/>
      <c r="D115" s="388">
        <f t="shared" si="15"/>
        <v>0.23958333333333334</v>
      </c>
      <c r="E115" s="222"/>
      <c r="F115" s="388">
        <f t="shared" si="16"/>
        <v>0.25000000000000006</v>
      </c>
      <c r="G115" s="223">
        <f t="shared" si="17"/>
        <v>0.1</v>
      </c>
      <c r="H115" s="222"/>
      <c r="I115" s="388">
        <f t="shared" si="18"/>
        <v>0.25800000000000001</v>
      </c>
      <c r="J115" s="390">
        <f t="shared" si="19"/>
        <v>0.84758333333333336</v>
      </c>
      <c r="L115" s="405"/>
      <c r="M115" s="137">
        <f t="shared" si="24"/>
        <v>220</v>
      </c>
      <c r="N115" s="277"/>
      <c r="O115" s="180">
        <f t="shared" si="25"/>
        <v>23</v>
      </c>
      <c r="P115" s="406"/>
      <c r="Q115" s="494">
        <v>93180</v>
      </c>
      <c r="R115" s="277"/>
      <c r="S115" s="407">
        <f t="shared" si="26"/>
        <v>2143140</v>
      </c>
      <c r="T115" s="396"/>
      <c r="U115" s="438">
        <f t="shared" si="27"/>
        <v>0.9741545454545455</v>
      </c>
      <c r="V115" s="408"/>
      <c r="W115" s="409"/>
      <c r="X115" s="410">
        <f>'(F Road)'!B32</f>
        <v>220</v>
      </c>
      <c r="Y115" s="162">
        <f t="shared" si="28"/>
        <v>23</v>
      </c>
      <c r="Z115" s="497">
        <v>92800</v>
      </c>
      <c r="AA115" s="412">
        <f t="shared" si="20"/>
        <v>2134400</v>
      </c>
      <c r="AB115" s="402">
        <f t="shared" si="21"/>
        <v>0.97018181818181815</v>
      </c>
      <c r="AC115" s="162">
        <f t="shared" si="33"/>
        <v>900</v>
      </c>
      <c r="AD115" s="411">
        <f t="shared" si="34"/>
        <v>29000</v>
      </c>
      <c r="AE115" s="412">
        <f t="shared" si="22"/>
        <v>667000</v>
      </c>
      <c r="AF115" s="413">
        <f t="shared" si="29"/>
        <v>0.14204629629629631</v>
      </c>
      <c r="AG115" s="414">
        <f t="shared" si="23"/>
        <v>1.1122281144781145</v>
      </c>
      <c r="AI115" s="351"/>
    </row>
    <row r="116" spans="1:35" ht="19.5" customHeight="1">
      <c r="A116" s="386"/>
      <c r="B116" s="387">
        <f t="shared" si="14"/>
        <v>240</v>
      </c>
      <c r="C116" s="222"/>
      <c r="D116" s="388">
        <f t="shared" si="15"/>
        <v>0.23958333333333334</v>
      </c>
      <c r="E116" s="222"/>
      <c r="F116" s="388">
        <f t="shared" si="16"/>
        <v>0.25000000000000006</v>
      </c>
      <c r="G116" s="223">
        <f t="shared" si="17"/>
        <v>0.1</v>
      </c>
      <c r="H116" s="222"/>
      <c r="I116" s="388">
        <f t="shared" si="18"/>
        <v>0.25800000000000001</v>
      </c>
      <c r="J116" s="390">
        <f t="shared" si="19"/>
        <v>0.84758333333333336</v>
      </c>
      <c r="L116" s="405"/>
      <c r="M116" s="137">
        <f t="shared" si="24"/>
        <v>230</v>
      </c>
      <c r="N116" s="277"/>
      <c r="O116" s="180">
        <f t="shared" si="25"/>
        <v>23</v>
      </c>
      <c r="P116" s="406"/>
      <c r="Q116" s="494">
        <v>95680</v>
      </c>
      <c r="R116" s="277"/>
      <c r="S116" s="407">
        <f t="shared" si="26"/>
        <v>2200640</v>
      </c>
      <c r="T116" s="396"/>
      <c r="U116" s="438">
        <f t="shared" si="27"/>
        <v>0.95679999999999998</v>
      </c>
      <c r="V116" s="408"/>
      <c r="W116" s="409"/>
      <c r="X116" s="410">
        <f>'(F Road)'!B33</f>
        <v>230</v>
      </c>
      <c r="Y116" s="162">
        <f t="shared" si="28"/>
        <v>23</v>
      </c>
      <c r="Z116" s="497">
        <v>93600</v>
      </c>
      <c r="AA116" s="412">
        <f t="shared" si="20"/>
        <v>2152800</v>
      </c>
      <c r="AB116" s="402">
        <f t="shared" si="21"/>
        <v>0.93600000000000005</v>
      </c>
      <c r="AC116" s="162">
        <f t="shared" si="33"/>
        <v>900</v>
      </c>
      <c r="AD116" s="411">
        <f t="shared" si="34"/>
        <v>29000</v>
      </c>
      <c r="AE116" s="412">
        <f t="shared" si="22"/>
        <v>667000</v>
      </c>
      <c r="AF116" s="413">
        <f t="shared" si="29"/>
        <v>0.14204629629629631</v>
      </c>
      <c r="AG116" s="414">
        <f t="shared" si="23"/>
        <v>1.0780462962962964</v>
      </c>
      <c r="AI116" s="351"/>
    </row>
    <row r="117" spans="1:35" ht="19.5" customHeight="1">
      <c r="A117" s="386"/>
      <c r="B117" s="387">
        <f t="shared" si="14"/>
        <v>250</v>
      </c>
      <c r="C117" s="222"/>
      <c r="D117" s="388">
        <f t="shared" si="15"/>
        <v>0.23958333333333334</v>
      </c>
      <c r="E117" s="222"/>
      <c r="F117" s="388">
        <f t="shared" si="16"/>
        <v>0.25000000000000006</v>
      </c>
      <c r="G117" s="223">
        <f t="shared" si="17"/>
        <v>0.1</v>
      </c>
      <c r="H117" s="222"/>
      <c r="I117" s="388">
        <f t="shared" si="18"/>
        <v>0.25800000000000001</v>
      </c>
      <c r="J117" s="390">
        <f t="shared" si="19"/>
        <v>0.84758333333333336</v>
      </c>
      <c r="L117" s="405"/>
      <c r="M117" s="137">
        <f t="shared" si="24"/>
        <v>240</v>
      </c>
      <c r="N117" s="277"/>
      <c r="O117" s="180">
        <f t="shared" si="25"/>
        <v>23</v>
      </c>
      <c r="P117" s="406"/>
      <c r="Q117" s="494">
        <v>98180</v>
      </c>
      <c r="R117" s="277"/>
      <c r="S117" s="407">
        <f t="shared" si="26"/>
        <v>2258140</v>
      </c>
      <c r="T117" s="396"/>
      <c r="U117" s="438">
        <f t="shared" si="27"/>
        <v>0.94089166666666668</v>
      </c>
      <c r="V117" s="408"/>
      <c r="W117" s="409"/>
      <c r="X117" s="410">
        <f>'(F Road)'!B34</f>
        <v>240</v>
      </c>
      <c r="Y117" s="162">
        <f t="shared" si="28"/>
        <v>23</v>
      </c>
      <c r="Z117" s="497">
        <v>94400</v>
      </c>
      <c r="AA117" s="412">
        <f t="shared" si="20"/>
        <v>2171200</v>
      </c>
      <c r="AB117" s="402">
        <f t="shared" si="21"/>
        <v>0.90466666666666662</v>
      </c>
      <c r="AC117" s="162">
        <f t="shared" si="33"/>
        <v>900</v>
      </c>
      <c r="AD117" s="411">
        <f t="shared" si="34"/>
        <v>29000</v>
      </c>
      <c r="AE117" s="412">
        <f t="shared" si="22"/>
        <v>667000</v>
      </c>
      <c r="AF117" s="413">
        <f t="shared" si="29"/>
        <v>0.14204629629629631</v>
      </c>
      <c r="AG117" s="414">
        <f t="shared" si="23"/>
        <v>1.046712962962963</v>
      </c>
      <c r="AI117" s="351"/>
    </row>
    <row r="118" spans="1:35" ht="19.5" customHeight="1">
      <c r="A118" s="386"/>
      <c r="B118" s="387">
        <f t="shared" si="14"/>
        <v>260</v>
      </c>
      <c r="C118" s="222"/>
      <c r="D118" s="388">
        <f t="shared" si="15"/>
        <v>0.23958333333333334</v>
      </c>
      <c r="E118" s="222"/>
      <c r="F118" s="388">
        <f t="shared" si="16"/>
        <v>0.25000000000000006</v>
      </c>
      <c r="G118" s="223">
        <f t="shared" si="17"/>
        <v>0.1</v>
      </c>
      <c r="H118" s="222"/>
      <c r="I118" s="388">
        <f t="shared" si="18"/>
        <v>0.25800000000000001</v>
      </c>
      <c r="J118" s="390">
        <f t="shared" si="19"/>
        <v>0.84758333333333336</v>
      </c>
      <c r="L118" s="405"/>
      <c r="M118" s="137">
        <f t="shared" si="24"/>
        <v>250</v>
      </c>
      <c r="N118" s="277"/>
      <c r="O118" s="180">
        <f t="shared" si="25"/>
        <v>23</v>
      </c>
      <c r="P118" s="406"/>
      <c r="Q118" s="494">
        <v>100680</v>
      </c>
      <c r="R118" s="277"/>
      <c r="S118" s="407">
        <f t="shared" si="26"/>
        <v>2315640</v>
      </c>
      <c r="T118" s="396"/>
      <c r="U118" s="438">
        <f t="shared" si="27"/>
        <v>0.92625599999999997</v>
      </c>
      <c r="V118" s="408"/>
      <c r="W118" s="409"/>
      <c r="X118" s="410">
        <f>'(F Road)'!B35</f>
        <v>250</v>
      </c>
      <c r="Y118" s="162">
        <f t="shared" si="28"/>
        <v>23</v>
      </c>
      <c r="Z118" s="497">
        <v>95200</v>
      </c>
      <c r="AA118" s="412">
        <f t="shared" si="20"/>
        <v>2189600</v>
      </c>
      <c r="AB118" s="402">
        <f t="shared" si="21"/>
        <v>0.87583999999999995</v>
      </c>
      <c r="AC118" s="162">
        <f t="shared" si="33"/>
        <v>900</v>
      </c>
      <c r="AD118" s="411">
        <f t="shared" si="34"/>
        <v>29000</v>
      </c>
      <c r="AE118" s="412">
        <f t="shared" si="22"/>
        <v>667000</v>
      </c>
      <c r="AF118" s="413">
        <f t="shared" si="29"/>
        <v>0.14204629629629631</v>
      </c>
      <c r="AG118" s="414">
        <f t="shared" si="23"/>
        <v>1.0178862962962962</v>
      </c>
      <c r="AI118" s="351"/>
    </row>
    <row r="119" spans="1:35" ht="19.5" customHeight="1">
      <c r="A119" s="386"/>
      <c r="B119" s="387">
        <f t="shared" si="14"/>
        <v>270</v>
      </c>
      <c r="C119" s="222"/>
      <c r="D119" s="388">
        <f t="shared" si="15"/>
        <v>0.23958333333333334</v>
      </c>
      <c r="E119" s="222"/>
      <c r="F119" s="388">
        <f t="shared" si="16"/>
        <v>0.25000000000000006</v>
      </c>
      <c r="G119" s="223">
        <f t="shared" si="17"/>
        <v>0.1</v>
      </c>
      <c r="H119" s="222"/>
      <c r="I119" s="388">
        <f t="shared" si="18"/>
        <v>0.25800000000000001</v>
      </c>
      <c r="J119" s="390">
        <f t="shared" si="19"/>
        <v>0.84758333333333336</v>
      </c>
      <c r="L119" s="405"/>
      <c r="M119" s="137">
        <f t="shared" si="24"/>
        <v>260</v>
      </c>
      <c r="N119" s="277"/>
      <c r="O119" s="180">
        <f t="shared" si="25"/>
        <v>23</v>
      </c>
      <c r="P119" s="406"/>
      <c r="Q119" s="494">
        <v>103180</v>
      </c>
      <c r="R119" s="277"/>
      <c r="S119" s="407">
        <f t="shared" si="26"/>
        <v>2373140</v>
      </c>
      <c r="T119" s="396"/>
      <c r="U119" s="438">
        <f t="shared" si="27"/>
        <v>0.91274615384615387</v>
      </c>
      <c r="V119" s="408"/>
      <c r="W119" s="409"/>
      <c r="X119" s="410">
        <f>'(F Road)'!B36</f>
        <v>260</v>
      </c>
      <c r="Y119" s="162">
        <f t="shared" si="28"/>
        <v>23</v>
      </c>
      <c r="Z119" s="497">
        <v>96000</v>
      </c>
      <c r="AA119" s="412">
        <f t="shared" si="20"/>
        <v>2208000</v>
      </c>
      <c r="AB119" s="402">
        <f t="shared" si="21"/>
        <v>0.84923076923076923</v>
      </c>
      <c r="AC119" s="162">
        <f t="shared" si="33"/>
        <v>900</v>
      </c>
      <c r="AD119" s="411">
        <f t="shared" si="34"/>
        <v>29000</v>
      </c>
      <c r="AE119" s="412">
        <f t="shared" si="22"/>
        <v>667000</v>
      </c>
      <c r="AF119" s="413">
        <f t="shared" si="29"/>
        <v>0.14204629629629631</v>
      </c>
      <c r="AG119" s="414">
        <f t="shared" si="23"/>
        <v>0.99127706552706552</v>
      </c>
      <c r="AI119" s="351"/>
    </row>
    <row r="120" spans="1:35" ht="19.5" customHeight="1">
      <c r="A120" s="386"/>
      <c r="B120" s="387">
        <f t="shared" si="14"/>
        <v>280</v>
      </c>
      <c r="C120" s="222"/>
      <c r="D120" s="388">
        <f t="shared" si="15"/>
        <v>0.23958333333333334</v>
      </c>
      <c r="E120" s="222"/>
      <c r="F120" s="388">
        <f t="shared" si="16"/>
        <v>0.25000000000000006</v>
      </c>
      <c r="G120" s="223">
        <f t="shared" si="17"/>
        <v>0.1</v>
      </c>
      <c r="H120" s="222"/>
      <c r="I120" s="388">
        <f t="shared" si="18"/>
        <v>0.25800000000000001</v>
      </c>
      <c r="J120" s="390">
        <f t="shared" si="19"/>
        <v>0.84758333333333336</v>
      </c>
      <c r="L120" s="405"/>
      <c r="M120" s="137">
        <f t="shared" si="24"/>
        <v>270</v>
      </c>
      <c r="N120" s="277"/>
      <c r="O120" s="180">
        <f t="shared" si="25"/>
        <v>23</v>
      </c>
      <c r="P120" s="406"/>
      <c r="Q120" s="494">
        <v>105680</v>
      </c>
      <c r="R120" s="277"/>
      <c r="S120" s="407">
        <f t="shared" si="26"/>
        <v>2430640</v>
      </c>
      <c r="T120" s="396"/>
      <c r="U120" s="438">
        <f t="shared" si="27"/>
        <v>0.90023703703703706</v>
      </c>
      <c r="V120" s="408"/>
      <c r="W120" s="409"/>
      <c r="X120" s="410">
        <f>'(F Road)'!B37</f>
        <v>270</v>
      </c>
      <c r="Y120" s="162">
        <f t="shared" si="28"/>
        <v>23</v>
      </c>
      <c r="Z120" s="497">
        <v>96800</v>
      </c>
      <c r="AA120" s="412">
        <f t="shared" si="20"/>
        <v>2226400</v>
      </c>
      <c r="AB120" s="402">
        <f t="shared" si="21"/>
        <v>0.82459259259259254</v>
      </c>
      <c r="AC120" s="162">
        <f t="shared" si="33"/>
        <v>900</v>
      </c>
      <c r="AD120" s="411">
        <f t="shared" si="34"/>
        <v>29000</v>
      </c>
      <c r="AE120" s="412">
        <f t="shared" si="22"/>
        <v>667000</v>
      </c>
      <c r="AF120" s="413">
        <f t="shared" si="29"/>
        <v>0.14204629629629631</v>
      </c>
      <c r="AG120" s="414">
        <f t="shared" si="23"/>
        <v>0.96663888888888883</v>
      </c>
      <c r="AI120" s="351"/>
    </row>
    <row r="121" spans="1:35" ht="19.5" customHeight="1">
      <c r="A121" s="386"/>
      <c r="B121" s="387">
        <f t="shared" si="14"/>
        <v>290</v>
      </c>
      <c r="C121" s="222"/>
      <c r="D121" s="388">
        <f t="shared" si="15"/>
        <v>0.23958333333333334</v>
      </c>
      <c r="E121" s="222"/>
      <c r="F121" s="388">
        <f t="shared" si="16"/>
        <v>0.25000000000000006</v>
      </c>
      <c r="G121" s="223">
        <f t="shared" si="17"/>
        <v>0.1</v>
      </c>
      <c r="H121" s="222"/>
      <c r="I121" s="388">
        <f t="shared" si="18"/>
        <v>0.25800000000000001</v>
      </c>
      <c r="J121" s="390">
        <f t="shared" si="19"/>
        <v>0.84758333333333336</v>
      </c>
      <c r="L121" s="405"/>
      <c r="M121" s="137">
        <f t="shared" si="24"/>
        <v>280</v>
      </c>
      <c r="N121" s="277"/>
      <c r="O121" s="180">
        <f t="shared" si="25"/>
        <v>23</v>
      </c>
      <c r="P121" s="406"/>
      <c r="Q121" s="494">
        <v>108180</v>
      </c>
      <c r="R121" s="277"/>
      <c r="S121" s="407">
        <f t="shared" si="26"/>
        <v>2488140</v>
      </c>
      <c r="T121" s="396"/>
      <c r="U121" s="438">
        <f t="shared" si="27"/>
        <v>0.88862142857142856</v>
      </c>
      <c r="V121" s="408"/>
      <c r="W121" s="409"/>
      <c r="X121" s="410">
        <f>'(F Road)'!B38</f>
        <v>280</v>
      </c>
      <c r="Y121" s="162">
        <f t="shared" si="28"/>
        <v>23</v>
      </c>
      <c r="Z121" s="497">
        <v>97600</v>
      </c>
      <c r="AA121" s="412">
        <f t="shared" si="20"/>
        <v>2244800</v>
      </c>
      <c r="AB121" s="402">
        <f t="shared" si="21"/>
        <v>0.80171428571428571</v>
      </c>
      <c r="AC121" s="162">
        <f t="shared" si="33"/>
        <v>900</v>
      </c>
      <c r="AD121" s="411">
        <f t="shared" si="34"/>
        <v>29000</v>
      </c>
      <c r="AE121" s="412">
        <f t="shared" si="22"/>
        <v>667000</v>
      </c>
      <c r="AF121" s="413">
        <f t="shared" si="29"/>
        <v>0.14204629629629631</v>
      </c>
      <c r="AG121" s="414">
        <f t="shared" si="23"/>
        <v>0.94376058201058199</v>
      </c>
      <c r="AI121" s="351"/>
    </row>
    <row r="122" spans="1:35" ht="19.5" customHeight="1">
      <c r="A122" s="386"/>
      <c r="B122" s="387">
        <f t="shared" si="14"/>
        <v>300</v>
      </c>
      <c r="C122" s="222"/>
      <c r="D122" s="388">
        <f t="shared" si="15"/>
        <v>0.23958333333333334</v>
      </c>
      <c r="E122" s="222"/>
      <c r="F122" s="388">
        <f t="shared" si="16"/>
        <v>0.25000000000000006</v>
      </c>
      <c r="G122" s="223">
        <f t="shared" si="17"/>
        <v>0.1</v>
      </c>
      <c r="H122" s="222"/>
      <c r="I122" s="388">
        <f t="shared" si="18"/>
        <v>0.25800000000000001</v>
      </c>
      <c r="J122" s="390">
        <f t="shared" si="19"/>
        <v>0.84758333333333336</v>
      </c>
      <c r="L122" s="405"/>
      <c r="M122" s="137">
        <f t="shared" si="24"/>
        <v>290</v>
      </c>
      <c r="N122" s="277"/>
      <c r="O122" s="180">
        <f t="shared" si="25"/>
        <v>23</v>
      </c>
      <c r="P122" s="406"/>
      <c r="Q122" s="494">
        <v>110680</v>
      </c>
      <c r="R122" s="277"/>
      <c r="S122" s="407">
        <f t="shared" si="26"/>
        <v>2545640</v>
      </c>
      <c r="T122" s="396"/>
      <c r="U122" s="438">
        <f t="shared" si="27"/>
        <v>0.87780689655172417</v>
      </c>
      <c r="V122" s="408"/>
      <c r="W122" s="409"/>
      <c r="X122" s="410">
        <f>'(F Road)'!B39</f>
        <v>290</v>
      </c>
      <c r="Y122" s="162">
        <f t="shared" si="28"/>
        <v>23</v>
      </c>
      <c r="Z122" s="497">
        <v>98400</v>
      </c>
      <c r="AA122" s="412">
        <f t="shared" si="20"/>
        <v>2263200</v>
      </c>
      <c r="AB122" s="402">
        <f t="shared" si="21"/>
        <v>0.78041379310344827</v>
      </c>
      <c r="AC122" s="162">
        <f t="shared" si="33"/>
        <v>900</v>
      </c>
      <c r="AD122" s="411">
        <f t="shared" si="34"/>
        <v>29000</v>
      </c>
      <c r="AE122" s="412">
        <f t="shared" si="22"/>
        <v>667000</v>
      </c>
      <c r="AF122" s="413">
        <f t="shared" si="29"/>
        <v>0.14204629629629631</v>
      </c>
      <c r="AG122" s="414">
        <f t="shared" si="23"/>
        <v>0.92246008939974455</v>
      </c>
      <c r="AI122" s="351"/>
    </row>
    <row r="123" spans="1:35" ht="19.5" customHeight="1">
      <c r="A123" s="386"/>
      <c r="B123" s="387">
        <f t="shared" si="14"/>
        <v>350</v>
      </c>
      <c r="C123" s="222"/>
      <c r="D123" s="388">
        <f t="shared" si="15"/>
        <v>0.25</v>
      </c>
      <c r="E123" s="222"/>
      <c r="F123" s="388">
        <f t="shared" si="16"/>
        <v>0.25000000000000006</v>
      </c>
      <c r="G123" s="223">
        <f t="shared" si="17"/>
        <v>0.1</v>
      </c>
      <c r="H123" s="222"/>
      <c r="I123" s="388">
        <f t="shared" si="18"/>
        <v>0.25800000000000001</v>
      </c>
      <c r="J123" s="390">
        <f t="shared" si="19"/>
        <v>0.85799999999999998</v>
      </c>
      <c r="L123" s="405"/>
      <c r="M123" s="137">
        <f t="shared" si="24"/>
        <v>300</v>
      </c>
      <c r="N123" s="277"/>
      <c r="O123" s="180">
        <f t="shared" si="25"/>
        <v>23</v>
      </c>
      <c r="P123" s="406"/>
      <c r="Q123" s="494">
        <v>113180</v>
      </c>
      <c r="R123" s="277"/>
      <c r="S123" s="407">
        <f t="shared" si="26"/>
        <v>2603140</v>
      </c>
      <c r="T123" s="396"/>
      <c r="U123" s="438">
        <f t="shared" si="27"/>
        <v>0.86771333333333334</v>
      </c>
      <c r="V123" s="408"/>
      <c r="W123" s="409"/>
      <c r="X123" s="410">
        <f>'(F Road)'!B40</f>
        <v>300</v>
      </c>
      <c r="Y123" s="162">
        <f t="shared" si="28"/>
        <v>23</v>
      </c>
      <c r="Z123" s="497">
        <v>99200</v>
      </c>
      <c r="AA123" s="412">
        <f t="shared" si="20"/>
        <v>2281600</v>
      </c>
      <c r="AB123" s="402">
        <f t="shared" si="21"/>
        <v>0.76053333333333328</v>
      </c>
      <c r="AC123" s="162">
        <f t="shared" si="33"/>
        <v>900</v>
      </c>
      <c r="AD123" s="411">
        <f t="shared" si="34"/>
        <v>29000</v>
      </c>
      <c r="AE123" s="412">
        <f t="shared" si="22"/>
        <v>667000</v>
      </c>
      <c r="AF123" s="413">
        <f t="shared" si="29"/>
        <v>0.14204629629629631</v>
      </c>
      <c r="AG123" s="414">
        <f t="shared" si="23"/>
        <v>0.90257962962962957</v>
      </c>
      <c r="AI123" s="351"/>
    </row>
    <row r="124" spans="1:35" ht="19.5" customHeight="1">
      <c r="A124" s="386"/>
      <c r="B124" s="387">
        <f t="shared" si="14"/>
        <v>400</v>
      </c>
      <c r="C124" s="222"/>
      <c r="D124" s="388">
        <f t="shared" si="15"/>
        <v>0.25</v>
      </c>
      <c r="E124" s="222"/>
      <c r="F124" s="388">
        <f t="shared" si="16"/>
        <v>0.25000000000000006</v>
      </c>
      <c r="G124" s="223">
        <f t="shared" si="17"/>
        <v>0.1</v>
      </c>
      <c r="H124" s="222"/>
      <c r="I124" s="388">
        <f t="shared" si="18"/>
        <v>0.25800000000000001</v>
      </c>
      <c r="J124" s="390">
        <f t="shared" si="19"/>
        <v>0.85799999999999998</v>
      </c>
      <c r="L124" s="405"/>
      <c r="M124" s="137">
        <f t="shared" si="24"/>
        <v>350</v>
      </c>
      <c r="N124" s="277"/>
      <c r="O124" s="180">
        <f t="shared" si="25"/>
        <v>24</v>
      </c>
      <c r="P124" s="406"/>
      <c r="Q124" s="394">
        <f>$V$78</f>
        <v>120520</v>
      </c>
      <c r="R124" s="277"/>
      <c r="S124" s="407">
        <f t="shared" si="26"/>
        <v>2892480</v>
      </c>
      <c r="T124" s="396"/>
      <c r="U124" s="438">
        <f t="shared" si="27"/>
        <v>0.82642285714285713</v>
      </c>
      <c r="V124" s="408"/>
      <c r="W124" s="409"/>
      <c r="X124" s="410">
        <f>'(F Road)'!B41</f>
        <v>350</v>
      </c>
      <c r="Y124" s="162">
        <f t="shared" si="28"/>
        <v>24</v>
      </c>
      <c r="Z124" s="411">
        <f>$AG$77</f>
        <v>103000</v>
      </c>
      <c r="AA124" s="412">
        <f t="shared" si="20"/>
        <v>2472000</v>
      </c>
      <c r="AB124" s="402">
        <f t="shared" si="21"/>
        <v>0.70628571428571429</v>
      </c>
      <c r="AC124" s="162">
        <f>500*4</f>
        <v>2000</v>
      </c>
      <c r="AD124" s="411">
        <f>$AG$86</f>
        <v>29000</v>
      </c>
      <c r="AE124" s="412">
        <f t="shared" si="22"/>
        <v>696000</v>
      </c>
      <c r="AF124" s="413">
        <f t="shared" si="29"/>
        <v>6.9599999999999995E-2</v>
      </c>
      <c r="AG124" s="414">
        <f t="shared" si="23"/>
        <v>0.77588571428571429</v>
      </c>
      <c r="AI124" s="351"/>
    </row>
    <row r="125" spans="1:35" ht="19.5" customHeight="1">
      <c r="A125" s="386"/>
      <c r="B125" s="387">
        <f t="shared" si="14"/>
        <v>450</v>
      </c>
      <c r="C125" s="222"/>
      <c r="D125" s="388">
        <f t="shared" si="15"/>
        <v>0.25</v>
      </c>
      <c r="E125" s="222"/>
      <c r="F125" s="388">
        <f t="shared" si="16"/>
        <v>0.25000000000000006</v>
      </c>
      <c r="G125" s="223">
        <f t="shared" si="17"/>
        <v>0.1</v>
      </c>
      <c r="H125" s="222"/>
      <c r="I125" s="388">
        <f t="shared" si="18"/>
        <v>0.25800000000000001</v>
      </c>
      <c r="J125" s="390">
        <f t="shared" si="19"/>
        <v>0.85799999999999998</v>
      </c>
      <c r="L125" s="405"/>
      <c r="M125" s="137">
        <f t="shared" si="24"/>
        <v>400</v>
      </c>
      <c r="N125" s="277"/>
      <c r="O125" s="180">
        <f t="shared" si="25"/>
        <v>24</v>
      </c>
      <c r="P125" s="406"/>
      <c r="Q125" s="394">
        <f>$V$78</f>
        <v>120520</v>
      </c>
      <c r="R125" s="277"/>
      <c r="S125" s="407">
        <f t="shared" si="26"/>
        <v>2892480</v>
      </c>
      <c r="T125" s="396"/>
      <c r="U125" s="438">
        <f t="shared" si="27"/>
        <v>0.72311999999999999</v>
      </c>
      <c r="V125" s="408"/>
      <c r="W125" s="409"/>
      <c r="X125" s="410">
        <f>'(F Road)'!B42</f>
        <v>400</v>
      </c>
      <c r="Y125" s="162">
        <f t="shared" si="28"/>
        <v>24</v>
      </c>
      <c r="Z125" s="411">
        <f>$AG$77</f>
        <v>103000</v>
      </c>
      <c r="AA125" s="412">
        <f t="shared" si="20"/>
        <v>2472000</v>
      </c>
      <c r="AB125" s="402">
        <f t="shared" si="21"/>
        <v>0.61799999999999999</v>
      </c>
      <c r="AC125" s="162">
        <f>500*4</f>
        <v>2000</v>
      </c>
      <c r="AD125" s="411">
        <f>$AG$86</f>
        <v>29000</v>
      </c>
      <c r="AE125" s="412">
        <f t="shared" si="22"/>
        <v>696000</v>
      </c>
      <c r="AF125" s="413">
        <f t="shared" si="29"/>
        <v>6.9599999999999995E-2</v>
      </c>
      <c r="AG125" s="414">
        <f t="shared" si="23"/>
        <v>0.68759999999999999</v>
      </c>
      <c r="AI125" s="351"/>
    </row>
    <row r="126" spans="1:35" ht="19.5" customHeight="1">
      <c r="A126" s="386"/>
      <c r="B126" s="387">
        <f t="shared" si="14"/>
        <v>500</v>
      </c>
      <c r="C126" s="222"/>
      <c r="D126" s="388">
        <f t="shared" si="15"/>
        <v>0.25</v>
      </c>
      <c r="E126" s="222"/>
      <c r="F126" s="388">
        <f t="shared" si="16"/>
        <v>0.25000000000000006</v>
      </c>
      <c r="G126" s="223">
        <f t="shared" si="17"/>
        <v>0.1</v>
      </c>
      <c r="H126" s="222"/>
      <c r="I126" s="388">
        <f t="shared" si="18"/>
        <v>0.25800000000000001</v>
      </c>
      <c r="J126" s="390">
        <f t="shared" si="19"/>
        <v>0.85799999999999998</v>
      </c>
      <c r="L126" s="405"/>
      <c r="M126" s="137">
        <f t="shared" si="24"/>
        <v>450</v>
      </c>
      <c r="N126" s="277"/>
      <c r="O126" s="180">
        <f t="shared" si="25"/>
        <v>24</v>
      </c>
      <c r="P126" s="406"/>
      <c r="Q126" s="394">
        <f>$V$78</f>
        <v>120520</v>
      </c>
      <c r="R126" s="277"/>
      <c r="S126" s="407">
        <f t="shared" si="26"/>
        <v>2892480</v>
      </c>
      <c r="T126" s="396"/>
      <c r="U126" s="438">
        <f t="shared" si="27"/>
        <v>0.64277333333333331</v>
      </c>
      <c r="V126" s="408"/>
      <c r="W126" s="409"/>
      <c r="X126" s="410">
        <f>'(F Road)'!B43</f>
        <v>450</v>
      </c>
      <c r="Y126" s="162">
        <f t="shared" si="28"/>
        <v>24</v>
      </c>
      <c r="Z126" s="411">
        <f>$AG$77</f>
        <v>103000</v>
      </c>
      <c r="AA126" s="412">
        <f t="shared" si="20"/>
        <v>2472000</v>
      </c>
      <c r="AB126" s="402">
        <f t="shared" si="21"/>
        <v>0.54933333333333334</v>
      </c>
      <c r="AC126" s="162">
        <f>500*4</f>
        <v>2000</v>
      </c>
      <c r="AD126" s="411">
        <f>$AG$86</f>
        <v>29000</v>
      </c>
      <c r="AE126" s="412">
        <f t="shared" si="22"/>
        <v>696000</v>
      </c>
      <c r="AF126" s="413">
        <f t="shared" si="29"/>
        <v>6.9599999999999995E-2</v>
      </c>
      <c r="AG126" s="414">
        <f t="shared" si="23"/>
        <v>0.61893333333333334</v>
      </c>
      <c r="AI126" s="351"/>
    </row>
    <row r="127" spans="1:35" ht="19.5" customHeight="1">
      <c r="A127" s="415" t="s">
        <v>511</v>
      </c>
      <c r="B127" s="347">
        <f t="shared" si="14"/>
        <v>500</v>
      </c>
      <c r="C127" s="229"/>
      <c r="D127" s="416">
        <f t="shared" si="15"/>
        <v>0.25</v>
      </c>
      <c r="E127" s="229"/>
      <c r="F127" s="416">
        <f t="shared" si="16"/>
        <v>0.25000000000000006</v>
      </c>
      <c r="G127" s="230">
        <f t="shared" si="17"/>
        <v>0.1</v>
      </c>
      <c r="H127" s="229"/>
      <c r="I127" s="416">
        <f t="shared" si="18"/>
        <v>0.25800000000000001</v>
      </c>
      <c r="J127" s="417">
        <f t="shared" si="19"/>
        <v>0.85799999999999998</v>
      </c>
      <c r="L127" s="405"/>
      <c r="M127" s="137">
        <f t="shared" si="24"/>
        <v>500</v>
      </c>
      <c r="N127" s="277"/>
      <c r="O127" s="180">
        <f>E42</f>
        <v>24</v>
      </c>
      <c r="P127" s="406"/>
      <c r="Q127" s="394">
        <f>$V$78</f>
        <v>120520</v>
      </c>
      <c r="R127" s="277"/>
      <c r="S127" s="407">
        <f t="shared" si="26"/>
        <v>2892480</v>
      </c>
      <c r="T127" s="396"/>
      <c r="U127" s="438">
        <f t="shared" si="27"/>
        <v>0.57849600000000001</v>
      </c>
      <c r="V127" s="408"/>
      <c r="W127" s="409"/>
      <c r="X127" s="410">
        <f>'(F Road)'!B44</f>
        <v>500</v>
      </c>
      <c r="Y127" s="162">
        <f t="shared" si="28"/>
        <v>24</v>
      </c>
      <c r="Z127" s="411">
        <f>$AG$77</f>
        <v>103000</v>
      </c>
      <c r="AA127" s="412">
        <f t="shared" si="20"/>
        <v>2472000</v>
      </c>
      <c r="AB127" s="402">
        <f t="shared" si="21"/>
        <v>0.49440000000000001</v>
      </c>
      <c r="AC127" s="162">
        <f>500*4</f>
        <v>2000</v>
      </c>
      <c r="AD127" s="411">
        <f>$AG$86</f>
        <v>29000</v>
      </c>
      <c r="AE127" s="412">
        <f t="shared" si="22"/>
        <v>696000</v>
      </c>
      <c r="AF127" s="413">
        <f t="shared" si="29"/>
        <v>6.9599999999999995E-2</v>
      </c>
      <c r="AG127" s="414">
        <f t="shared" si="23"/>
        <v>0.56400000000000006</v>
      </c>
      <c r="AI127" s="351"/>
    </row>
    <row r="128" spans="1:35" ht="19.5" customHeight="1">
      <c r="A128" s="210" t="s">
        <v>403</v>
      </c>
      <c r="B128" s="210"/>
      <c r="C128" s="210"/>
      <c r="D128" s="210"/>
      <c r="E128" s="210"/>
      <c r="F128" s="210"/>
      <c r="G128" s="210"/>
      <c r="H128" s="210"/>
      <c r="I128" s="210"/>
      <c r="J128" s="210"/>
      <c r="L128" s="418" t="s">
        <v>511</v>
      </c>
      <c r="M128" s="419">
        <f t="shared" si="24"/>
        <v>500</v>
      </c>
      <c r="N128" s="420"/>
      <c r="O128" s="288">
        <f>E43</f>
        <v>24</v>
      </c>
      <c r="P128" s="421"/>
      <c r="Q128" s="422">
        <f>$V$78</f>
        <v>120520</v>
      </c>
      <c r="R128" s="421"/>
      <c r="S128" s="423">
        <f t="shared" si="26"/>
        <v>2892480</v>
      </c>
      <c r="T128" s="424"/>
      <c r="U128" s="439">
        <f t="shared" si="27"/>
        <v>0.57849600000000001</v>
      </c>
      <c r="V128" s="425"/>
      <c r="W128" s="338" t="s">
        <v>511</v>
      </c>
      <c r="X128" s="410">
        <f>'(F Road)'!B45</f>
        <v>700</v>
      </c>
      <c r="Y128" s="197">
        <f t="shared" si="28"/>
        <v>24</v>
      </c>
      <c r="Z128" s="426">
        <f>$AG$77</f>
        <v>103000</v>
      </c>
      <c r="AA128" s="427">
        <f t="shared" si="20"/>
        <v>2472000</v>
      </c>
      <c r="AB128" s="428">
        <f t="shared" si="21"/>
        <v>0.35314285714285715</v>
      </c>
      <c r="AC128" s="197">
        <f>500*4</f>
        <v>2000</v>
      </c>
      <c r="AD128" s="426">
        <f>$AG$86</f>
        <v>29000</v>
      </c>
      <c r="AE128" s="427">
        <f t="shared" si="22"/>
        <v>696000</v>
      </c>
      <c r="AF128" s="429">
        <f t="shared" si="29"/>
        <v>6.9599999999999995E-2</v>
      </c>
      <c r="AG128" s="430">
        <f t="shared" si="23"/>
        <v>0.42274285714285714</v>
      </c>
      <c r="AI128" s="351"/>
    </row>
    <row r="129" spans="1:35" ht="19.5" customHeight="1">
      <c r="A129" s="210" t="s">
        <v>403</v>
      </c>
      <c r="B129" s="210"/>
      <c r="C129" s="210"/>
      <c r="D129" s="210"/>
      <c r="E129" s="210"/>
      <c r="F129" s="210"/>
      <c r="G129" s="210"/>
      <c r="H129" s="210"/>
      <c r="I129" s="210"/>
      <c r="J129" s="210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AI129" s="351"/>
    </row>
    <row r="130" spans="1:35" ht="19.5" customHeight="1">
      <c r="A130" s="210" t="s">
        <v>403</v>
      </c>
      <c r="B130" s="210"/>
      <c r="C130" s="210"/>
      <c r="D130" s="210"/>
      <c r="E130" s="210"/>
      <c r="F130" s="210"/>
      <c r="G130" s="210"/>
      <c r="H130" s="210"/>
      <c r="I130" s="210"/>
      <c r="J130" s="210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I130" s="351"/>
    </row>
    <row r="131" spans="1:35" ht="19.5" customHeight="1">
      <c r="A131" s="342" t="s">
        <v>403</v>
      </c>
      <c r="B131" s="210"/>
      <c r="C131" s="210"/>
      <c r="D131" s="210"/>
      <c r="E131" s="210"/>
      <c r="F131" s="210"/>
      <c r="G131" s="210"/>
      <c r="H131" s="210"/>
      <c r="I131" s="173"/>
      <c r="M131" s="343"/>
      <c r="N131" s="343"/>
      <c r="O131" s="343"/>
      <c r="P131" s="343"/>
      <c r="Q131" s="343"/>
      <c r="X131" s="343"/>
      <c r="Y131" s="343"/>
      <c r="Z131" s="343"/>
      <c r="AA131" s="343"/>
      <c r="AB131" s="343"/>
    </row>
    <row r="132" spans="1:35" ht="19.5" customHeight="1">
      <c r="M132" s="343"/>
      <c r="N132" s="343"/>
      <c r="O132" s="343"/>
      <c r="P132" s="343"/>
      <c r="Q132" s="343"/>
      <c r="X132" s="343"/>
      <c r="Y132" s="343"/>
      <c r="Z132" s="343"/>
      <c r="AA132" s="343"/>
      <c r="AB132" s="343"/>
    </row>
    <row r="133" spans="1:35" ht="19.5" customHeight="1">
      <c r="M133" s="343"/>
      <c r="N133" s="343"/>
      <c r="O133" s="343"/>
      <c r="P133" s="343"/>
      <c r="Q133" s="343"/>
      <c r="AH133" s="351"/>
    </row>
    <row r="134" spans="1:35" ht="19.5" customHeight="1">
      <c r="M134" s="343"/>
      <c r="N134" s="343"/>
      <c r="O134" s="343"/>
      <c r="P134" s="343"/>
      <c r="Q134" s="343"/>
    </row>
    <row r="135" spans="1:35" ht="19.5" customHeight="1">
      <c r="M135" s="343"/>
      <c r="N135" s="343"/>
      <c r="O135" s="343"/>
      <c r="P135" s="343"/>
      <c r="Q135" s="343"/>
      <c r="AH135" s="431"/>
    </row>
    <row r="136" spans="1:35" ht="19.5" customHeight="1">
      <c r="M136" s="343"/>
      <c r="N136" s="343"/>
      <c r="O136" s="343"/>
      <c r="P136" s="343"/>
      <c r="Q136" s="343"/>
      <c r="AH136" s="431"/>
    </row>
    <row r="137" spans="1:35" ht="19.5" customHeight="1">
      <c r="M137" s="343"/>
      <c r="N137" s="343"/>
      <c r="O137" s="343"/>
      <c r="P137" s="343"/>
      <c r="Q137" s="343"/>
      <c r="AH137" s="431"/>
    </row>
    <row r="138" spans="1:35" ht="19.5" customHeight="1">
      <c r="A138" s="210" t="s">
        <v>403</v>
      </c>
      <c r="B138" s="210"/>
      <c r="C138" s="210"/>
      <c r="D138" s="210"/>
      <c r="E138" s="210"/>
      <c r="F138" s="210"/>
      <c r="G138" s="210"/>
      <c r="H138" s="210"/>
      <c r="I138" s="210"/>
      <c r="J138" s="210"/>
      <c r="M138" s="343"/>
      <c r="N138" s="343"/>
      <c r="O138" s="343"/>
      <c r="P138" s="343"/>
      <c r="Q138" s="343"/>
      <c r="AH138" s="431"/>
    </row>
    <row r="139" spans="1:35" ht="19.5" customHeight="1">
      <c r="A139" s="210" t="s">
        <v>403</v>
      </c>
      <c r="B139" s="210"/>
      <c r="C139" s="210"/>
      <c r="D139" s="210"/>
      <c r="E139" s="210"/>
      <c r="F139" s="210"/>
      <c r="G139" s="210"/>
      <c r="H139" s="210"/>
      <c r="I139" s="210"/>
      <c r="J139" s="210"/>
      <c r="M139" s="343"/>
      <c r="N139" s="343"/>
      <c r="O139" s="343"/>
      <c r="P139" s="343"/>
      <c r="Q139" s="343"/>
      <c r="AH139" s="431"/>
    </row>
    <row r="140" spans="1:35" ht="19.5" customHeight="1">
      <c r="A140" s="210" t="s">
        <v>403</v>
      </c>
      <c r="B140" s="210"/>
      <c r="C140" s="210"/>
      <c r="D140" s="210"/>
      <c r="E140" s="210"/>
      <c r="F140" s="210"/>
      <c r="G140" s="210"/>
      <c r="H140" s="210"/>
      <c r="I140" s="210"/>
      <c r="J140" s="210"/>
      <c r="M140" s="343"/>
      <c r="N140" s="343"/>
      <c r="O140" s="343"/>
      <c r="P140" s="343"/>
      <c r="Q140" s="343"/>
      <c r="AH140" s="431"/>
    </row>
    <row r="141" spans="1:35" ht="19.5" customHeight="1">
      <c r="A141" s="210" t="s">
        <v>403</v>
      </c>
      <c r="B141" s="210"/>
      <c r="C141" s="210"/>
      <c r="D141" s="210"/>
      <c r="E141" s="210"/>
      <c r="F141" s="210"/>
      <c r="G141" s="210"/>
      <c r="H141" s="210"/>
      <c r="I141" s="210"/>
      <c r="J141" s="210"/>
      <c r="M141" s="343"/>
      <c r="N141" s="343"/>
      <c r="O141" s="343"/>
      <c r="P141" s="343"/>
      <c r="Q141" s="343"/>
      <c r="AH141" s="431"/>
    </row>
    <row r="142" spans="1:35" ht="19.5" customHeight="1">
      <c r="A142" s="210" t="s">
        <v>403</v>
      </c>
      <c r="B142" s="210"/>
      <c r="C142" s="210"/>
      <c r="D142" s="210"/>
      <c r="E142" s="210"/>
      <c r="F142" s="210"/>
      <c r="G142" s="210"/>
      <c r="H142" s="210"/>
      <c r="I142" s="210"/>
      <c r="J142" s="210"/>
      <c r="M142" s="343"/>
      <c r="N142" s="343"/>
      <c r="O142" s="343"/>
      <c r="P142" s="343"/>
      <c r="Q142" s="343"/>
      <c r="AH142" s="431"/>
    </row>
    <row r="143" spans="1:35" ht="19.5" customHeight="1">
      <c r="A143" s="210" t="s">
        <v>403</v>
      </c>
      <c r="B143" s="210"/>
      <c r="C143" s="210"/>
      <c r="D143" s="210"/>
      <c r="E143" s="210"/>
      <c r="F143" s="210"/>
      <c r="G143" s="210"/>
      <c r="H143" s="210"/>
      <c r="I143" s="210"/>
      <c r="J143" s="210"/>
      <c r="M143" s="343"/>
      <c r="N143" s="343"/>
      <c r="O143" s="343"/>
      <c r="P143" s="343"/>
      <c r="Q143" s="343"/>
      <c r="AH143" s="431"/>
    </row>
    <row r="144" spans="1:35" ht="19.5" customHeight="1">
      <c r="A144" s="210" t="s">
        <v>403</v>
      </c>
      <c r="B144" s="210"/>
      <c r="C144" s="210"/>
      <c r="D144" s="210"/>
      <c r="E144" s="210"/>
      <c r="F144" s="210"/>
      <c r="G144" s="210"/>
      <c r="H144" s="210"/>
      <c r="I144" s="210"/>
      <c r="J144" s="210"/>
      <c r="M144" s="343"/>
      <c r="N144" s="343"/>
      <c r="O144" s="343"/>
      <c r="P144" s="343"/>
      <c r="Q144" s="343"/>
      <c r="AH144" s="431"/>
    </row>
    <row r="145" spans="1:34" ht="19.5" customHeight="1">
      <c r="A145" s="210" t="s">
        <v>403</v>
      </c>
      <c r="B145" s="210"/>
      <c r="C145" s="210"/>
      <c r="D145" s="210"/>
      <c r="E145" s="210"/>
      <c r="F145" s="210"/>
      <c r="G145" s="210"/>
      <c r="H145" s="210"/>
      <c r="I145" s="210"/>
      <c r="J145" s="210"/>
      <c r="M145" s="343"/>
      <c r="N145" s="343"/>
      <c r="O145" s="343"/>
      <c r="P145" s="343"/>
      <c r="Q145" s="343"/>
      <c r="AH145" s="431"/>
    </row>
    <row r="146" spans="1:34" ht="19.5" customHeight="1">
      <c r="A146" s="210" t="s">
        <v>403</v>
      </c>
      <c r="B146" s="210"/>
      <c r="C146" s="210"/>
      <c r="D146" s="210"/>
      <c r="E146" s="210"/>
      <c r="F146" s="210"/>
      <c r="G146" s="210"/>
      <c r="H146" s="210"/>
      <c r="I146" s="210"/>
      <c r="J146" s="210"/>
      <c r="M146" s="343"/>
      <c r="N146" s="343"/>
      <c r="O146" s="343"/>
      <c r="P146" s="343"/>
      <c r="Q146" s="343"/>
      <c r="AH146" s="431"/>
    </row>
    <row r="147" spans="1:34" ht="19.5" customHeight="1">
      <c r="A147" s="210" t="s">
        <v>403</v>
      </c>
      <c r="B147" s="210"/>
      <c r="C147" s="210"/>
      <c r="D147" s="210"/>
      <c r="E147" s="210"/>
      <c r="F147" s="210"/>
      <c r="G147" s="210"/>
      <c r="H147" s="210"/>
      <c r="I147" s="210"/>
      <c r="J147" s="210"/>
      <c r="M147" s="343"/>
      <c r="N147" s="343"/>
      <c r="O147" s="343"/>
      <c r="P147" s="343"/>
      <c r="Q147" s="343"/>
      <c r="AH147" s="431"/>
    </row>
    <row r="148" spans="1:34" ht="19.5" customHeight="1">
      <c r="A148" s="210" t="s">
        <v>403</v>
      </c>
      <c r="B148" s="210"/>
      <c r="C148" s="210"/>
      <c r="D148" s="210"/>
      <c r="E148" s="210"/>
      <c r="F148" s="210"/>
      <c r="G148" s="210"/>
      <c r="H148" s="210"/>
      <c r="I148" s="210"/>
      <c r="J148" s="210"/>
      <c r="M148" s="343"/>
      <c r="N148" s="343"/>
      <c r="O148" s="343"/>
      <c r="P148" s="343"/>
      <c r="Q148" s="343"/>
      <c r="AH148" s="431"/>
    </row>
    <row r="149" spans="1:34" ht="19.5" customHeight="1">
      <c r="A149" s="210" t="s">
        <v>403</v>
      </c>
      <c r="B149" s="210"/>
      <c r="C149" s="210"/>
      <c r="D149" s="210"/>
      <c r="E149" s="210"/>
      <c r="F149" s="210"/>
      <c r="G149" s="210"/>
      <c r="H149" s="210"/>
      <c r="I149" s="210"/>
      <c r="J149" s="210"/>
      <c r="M149" s="343"/>
      <c r="N149" s="343"/>
      <c r="O149" s="343"/>
      <c r="P149" s="343"/>
      <c r="Q149" s="343"/>
      <c r="AH149" s="431"/>
    </row>
    <row r="150" spans="1:34" ht="19.5" customHeight="1">
      <c r="A150" s="210" t="s">
        <v>403</v>
      </c>
      <c r="B150" s="210"/>
      <c r="C150" s="210"/>
      <c r="D150" s="210"/>
      <c r="E150" s="210"/>
      <c r="F150" s="210"/>
      <c r="G150" s="210"/>
      <c r="H150" s="210"/>
      <c r="I150" s="210"/>
      <c r="J150" s="210"/>
      <c r="M150" s="343"/>
      <c r="N150" s="343"/>
      <c r="O150" s="343"/>
      <c r="P150" s="343"/>
      <c r="Q150" s="343"/>
      <c r="AH150" s="431"/>
    </row>
    <row r="151" spans="1:34" ht="19.5" customHeight="1">
      <c r="A151" s="210" t="s">
        <v>403</v>
      </c>
      <c r="B151" s="210"/>
      <c r="C151" s="210"/>
      <c r="D151" s="210"/>
      <c r="E151" s="210"/>
      <c r="F151" s="210"/>
      <c r="G151" s="210"/>
      <c r="H151" s="210"/>
      <c r="I151" s="210"/>
      <c r="J151" s="210"/>
      <c r="M151" s="343"/>
      <c r="N151" s="343"/>
      <c r="O151" s="343"/>
      <c r="P151" s="343"/>
      <c r="Q151" s="343"/>
      <c r="AH151" s="431"/>
    </row>
    <row r="152" spans="1:34" ht="19.5" customHeight="1">
      <c r="A152" s="210" t="s">
        <v>403</v>
      </c>
      <c r="B152" s="210"/>
      <c r="C152" s="210"/>
      <c r="D152" s="210"/>
      <c r="E152" s="210"/>
      <c r="F152" s="210"/>
      <c r="G152" s="210"/>
      <c r="H152" s="210"/>
      <c r="I152" s="210"/>
      <c r="J152" s="210"/>
      <c r="M152" s="343"/>
      <c r="N152" s="343"/>
      <c r="O152" s="343"/>
      <c r="P152" s="343"/>
      <c r="Q152" s="343"/>
      <c r="AH152" s="432"/>
    </row>
    <row r="153" spans="1:34" ht="19.5" customHeight="1">
      <c r="A153" s="210" t="s">
        <v>403</v>
      </c>
      <c r="B153" s="210"/>
      <c r="C153" s="210"/>
      <c r="D153" s="210"/>
      <c r="E153" s="210"/>
      <c r="F153" s="210"/>
      <c r="G153" s="210"/>
      <c r="H153" s="210"/>
      <c r="I153" s="210"/>
      <c r="J153" s="210"/>
      <c r="M153" s="343"/>
      <c r="N153" s="343"/>
      <c r="O153" s="343"/>
      <c r="P153" s="343"/>
      <c r="Q153" s="343"/>
    </row>
    <row r="154" spans="1:34" ht="19.5" customHeight="1">
      <c r="A154" s="210" t="s">
        <v>403</v>
      </c>
      <c r="B154" s="210"/>
      <c r="C154" s="210"/>
      <c r="D154" s="210"/>
      <c r="E154" s="210"/>
      <c r="F154" s="210"/>
      <c r="G154" s="210"/>
      <c r="H154" s="210"/>
      <c r="I154" s="210"/>
      <c r="J154" s="210"/>
      <c r="M154" s="343"/>
      <c r="N154" s="343"/>
      <c r="O154" s="343"/>
      <c r="P154" s="343"/>
      <c r="Q154" s="343"/>
      <c r="AH154" s="431"/>
    </row>
    <row r="155" spans="1:34" ht="19.5" customHeight="1">
      <c r="A155" s="210" t="s">
        <v>403</v>
      </c>
      <c r="B155" s="210"/>
      <c r="C155" s="210"/>
      <c r="D155" s="210"/>
      <c r="E155" s="210"/>
      <c r="F155" s="210"/>
      <c r="G155" s="210"/>
      <c r="H155" s="210"/>
      <c r="I155" s="210"/>
      <c r="J155" s="210"/>
      <c r="AH155" s="431"/>
    </row>
    <row r="156" spans="1:34" ht="19.5" customHeight="1">
      <c r="A156" s="210" t="s">
        <v>403</v>
      </c>
      <c r="B156" s="210"/>
      <c r="C156" s="210"/>
      <c r="D156" s="210"/>
      <c r="E156" s="210"/>
      <c r="F156" s="210"/>
      <c r="G156" s="210"/>
      <c r="H156" s="210"/>
      <c r="I156" s="210"/>
      <c r="J156" s="210"/>
      <c r="AH156" s="431"/>
    </row>
    <row r="157" spans="1:34" ht="19.5" customHeight="1">
      <c r="A157" s="210" t="s">
        <v>403</v>
      </c>
      <c r="B157" s="210"/>
      <c r="C157" s="210"/>
      <c r="D157" s="210"/>
      <c r="E157" s="210"/>
      <c r="F157" s="210"/>
      <c r="G157" s="210"/>
      <c r="H157" s="210"/>
      <c r="I157" s="210"/>
      <c r="J157" s="210"/>
      <c r="AH157" s="431"/>
    </row>
    <row r="158" spans="1:34" ht="19.5" customHeight="1">
      <c r="A158" s="210" t="s">
        <v>403</v>
      </c>
      <c r="B158" s="210"/>
      <c r="C158" s="210"/>
      <c r="D158" s="210"/>
      <c r="E158" s="210"/>
      <c r="F158" s="210"/>
      <c r="G158" s="210"/>
      <c r="H158" s="210"/>
      <c r="I158" s="210"/>
      <c r="J158" s="210"/>
      <c r="AH158" s="431"/>
    </row>
    <row r="159" spans="1:34" ht="19.5" customHeight="1">
      <c r="A159" s="210" t="s">
        <v>403</v>
      </c>
      <c r="B159" s="210"/>
      <c r="C159" s="210"/>
      <c r="D159" s="210"/>
      <c r="E159" s="210"/>
      <c r="F159" s="210"/>
      <c r="G159" s="210"/>
      <c r="H159" s="210"/>
      <c r="I159" s="210"/>
      <c r="J159" s="210"/>
      <c r="AH159" s="431"/>
    </row>
    <row r="160" spans="1:34" ht="19.5" customHeight="1">
      <c r="A160" s="210" t="s">
        <v>403</v>
      </c>
      <c r="B160" s="210"/>
      <c r="C160" s="210"/>
      <c r="D160" s="210"/>
      <c r="E160" s="210"/>
      <c r="F160" s="210"/>
      <c r="G160" s="210"/>
      <c r="H160" s="210"/>
      <c r="I160" s="210"/>
      <c r="J160" s="210"/>
      <c r="AH160" s="431"/>
    </row>
    <row r="161" spans="1:34" ht="19.5" customHeight="1">
      <c r="A161" s="210" t="s">
        <v>403</v>
      </c>
      <c r="B161" s="210"/>
      <c r="C161" s="210"/>
      <c r="D161" s="210"/>
      <c r="E161" s="210"/>
      <c r="F161" s="210"/>
      <c r="G161" s="210"/>
      <c r="H161" s="210"/>
      <c r="I161" s="210"/>
      <c r="J161" s="210"/>
      <c r="AH161" s="432"/>
    </row>
    <row r="162" spans="1:34" ht="19.5" customHeight="1">
      <c r="A162" s="210" t="s">
        <v>403</v>
      </c>
      <c r="B162" s="210"/>
      <c r="C162" s="210"/>
      <c r="D162" s="210"/>
      <c r="E162" s="210"/>
      <c r="F162" s="210"/>
      <c r="G162" s="210"/>
      <c r="H162" s="210"/>
      <c r="I162" s="210"/>
      <c r="J162" s="210"/>
    </row>
    <row r="163" spans="1:34" ht="19.5" customHeight="1">
      <c r="A163" s="210" t="s">
        <v>403</v>
      </c>
      <c r="B163" s="210"/>
      <c r="C163" s="210"/>
      <c r="D163" s="210"/>
      <c r="E163" s="210"/>
      <c r="F163" s="210"/>
      <c r="G163" s="210"/>
      <c r="H163" s="210"/>
      <c r="I163" s="210"/>
      <c r="J163" s="210"/>
    </row>
    <row r="164" spans="1:34" ht="19.5" customHeight="1">
      <c r="A164" s="210" t="s">
        <v>403</v>
      </c>
      <c r="B164" s="210"/>
      <c r="C164" s="210"/>
      <c r="D164" s="210"/>
      <c r="E164" s="210"/>
      <c r="F164" s="210"/>
      <c r="G164" s="210"/>
      <c r="H164" s="210"/>
      <c r="I164" s="210"/>
      <c r="J164" s="210"/>
    </row>
    <row r="165" spans="1:34" ht="19.5" customHeight="1">
      <c r="A165" s="210" t="s">
        <v>403</v>
      </c>
      <c r="B165" s="210"/>
      <c r="C165" s="210"/>
      <c r="D165" s="210"/>
      <c r="E165" s="210"/>
      <c r="F165" s="210"/>
      <c r="G165" s="210"/>
      <c r="H165" s="210"/>
      <c r="I165" s="210"/>
      <c r="J165" s="210"/>
    </row>
    <row r="166" spans="1:34" ht="19.5" customHeight="1">
      <c r="A166" s="210" t="s">
        <v>403</v>
      </c>
      <c r="B166" s="210"/>
      <c r="C166" s="210"/>
      <c r="D166" s="210"/>
      <c r="E166" s="210"/>
      <c r="F166" s="210"/>
      <c r="G166" s="210"/>
      <c r="H166" s="210"/>
      <c r="I166" s="210"/>
      <c r="J166" s="210"/>
    </row>
    <row r="167" spans="1:34" ht="19.5" customHeight="1">
      <c r="A167" s="210" t="s">
        <v>403</v>
      </c>
      <c r="B167" s="210"/>
      <c r="C167" s="210"/>
      <c r="D167" s="210"/>
      <c r="E167" s="210"/>
      <c r="F167" s="210"/>
      <c r="G167" s="210"/>
      <c r="H167" s="210"/>
      <c r="I167" s="210"/>
      <c r="J167" s="210"/>
    </row>
    <row r="168" spans="1:34" ht="19.5" customHeight="1">
      <c r="A168" s="210" t="s">
        <v>403</v>
      </c>
      <c r="B168" s="210"/>
      <c r="C168" s="210"/>
      <c r="D168" s="210"/>
      <c r="E168" s="210"/>
      <c r="F168" s="210"/>
      <c r="G168" s="210"/>
      <c r="H168" s="210"/>
      <c r="I168" s="210"/>
      <c r="J168" s="210"/>
    </row>
    <row r="169" spans="1:34" ht="19.5" customHeight="1">
      <c r="A169" s="210" t="s">
        <v>403</v>
      </c>
      <c r="B169" s="210"/>
      <c r="C169" s="210"/>
      <c r="D169" s="210"/>
      <c r="E169" s="210"/>
      <c r="F169" s="210"/>
      <c r="G169" s="210"/>
      <c r="H169" s="210"/>
      <c r="I169" s="210"/>
      <c r="J169" s="210"/>
    </row>
    <row r="170" spans="1:34" ht="19.5" customHeight="1">
      <c r="A170" s="210" t="s">
        <v>403</v>
      </c>
      <c r="B170" s="210"/>
      <c r="C170" s="210"/>
      <c r="D170" s="210"/>
      <c r="E170" s="210"/>
      <c r="F170" s="210"/>
      <c r="G170" s="210"/>
      <c r="H170" s="210"/>
      <c r="I170" s="210"/>
      <c r="J170" s="210"/>
    </row>
    <row r="171" spans="1:34" ht="19.5" customHeight="1">
      <c r="A171" s="210" t="s">
        <v>403</v>
      </c>
      <c r="B171" s="210"/>
      <c r="C171" s="210"/>
      <c r="D171" s="210"/>
      <c r="E171" s="210"/>
      <c r="F171" s="210"/>
      <c r="G171" s="210"/>
      <c r="H171" s="210"/>
      <c r="I171" s="210"/>
      <c r="J171" s="210"/>
    </row>
    <row r="172" spans="1:34" ht="19.5" customHeight="1">
      <c r="A172" s="210" t="s">
        <v>403</v>
      </c>
      <c r="B172" s="210"/>
      <c r="C172" s="210"/>
      <c r="D172" s="210"/>
      <c r="E172" s="210"/>
      <c r="F172" s="210"/>
      <c r="G172" s="210"/>
      <c r="H172" s="210"/>
      <c r="I172" s="210"/>
      <c r="J172" s="210"/>
    </row>
    <row r="173" spans="1:34" ht="19.5" customHeight="1">
      <c r="A173" s="210" t="s">
        <v>403</v>
      </c>
      <c r="B173" s="210"/>
      <c r="C173" s="210"/>
      <c r="D173" s="210"/>
      <c r="E173" s="210"/>
      <c r="F173" s="210"/>
      <c r="G173" s="210"/>
      <c r="H173" s="210"/>
      <c r="I173" s="210"/>
      <c r="J173" s="210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34" ht="19.5" customHeight="1"/>
    <row r="175" spans="1:34" ht="19.5" customHeight="1">
      <c r="A175" s="210"/>
      <c r="B175" s="210"/>
      <c r="C175" s="210"/>
      <c r="D175" s="210"/>
      <c r="E175" s="210"/>
      <c r="F175" s="210"/>
      <c r="G175" s="210"/>
      <c r="H175" s="210"/>
      <c r="I175" s="210"/>
      <c r="J175" s="210"/>
    </row>
    <row r="176" spans="1:34" ht="19.5" customHeight="1">
      <c r="B176" s="343"/>
      <c r="C176" s="343"/>
    </row>
    <row r="177" spans="1:11" ht="19.5" customHeight="1"/>
    <row r="178" spans="1:11" ht="19.5" customHeight="1">
      <c r="A178" s="351"/>
      <c r="B178" s="351"/>
      <c r="C178" s="351"/>
      <c r="D178" s="351"/>
      <c r="F178" s="351"/>
      <c r="G178" s="351"/>
      <c r="H178" s="351"/>
      <c r="I178" s="351"/>
      <c r="J178" s="2360"/>
      <c r="K178" s="2360"/>
    </row>
    <row r="179" spans="1:11" ht="19.5" customHeight="1">
      <c r="F179" s="351"/>
      <c r="G179" s="351"/>
      <c r="H179" s="351"/>
      <c r="I179" s="351"/>
      <c r="J179" s="2360"/>
      <c r="K179" s="2360"/>
    </row>
    <row r="180" spans="1:11" ht="19.5" customHeight="1">
      <c r="A180" s="433"/>
      <c r="F180" s="351"/>
      <c r="G180" s="351"/>
    </row>
    <row r="181" spans="1:11" ht="19.5" customHeight="1">
      <c r="A181" s="351"/>
      <c r="F181" s="351"/>
      <c r="G181" s="351"/>
      <c r="I181" s="434"/>
      <c r="K181" s="434"/>
    </row>
    <row r="182" spans="1:11" ht="19.5" customHeight="1">
      <c r="A182" s="351"/>
      <c r="F182" s="351"/>
      <c r="G182" s="351"/>
      <c r="I182" s="434"/>
      <c r="K182" s="434"/>
    </row>
    <row r="183" spans="1:11" ht="19.5" customHeight="1">
      <c r="A183" s="351"/>
      <c r="F183" s="351"/>
      <c r="G183" s="435"/>
      <c r="I183" s="434"/>
      <c r="K183" s="434"/>
    </row>
    <row r="184" spans="1:11" ht="19.5" customHeight="1">
      <c r="A184" s="351"/>
      <c r="F184" s="351"/>
      <c r="G184" s="351"/>
      <c r="I184" s="434"/>
      <c r="K184" s="434"/>
    </row>
    <row r="185" spans="1:11" ht="19.5" customHeight="1">
      <c r="A185" s="433"/>
      <c r="B185" s="343"/>
      <c r="F185" s="351"/>
      <c r="G185" s="351"/>
      <c r="I185" s="434"/>
      <c r="K185" s="434"/>
    </row>
    <row r="186" spans="1:11" ht="19.5" customHeight="1">
      <c r="A186" s="351"/>
      <c r="F186" s="351"/>
      <c r="G186" s="351"/>
      <c r="I186" s="434"/>
      <c r="K186" s="434"/>
    </row>
    <row r="187" spans="1:11" ht="19.5" customHeight="1">
      <c r="A187" s="351"/>
      <c r="F187" s="351"/>
      <c r="G187" s="351"/>
      <c r="I187" s="434"/>
      <c r="K187" s="434"/>
    </row>
    <row r="188" spans="1:11" ht="19.5" customHeight="1">
      <c r="A188" s="351"/>
      <c r="F188" s="351"/>
      <c r="G188" s="351"/>
      <c r="I188" s="434"/>
      <c r="K188" s="434"/>
    </row>
    <row r="189" spans="1:11" ht="19.5" customHeight="1">
      <c r="A189" s="351"/>
      <c r="F189" s="351"/>
      <c r="G189" s="351"/>
      <c r="I189" s="434"/>
      <c r="K189" s="434"/>
    </row>
    <row r="190" spans="1:11" ht="19.5" customHeight="1">
      <c r="A190" s="351"/>
      <c r="F190" s="351"/>
      <c r="G190" s="351"/>
      <c r="I190" s="434"/>
      <c r="K190" s="434"/>
    </row>
    <row r="191" spans="1:11" ht="19.5" customHeight="1">
      <c r="A191" s="433"/>
      <c r="B191" s="343"/>
      <c r="C191" s="343"/>
      <c r="D191" s="343"/>
      <c r="E191" s="343"/>
      <c r="F191" s="351"/>
      <c r="G191" s="351"/>
      <c r="I191" s="434"/>
      <c r="K191" s="436"/>
    </row>
    <row r="192" spans="1:11" ht="19.5" customHeight="1">
      <c r="A192" s="351"/>
      <c r="F192" s="351"/>
      <c r="G192" s="351"/>
      <c r="I192" s="437"/>
      <c r="K192" s="437"/>
    </row>
    <row r="193" spans="1:11" ht="19.5" customHeight="1">
      <c r="A193" s="351"/>
      <c r="F193" s="351"/>
      <c r="G193" s="351"/>
      <c r="I193" s="434"/>
      <c r="K193" s="434"/>
    </row>
    <row r="194" spans="1:11" ht="19.5" customHeight="1">
      <c r="A194" s="351"/>
      <c r="F194" s="351"/>
      <c r="G194" s="351"/>
      <c r="I194" s="434"/>
      <c r="K194" s="434"/>
    </row>
    <row r="195" spans="1:11" ht="19.5" customHeight="1">
      <c r="A195" s="351"/>
      <c r="F195" s="351"/>
      <c r="G195" s="351"/>
      <c r="I195" s="434"/>
      <c r="K195" s="434"/>
    </row>
    <row r="196" spans="1:11" ht="19.5" customHeight="1">
      <c r="A196" s="351"/>
      <c r="F196" s="351"/>
      <c r="G196" s="351"/>
      <c r="I196" s="434"/>
      <c r="K196" s="434"/>
    </row>
    <row r="197" spans="1:11" ht="19.5" customHeight="1">
      <c r="A197" s="351"/>
      <c r="F197" s="351"/>
      <c r="G197" s="351"/>
      <c r="I197" s="434"/>
      <c r="K197" s="434"/>
    </row>
    <row r="198" spans="1:11" ht="19.5" customHeight="1">
      <c r="A198" s="433"/>
      <c r="B198" s="433"/>
      <c r="C198" s="433"/>
      <c r="D198" s="433"/>
      <c r="E198" s="433"/>
      <c r="F198" s="433"/>
      <c r="G198" s="433"/>
      <c r="H198" s="433"/>
      <c r="I198" s="433"/>
      <c r="K198" s="432"/>
    </row>
    <row r="199" spans="1:11" ht="19.5" customHeight="1">
      <c r="A199" s="433"/>
      <c r="B199" s="343"/>
      <c r="C199" s="343"/>
      <c r="E199" s="343"/>
      <c r="F199" s="351"/>
      <c r="G199" s="351"/>
      <c r="I199" s="434"/>
      <c r="K199" s="434"/>
    </row>
    <row r="200" spans="1:11" ht="19.5" customHeight="1">
      <c r="A200" s="351"/>
      <c r="F200" s="351"/>
      <c r="G200" s="351"/>
      <c r="I200" s="434"/>
      <c r="K200" s="434"/>
    </row>
    <row r="201" spans="1:11" ht="19.5" customHeight="1">
      <c r="A201" s="351"/>
      <c r="F201" s="351"/>
      <c r="G201" s="351"/>
      <c r="I201" s="434"/>
      <c r="K201" s="434"/>
    </row>
    <row r="202" spans="1:11" ht="19.5" customHeight="1">
      <c r="A202" s="351"/>
      <c r="F202" s="351"/>
      <c r="G202" s="351"/>
      <c r="I202" s="434"/>
      <c r="K202" s="434"/>
    </row>
    <row r="203" spans="1:11" ht="19.5" customHeight="1">
      <c r="A203" s="351"/>
      <c r="F203" s="351"/>
      <c r="G203" s="351"/>
      <c r="I203" s="434"/>
      <c r="K203" s="434"/>
    </row>
    <row r="204" spans="1:11" ht="19.5" customHeight="1">
      <c r="A204" s="351"/>
      <c r="F204" s="351"/>
      <c r="G204" s="351"/>
      <c r="I204" s="434"/>
      <c r="K204" s="434"/>
    </row>
    <row r="205" spans="1:11" ht="19.5" customHeight="1">
      <c r="A205" s="351"/>
      <c r="F205" s="351"/>
      <c r="G205" s="351"/>
      <c r="I205" s="434"/>
      <c r="K205" s="434"/>
    </row>
    <row r="206" spans="1:11" ht="19.5" customHeight="1">
      <c r="A206" s="351"/>
      <c r="F206" s="351"/>
      <c r="G206" s="351"/>
      <c r="I206" s="434"/>
      <c r="K206" s="434"/>
    </row>
    <row r="207" spans="1:11" ht="19.5" customHeight="1">
      <c r="K207" s="432"/>
    </row>
    <row r="208" spans="1:11" ht="19.5" customHeight="1"/>
    <row r="209" ht="19.5" customHeight="1"/>
    <row r="210" ht="19.5" customHeight="1"/>
    <row r="211" ht="19.5" customHeight="1"/>
    <row r="212" ht="19.5" customHeight="1"/>
    <row r="213" ht="19.5" customHeight="1"/>
    <row r="214" ht="19.5" customHeight="1"/>
    <row r="215" ht="19.5" customHeight="1"/>
    <row r="216" ht="19.5" customHeight="1"/>
    <row r="217" ht="19.5" customHeight="1"/>
    <row r="218" ht="19.5" customHeight="1"/>
    <row r="219" ht="19.5" customHeight="1"/>
    <row r="220" ht="19.5" customHeight="1"/>
    <row r="221" ht="19.5" customHeight="1"/>
    <row r="222" ht="19.5" customHeight="1"/>
    <row r="223" ht="19.5" customHeight="1"/>
    <row r="224" ht="19.5" customHeight="1"/>
    <row r="225" ht="19.5" customHeight="1"/>
    <row r="226" ht="19.5" customHeight="1"/>
    <row r="227" ht="19.5" customHeight="1"/>
    <row r="228" ht="19.5" customHeight="1"/>
    <row r="229" ht="19.5" customHeight="1"/>
    <row r="230" ht="19.5" customHeight="1"/>
    <row r="231" ht="19.5" customHeight="1"/>
    <row r="232" ht="19.5" customHeight="1"/>
    <row r="233" ht="19.5" customHeight="1"/>
    <row r="234" ht="19.5" customHeight="1"/>
    <row r="235" ht="19.5" customHeight="1"/>
    <row r="236" ht="19.5" customHeight="1"/>
    <row r="237" ht="19.5" customHeight="1"/>
    <row r="238" ht="19.5" customHeight="1"/>
    <row r="239" ht="19.5" customHeight="1"/>
    <row r="240" ht="19.5" customHeight="1"/>
    <row r="241" ht="19.5" customHeight="1"/>
    <row r="242" ht="19.5" customHeight="1"/>
    <row r="243" ht="19.5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  <row r="249" ht="20.100000000000001" customHeight="1"/>
    <row r="250" ht="20.100000000000001" customHeight="1"/>
    <row r="251" ht="20.100000000000001" customHeight="1"/>
    <row r="252" ht="20.100000000000001" customHeight="1"/>
    <row r="253" ht="20.100000000000001" customHeight="1"/>
    <row r="254" ht="20.100000000000001" customHeight="1"/>
    <row r="255" ht="20.100000000000001" customHeight="1"/>
    <row r="256" ht="20.100000000000001" customHeight="1"/>
    <row r="257" ht="20.100000000000001" customHeight="1"/>
    <row r="258" ht="20.100000000000001" customHeight="1"/>
    <row r="259" ht="20.100000000000001" customHeight="1"/>
    <row r="260" ht="20.100000000000001" customHeight="1"/>
    <row r="261" ht="20.100000000000001" customHeight="1"/>
    <row r="262" ht="20.100000000000001" customHeight="1"/>
    <row r="263" ht="20.100000000000001" customHeight="1"/>
    <row r="264" ht="20.100000000000001" customHeight="1"/>
  </sheetData>
  <mergeCells count="126">
    <mergeCell ref="S67:T67"/>
    <mergeCell ref="U67:V67"/>
    <mergeCell ref="J179:K179"/>
    <mergeCell ref="W91:X91"/>
    <mergeCell ref="L92:N92"/>
    <mergeCell ref="P92:Q92"/>
    <mergeCell ref="R92:S92"/>
    <mergeCell ref="T92:V92"/>
    <mergeCell ref="W92:X92"/>
    <mergeCell ref="P91:Q91"/>
    <mergeCell ref="R91:S91"/>
    <mergeCell ref="A89:J89"/>
    <mergeCell ref="L89:V89"/>
    <mergeCell ref="J178:K178"/>
    <mergeCell ref="T90:V90"/>
    <mergeCell ref="L78:T78"/>
    <mergeCell ref="W90:X90"/>
    <mergeCell ref="W86:AE86"/>
    <mergeCell ref="A87:J87"/>
    <mergeCell ref="L87:V87"/>
    <mergeCell ref="W87:AG87"/>
    <mergeCell ref="A91:B91"/>
    <mergeCell ref="C91:D91"/>
    <mergeCell ref="E91:F91"/>
    <mergeCell ref="H91:I91"/>
    <mergeCell ref="L91:N91"/>
    <mergeCell ref="T91:V91"/>
    <mergeCell ref="W65:AE65"/>
    <mergeCell ref="W89:AG89"/>
    <mergeCell ref="A90:B90"/>
    <mergeCell ref="C90:D90"/>
    <mergeCell ref="E90:F90"/>
    <mergeCell ref="H90:I90"/>
    <mergeCell ref="L90:N90"/>
    <mergeCell ref="P90:Q90"/>
    <mergeCell ref="R90:S90"/>
    <mergeCell ref="W77:AE77"/>
    <mergeCell ref="W68:W69"/>
    <mergeCell ref="X68:AA69"/>
    <mergeCell ref="AB68:AB69"/>
    <mergeCell ref="AC68:AC69"/>
    <mergeCell ref="AD68:AE68"/>
    <mergeCell ref="AF68:AG68"/>
    <mergeCell ref="AD69:AE69"/>
    <mergeCell ref="AF69:AG69"/>
    <mergeCell ref="L66:L67"/>
    <mergeCell ref="M66:P67"/>
    <mergeCell ref="Q66:Q67"/>
    <mergeCell ref="R66:R67"/>
    <mergeCell ref="S66:T66"/>
    <mergeCell ref="U66:V66"/>
    <mergeCell ref="AH46:AN46"/>
    <mergeCell ref="AH48:AI48"/>
    <mergeCell ref="A44:J44"/>
    <mergeCell ref="L44:V44"/>
    <mergeCell ref="W44:AG44"/>
    <mergeCell ref="AF47:AG47"/>
    <mergeCell ref="W47:W48"/>
    <mergeCell ref="X47:AA48"/>
    <mergeCell ref="S48:T48"/>
    <mergeCell ref="U48:V48"/>
    <mergeCell ref="AD48:AE48"/>
    <mergeCell ref="AF48:AG48"/>
    <mergeCell ref="S47:T47"/>
    <mergeCell ref="U47:V47"/>
    <mergeCell ref="AB47:AB48"/>
    <mergeCell ref="AH49:AI49"/>
    <mergeCell ref="W56:AE56"/>
    <mergeCell ref="L59:T59"/>
    <mergeCell ref="L47:L48"/>
    <mergeCell ref="Q47:Q48"/>
    <mergeCell ref="R47:R48"/>
    <mergeCell ref="AD26:AE26"/>
    <mergeCell ref="AF26:AG26"/>
    <mergeCell ref="AC47:AC48"/>
    <mergeCell ref="M47:P48"/>
    <mergeCell ref="AH44:AN44"/>
    <mergeCell ref="M24:P25"/>
    <mergeCell ref="Q24:Q25"/>
    <mergeCell ref="L24:L25"/>
    <mergeCell ref="S24:T24"/>
    <mergeCell ref="AD47:AE47"/>
    <mergeCell ref="L36:T36"/>
    <mergeCell ref="S25:T25"/>
    <mergeCell ref="R24:R25"/>
    <mergeCell ref="W43:AE43"/>
    <mergeCell ref="U25:V25"/>
    <mergeCell ref="W25:W26"/>
    <mergeCell ref="X25:AA26"/>
    <mergeCell ref="AB25:AB26"/>
    <mergeCell ref="AC25:AC26"/>
    <mergeCell ref="W34:AE34"/>
    <mergeCell ref="U24:V24"/>
    <mergeCell ref="L17:T17"/>
    <mergeCell ref="H7:J7"/>
    <mergeCell ref="W13:AE13"/>
    <mergeCell ref="W22:AE22"/>
    <mergeCell ref="AD25:AE25"/>
    <mergeCell ref="AH1:AN1"/>
    <mergeCell ref="W4:W5"/>
    <mergeCell ref="X4:AA5"/>
    <mergeCell ref="AB4:AB5"/>
    <mergeCell ref="AC4:AC5"/>
    <mergeCell ref="AF5:AG5"/>
    <mergeCell ref="AD5:AE5"/>
    <mergeCell ref="W1:AG1"/>
    <mergeCell ref="AD4:AE4"/>
    <mergeCell ref="AF4:AG4"/>
    <mergeCell ref="S5:T5"/>
    <mergeCell ref="S6:T6"/>
    <mergeCell ref="U5:V5"/>
    <mergeCell ref="A1:J1"/>
    <mergeCell ref="L1:V1"/>
    <mergeCell ref="L5:L6"/>
    <mergeCell ref="AF25:AG25"/>
    <mergeCell ref="M5:P6"/>
    <mergeCell ref="Q5:Q6"/>
    <mergeCell ref="R5:R6"/>
    <mergeCell ref="A6:B6"/>
    <mergeCell ref="C6:D6"/>
    <mergeCell ref="F6:G6"/>
    <mergeCell ref="H6:J6"/>
    <mergeCell ref="U6:V6"/>
    <mergeCell ref="A7:B7"/>
    <mergeCell ref="C7:D7"/>
    <mergeCell ref="F7:G7"/>
  </mergeCells>
  <phoneticPr fontId="31" type="noConversion"/>
  <pageMargins left="0.75" right="0.75" top="1" bottom="1" header="0.5" footer="0.5"/>
  <pageSetup paperSize="9" scale="90" orientation="portrait" r:id="rId1"/>
  <headerFooter alignWithMargins="0"/>
  <colBreaks count="2" manualBreakCount="2">
    <brk id="11" max="1048575" man="1"/>
    <brk id="33" max="178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4"/>
  <dimension ref="A1:AC24"/>
  <sheetViews>
    <sheetView view="pageBreakPreview" topLeftCell="A10" workbookViewId="0">
      <selection activeCell="J24" sqref="J24"/>
    </sheetView>
  </sheetViews>
  <sheetFormatPr defaultRowHeight="21"/>
  <cols>
    <col min="1" max="1" width="15.33203125" customWidth="1"/>
    <col min="2" max="11" width="12.33203125" customWidth="1"/>
    <col min="12" max="12" width="13.33203125" customWidth="1"/>
    <col min="13" max="13" width="8" customWidth="1"/>
    <col min="14" max="14" width="13" customWidth="1"/>
    <col min="15" max="15" width="8" customWidth="1"/>
    <col min="19" max="19" width="6.33203125" customWidth="1"/>
    <col min="20" max="20" width="13.5" customWidth="1"/>
    <col min="21" max="21" width="8.1640625" customWidth="1"/>
    <col min="22" max="22" width="3.83203125" customWidth="1"/>
    <col min="23" max="23" width="11.5" customWidth="1"/>
    <col min="24" max="24" width="22" customWidth="1"/>
    <col min="25" max="25" width="8.5" customWidth="1"/>
    <col min="26" max="26" width="7.6640625" customWidth="1"/>
    <col min="27" max="27" width="14.6640625" customWidth="1"/>
    <col min="29" max="29" width="4.33203125" customWidth="1"/>
  </cols>
  <sheetData>
    <row r="1" spans="1:29" ht="23.25">
      <c r="A1" s="2375" t="s">
        <v>698</v>
      </c>
      <c r="B1" s="2375"/>
      <c r="C1" s="2375"/>
      <c r="D1" s="2375"/>
      <c r="E1" s="2375"/>
      <c r="F1" s="2375"/>
      <c r="G1" s="2375"/>
      <c r="H1" s="2375"/>
      <c r="I1" s="2375"/>
      <c r="J1" s="2375"/>
      <c r="K1" s="2375"/>
      <c r="L1" s="2375"/>
      <c r="M1" s="2375"/>
      <c r="N1" s="2375"/>
    </row>
    <row r="2" spans="1:29" ht="24" thickBot="1">
      <c r="E2" s="513" t="s">
        <v>577</v>
      </c>
      <c r="F2" s="514">
        <v>11</v>
      </c>
      <c r="G2" s="515" t="s">
        <v>380</v>
      </c>
      <c r="P2" s="313" t="s">
        <v>390</v>
      </c>
      <c r="Q2" s="516">
        <v>2.1</v>
      </c>
      <c r="R2" s="313" t="s">
        <v>699</v>
      </c>
      <c r="S2" s="511" t="s">
        <v>889</v>
      </c>
      <c r="X2" t="s">
        <v>700</v>
      </c>
      <c r="Y2" s="517">
        <f>(U5*2/0.45)+2</f>
        <v>34.444444444444443</v>
      </c>
      <c r="Z2" s="151" t="s">
        <v>448</v>
      </c>
      <c r="AB2" s="151"/>
    </row>
    <row r="3" spans="1:29" ht="21.75">
      <c r="A3" s="518" t="s">
        <v>701</v>
      </c>
      <c r="B3" s="519" t="s">
        <v>702</v>
      </c>
      <c r="C3" s="520" t="s">
        <v>703</v>
      </c>
      <c r="D3" s="520" t="s">
        <v>704</v>
      </c>
      <c r="E3" s="520" t="s">
        <v>705</v>
      </c>
      <c r="F3" s="521" t="s">
        <v>706</v>
      </c>
      <c r="G3" s="520" t="s">
        <v>707</v>
      </c>
      <c r="H3" s="520" t="s">
        <v>708</v>
      </c>
      <c r="I3" s="520" t="s">
        <v>709</v>
      </c>
      <c r="J3" s="520" t="s">
        <v>710</v>
      </c>
      <c r="K3" s="522" t="s">
        <v>711</v>
      </c>
      <c r="L3" s="520" t="s">
        <v>926</v>
      </c>
      <c r="M3" s="520" t="s">
        <v>200</v>
      </c>
      <c r="N3" s="522" t="s">
        <v>199</v>
      </c>
      <c r="O3" s="523" t="s">
        <v>885</v>
      </c>
      <c r="P3" t="s">
        <v>712</v>
      </c>
      <c r="R3" s="524">
        <f>F2</f>
        <v>11</v>
      </c>
      <c r="S3" s="515" t="s">
        <v>889</v>
      </c>
      <c r="Y3" s="525">
        <f>INT(Y2+0.5)</f>
        <v>34</v>
      </c>
      <c r="Z3" s="151" t="s">
        <v>448</v>
      </c>
      <c r="AA3" t="s">
        <v>713</v>
      </c>
      <c r="AB3" s="526">
        <f>Y3*R3</f>
        <v>374</v>
      </c>
      <c r="AC3" t="s">
        <v>889</v>
      </c>
    </row>
    <row r="4" spans="1:29" ht="24.75">
      <c r="A4" s="527" t="s">
        <v>390</v>
      </c>
      <c r="B4" s="528" t="s">
        <v>714</v>
      </c>
      <c r="C4" s="512" t="s">
        <v>715</v>
      </c>
      <c r="D4" s="512" t="s">
        <v>715</v>
      </c>
      <c r="E4" s="512" t="s">
        <v>715</v>
      </c>
      <c r="F4" s="512" t="s">
        <v>715</v>
      </c>
      <c r="G4" s="512" t="s">
        <v>715</v>
      </c>
      <c r="H4" s="512" t="s">
        <v>715</v>
      </c>
      <c r="I4" s="512" t="s">
        <v>715</v>
      </c>
      <c r="J4" s="512" t="s">
        <v>716</v>
      </c>
      <c r="K4" s="512" t="s">
        <v>717</v>
      </c>
      <c r="L4" s="512" t="s">
        <v>718</v>
      </c>
      <c r="M4" s="512" t="s">
        <v>719</v>
      </c>
      <c r="N4" s="529" t="s">
        <v>719</v>
      </c>
      <c r="O4" s="530" t="s">
        <v>720</v>
      </c>
      <c r="P4" s="531" t="s">
        <v>721</v>
      </c>
      <c r="X4" t="s">
        <v>722</v>
      </c>
      <c r="Y4" s="517">
        <f>(2.49/0.3)+1</f>
        <v>9.3000000000000007</v>
      </c>
      <c r="Z4" s="151" t="s">
        <v>448</v>
      </c>
      <c r="AB4" s="151"/>
    </row>
    <row r="5" spans="1:29" ht="21.75">
      <c r="A5" s="532" t="s">
        <v>723</v>
      </c>
      <c r="B5" s="533">
        <f>U6</f>
        <v>1232</v>
      </c>
      <c r="C5" s="534">
        <f>U8</f>
        <v>5.85</v>
      </c>
      <c r="D5" s="534">
        <f>U10</f>
        <v>356</v>
      </c>
      <c r="E5" s="534">
        <f>U12</f>
        <v>551.80000000000007</v>
      </c>
      <c r="F5" s="534">
        <f>U14</f>
        <v>712</v>
      </c>
      <c r="G5" s="534">
        <f>U16</f>
        <v>604.20000000000005</v>
      </c>
      <c r="H5" s="535">
        <f>U18+U20+U22+U24</f>
        <v>1397</v>
      </c>
      <c r="I5" s="521">
        <f>AB3</f>
        <v>374</v>
      </c>
      <c r="J5" s="521">
        <f>AB5</f>
        <v>14.4</v>
      </c>
      <c r="K5" s="536">
        <f>AB6</f>
        <v>116.8</v>
      </c>
      <c r="L5" s="536">
        <f>AB7</f>
        <v>196.08</v>
      </c>
      <c r="M5" s="537">
        <f>(6.187*R3)+(0.876*2)+(0.219*2)</f>
        <v>70.247</v>
      </c>
      <c r="N5" s="538">
        <f>0.365*R3</f>
        <v>4.0149999999999997</v>
      </c>
      <c r="O5" s="539">
        <f>(24.11*R3)+(10.95*2)</f>
        <v>287.10999999999996</v>
      </c>
      <c r="P5" t="s">
        <v>724</v>
      </c>
      <c r="R5" s="517">
        <f>(R3/0.14)+1</f>
        <v>79.571428571428569</v>
      </c>
      <c r="S5" s="151" t="s">
        <v>448</v>
      </c>
      <c r="T5" t="s">
        <v>725</v>
      </c>
      <c r="U5" s="540">
        <v>7.3</v>
      </c>
      <c r="V5" t="s">
        <v>889</v>
      </c>
      <c r="W5" s="541"/>
      <c r="Y5" s="525">
        <f>INT(Y4+0.5)</f>
        <v>9</v>
      </c>
      <c r="Z5" s="151" t="s">
        <v>448</v>
      </c>
      <c r="AA5" t="s">
        <v>713</v>
      </c>
      <c r="AB5" s="526">
        <f>0.8*Y5*2</f>
        <v>14.4</v>
      </c>
      <c r="AC5" t="s">
        <v>889</v>
      </c>
    </row>
    <row r="6" spans="1:29" ht="22.5" thickBot="1">
      <c r="A6" s="532"/>
      <c r="B6" s="542"/>
      <c r="C6" s="521"/>
      <c r="D6" s="521"/>
      <c r="E6" s="521"/>
      <c r="F6" s="521"/>
      <c r="G6" s="521"/>
      <c r="H6" s="521"/>
      <c r="I6" s="521"/>
      <c r="J6" s="521"/>
      <c r="K6" s="536"/>
      <c r="L6" s="536"/>
      <c r="M6" s="536"/>
      <c r="N6" s="543"/>
      <c r="O6" s="544"/>
      <c r="R6" s="525">
        <f>INT(R5+0.5)</f>
        <v>80</v>
      </c>
      <c r="S6" s="151" t="s">
        <v>448</v>
      </c>
      <c r="T6" t="s">
        <v>713</v>
      </c>
      <c r="U6" s="545">
        <f>(7.3+0.4)*R6*2</f>
        <v>1232</v>
      </c>
      <c r="V6" t="s">
        <v>889</v>
      </c>
      <c r="X6" t="s">
        <v>726</v>
      </c>
      <c r="Y6" s="151"/>
      <c r="Z6" s="151"/>
      <c r="AA6" t="s">
        <v>713</v>
      </c>
      <c r="AB6" s="526">
        <f>58.4*2</f>
        <v>116.8</v>
      </c>
      <c r="AC6" t="s">
        <v>889</v>
      </c>
    </row>
    <row r="7" spans="1:29" ht="22.5" thickBot="1">
      <c r="A7" s="546"/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P7" t="s">
        <v>727</v>
      </c>
      <c r="R7" s="547">
        <v>1</v>
      </c>
      <c r="S7" s="151" t="s">
        <v>448</v>
      </c>
      <c r="T7" t="s">
        <v>725</v>
      </c>
      <c r="U7">
        <v>1.95</v>
      </c>
      <c r="V7" t="s">
        <v>889</v>
      </c>
      <c r="X7" t="s">
        <v>728</v>
      </c>
      <c r="Y7" s="151"/>
      <c r="Z7" s="151"/>
      <c r="AA7" t="s">
        <v>713</v>
      </c>
      <c r="AB7" s="526">
        <f>98.04*2</f>
        <v>196.08</v>
      </c>
      <c r="AC7" t="s">
        <v>889</v>
      </c>
    </row>
    <row r="8" spans="1:29" ht="23.25">
      <c r="A8" s="151"/>
      <c r="B8" s="151"/>
      <c r="C8" s="518" t="s">
        <v>701</v>
      </c>
      <c r="D8" s="520" t="s">
        <v>729</v>
      </c>
      <c r="E8" s="520" t="s">
        <v>730</v>
      </c>
      <c r="F8" s="520" t="s">
        <v>731</v>
      </c>
      <c r="G8" s="520" t="s">
        <v>732</v>
      </c>
      <c r="H8" s="520" t="s">
        <v>733</v>
      </c>
      <c r="I8" s="522" t="s">
        <v>705</v>
      </c>
      <c r="J8" s="522" t="s">
        <v>926</v>
      </c>
      <c r="K8" s="522" t="s">
        <v>200</v>
      </c>
      <c r="L8" s="522" t="s">
        <v>199</v>
      </c>
      <c r="M8" s="523" t="s">
        <v>885</v>
      </c>
      <c r="N8" s="151"/>
      <c r="R8" s="525">
        <f>INT(R7+0.5)</f>
        <v>1</v>
      </c>
      <c r="S8" s="151" t="s">
        <v>448</v>
      </c>
      <c r="T8" t="s">
        <v>713</v>
      </c>
      <c r="U8" s="548">
        <f>R8*U7*3</f>
        <v>5.85</v>
      </c>
      <c r="V8" t="s">
        <v>889</v>
      </c>
      <c r="X8" s="531" t="s">
        <v>734</v>
      </c>
    </row>
    <row r="9" spans="1:29" ht="24.75">
      <c r="C9" s="527" t="s">
        <v>390</v>
      </c>
      <c r="D9" s="512" t="s">
        <v>717</v>
      </c>
      <c r="E9" s="512" t="s">
        <v>715</v>
      </c>
      <c r="F9" s="512" t="s">
        <v>715</v>
      </c>
      <c r="G9" s="512" t="s">
        <v>715</v>
      </c>
      <c r="H9" s="512" t="s">
        <v>715</v>
      </c>
      <c r="I9" s="529" t="s">
        <v>715</v>
      </c>
      <c r="J9" s="529" t="s">
        <v>718</v>
      </c>
      <c r="K9" s="529" t="s">
        <v>719</v>
      </c>
      <c r="L9" s="529" t="s">
        <v>719</v>
      </c>
      <c r="M9" s="530" t="s">
        <v>720</v>
      </c>
      <c r="P9" t="s">
        <v>735</v>
      </c>
      <c r="R9" s="517">
        <f>(R3/0.125)+1</f>
        <v>89</v>
      </c>
      <c r="S9" s="151" t="s">
        <v>448</v>
      </c>
      <c r="T9" t="s">
        <v>725</v>
      </c>
      <c r="U9">
        <v>2</v>
      </c>
      <c r="V9" t="s">
        <v>889</v>
      </c>
      <c r="X9" t="s">
        <v>736</v>
      </c>
      <c r="Y9" s="547"/>
      <c r="Z9" s="151"/>
      <c r="AB9" s="151"/>
    </row>
    <row r="10" spans="1:29" ht="21.75">
      <c r="C10" s="532" t="s">
        <v>723</v>
      </c>
      <c r="D10" s="521">
        <f>AB10</f>
        <v>96.8</v>
      </c>
      <c r="E10" s="521">
        <f>AB12</f>
        <v>72.239999999999995</v>
      </c>
      <c r="F10" s="521">
        <f>AB14</f>
        <v>72.239999999999995</v>
      </c>
      <c r="G10" s="521">
        <f>AB16</f>
        <v>248</v>
      </c>
      <c r="H10" s="521">
        <f>AB18</f>
        <v>198.24</v>
      </c>
      <c r="I10" s="536">
        <f>AB20</f>
        <v>37.92</v>
      </c>
      <c r="J10" s="536">
        <f>AB22</f>
        <v>69.63</v>
      </c>
      <c r="K10" s="549">
        <v>21.84</v>
      </c>
      <c r="L10" s="549">
        <v>2.68</v>
      </c>
      <c r="M10" s="550">
        <v>21.1</v>
      </c>
      <c r="R10" s="525">
        <f>INT(R9+0.5)</f>
        <v>89</v>
      </c>
      <c r="S10" s="151" t="s">
        <v>448</v>
      </c>
      <c r="T10" t="s">
        <v>713</v>
      </c>
      <c r="U10" s="548">
        <f>R10*U9*2</f>
        <v>356</v>
      </c>
      <c r="V10" t="s">
        <v>889</v>
      </c>
      <c r="Y10" s="525"/>
      <c r="Z10" s="151"/>
      <c r="AA10" t="s">
        <v>713</v>
      </c>
      <c r="AB10" s="551">
        <v>96.8</v>
      </c>
      <c r="AC10" t="s">
        <v>889</v>
      </c>
    </row>
    <row r="11" spans="1:29" ht="21.75" thickBot="1">
      <c r="C11" s="552"/>
      <c r="D11" s="553"/>
      <c r="E11" s="553"/>
      <c r="F11" s="553"/>
      <c r="G11" s="553"/>
      <c r="H11" s="553"/>
      <c r="I11" s="554"/>
      <c r="J11" s="554"/>
      <c r="K11" s="555"/>
      <c r="L11" s="555"/>
      <c r="M11" s="556"/>
      <c r="P11" t="s">
        <v>737</v>
      </c>
      <c r="R11" s="517">
        <f>(R3/0.125)+1</f>
        <v>89</v>
      </c>
      <c r="S11" s="151" t="s">
        <v>448</v>
      </c>
      <c r="T11" t="s">
        <v>725</v>
      </c>
      <c r="U11">
        <v>3.1</v>
      </c>
      <c r="V11" t="s">
        <v>889</v>
      </c>
      <c r="X11" t="s">
        <v>738</v>
      </c>
      <c r="Y11" s="547"/>
      <c r="Z11" s="151" t="s">
        <v>448</v>
      </c>
      <c r="AA11" t="s">
        <v>725</v>
      </c>
      <c r="AB11" s="557"/>
      <c r="AC11" t="s">
        <v>889</v>
      </c>
    </row>
    <row r="12" spans="1:29" ht="21.75">
      <c r="R12" s="525">
        <f>INT(R11+0.5)</f>
        <v>89</v>
      </c>
      <c r="S12" s="151" t="s">
        <v>448</v>
      </c>
      <c r="T12" t="s">
        <v>713</v>
      </c>
      <c r="U12" s="548">
        <f>R12*U11*2</f>
        <v>551.80000000000007</v>
      </c>
      <c r="V12" t="s">
        <v>889</v>
      </c>
      <c r="Y12" s="525"/>
      <c r="Z12" s="151" t="s">
        <v>448</v>
      </c>
      <c r="AA12" t="s">
        <v>713</v>
      </c>
      <c r="AB12" s="551">
        <v>72.239999999999995</v>
      </c>
      <c r="AC12" t="s">
        <v>889</v>
      </c>
    </row>
    <row r="13" spans="1:29" ht="23.25">
      <c r="A13" s="2582" t="s">
        <v>739</v>
      </c>
      <c r="B13" s="2582"/>
      <c r="C13" s="2582"/>
      <c r="D13" s="2582"/>
      <c r="E13" s="2582"/>
      <c r="F13" s="2582"/>
      <c r="G13" s="2582"/>
      <c r="H13" s="2582"/>
      <c r="I13" s="2582"/>
      <c r="J13" s="2582"/>
      <c r="K13" s="2582"/>
      <c r="P13" t="s">
        <v>740</v>
      </c>
      <c r="R13" s="517">
        <f>(R3/0.125)+1</f>
        <v>89</v>
      </c>
      <c r="S13" s="151" t="s">
        <v>448</v>
      </c>
      <c r="T13" t="s">
        <v>725</v>
      </c>
      <c r="U13">
        <v>2</v>
      </c>
      <c r="V13" t="s">
        <v>889</v>
      </c>
      <c r="X13" t="s">
        <v>741</v>
      </c>
      <c r="Y13" s="547"/>
      <c r="Z13" s="151" t="s">
        <v>448</v>
      </c>
      <c r="AA13" t="s">
        <v>725</v>
      </c>
      <c r="AB13" s="151"/>
      <c r="AC13" t="s">
        <v>889</v>
      </c>
    </row>
    <row r="14" spans="1:29" ht="24.75" customHeight="1">
      <c r="A14" s="558" t="s">
        <v>200</v>
      </c>
      <c r="B14" s="151">
        <f>M5+K10</f>
        <v>92.087000000000003</v>
      </c>
      <c r="C14" s="151" t="s">
        <v>719</v>
      </c>
      <c r="D14" s="151" t="s">
        <v>742</v>
      </c>
      <c r="E14" s="559">
        <f>INT(B14*1+0.5)</f>
        <v>92</v>
      </c>
      <c r="F14" s="515" t="s">
        <v>743</v>
      </c>
      <c r="G14" s="560"/>
      <c r="H14" s="560"/>
      <c r="I14" s="560"/>
      <c r="R14" s="525">
        <f>INT(R13+0.5)</f>
        <v>89</v>
      </c>
      <c r="S14" s="151" t="s">
        <v>448</v>
      </c>
      <c r="T14" t="s">
        <v>713</v>
      </c>
      <c r="U14" s="548">
        <f>U13*R14*4</f>
        <v>712</v>
      </c>
      <c r="V14" t="s">
        <v>889</v>
      </c>
      <c r="Y14" s="525">
        <f>INT(Y13+0.5)</f>
        <v>0</v>
      </c>
      <c r="Z14" s="151" t="s">
        <v>448</v>
      </c>
      <c r="AA14" t="s">
        <v>713</v>
      </c>
      <c r="AB14" s="551">
        <v>72.239999999999995</v>
      </c>
      <c r="AC14" t="s">
        <v>889</v>
      </c>
    </row>
    <row r="15" spans="1:29" ht="24.75">
      <c r="A15" s="558" t="s">
        <v>199</v>
      </c>
      <c r="B15" s="557">
        <f>N5+L10</f>
        <v>6.6950000000000003</v>
      </c>
      <c r="C15" s="151" t="s">
        <v>719</v>
      </c>
      <c r="D15" s="151" t="s">
        <v>742</v>
      </c>
      <c r="E15" s="559">
        <f>(B15*1+0.5)</f>
        <v>7.1950000000000003</v>
      </c>
      <c r="F15" s="515" t="s">
        <v>743</v>
      </c>
      <c r="G15" t="s">
        <v>886</v>
      </c>
      <c r="H15" s="515">
        <f>INT(E16*0.25+0.5)</f>
        <v>77</v>
      </c>
      <c r="I15" t="s">
        <v>894</v>
      </c>
      <c r="J15" s="515">
        <f>E15*2</f>
        <v>14.39</v>
      </c>
      <c r="P15" t="s">
        <v>744</v>
      </c>
      <c r="R15" s="517">
        <f>(R3/0.3)+1</f>
        <v>37.666666666666671</v>
      </c>
      <c r="S15" s="151" t="s">
        <v>448</v>
      </c>
      <c r="T15" t="s">
        <v>725</v>
      </c>
      <c r="U15">
        <v>2.65</v>
      </c>
      <c r="V15" t="s">
        <v>889</v>
      </c>
      <c r="X15" t="s">
        <v>745</v>
      </c>
      <c r="Y15" s="547"/>
      <c r="Z15" s="151" t="s">
        <v>448</v>
      </c>
      <c r="AA15" t="s">
        <v>725</v>
      </c>
      <c r="AB15" s="151"/>
      <c r="AC15" t="s">
        <v>889</v>
      </c>
    </row>
    <row r="16" spans="1:29" ht="24.75">
      <c r="A16" s="558" t="s">
        <v>885</v>
      </c>
      <c r="B16" s="557">
        <f>O5+M10</f>
        <v>308.20999999999998</v>
      </c>
      <c r="C16" s="151" t="s">
        <v>720</v>
      </c>
      <c r="D16" s="151" t="s">
        <v>742</v>
      </c>
      <c r="E16" s="561">
        <f>INT(B16+0.5)</f>
        <v>308</v>
      </c>
      <c r="F16" s="515" t="s">
        <v>746</v>
      </c>
      <c r="G16" t="s">
        <v>747</v>
      </c>
      <c r="H16" s="515">
        <f>INT(E16*0.5+0.5)</f>
        <v>154</v>
      </c>
      <c r="I16" s="562" t="s">
        <v>748</v>
      </c>
      <c r="J16" s="515">
        <f>INT(E16*0.3+0.5)</f>
        <v>92</v>
      </c>
      <c r="R16" s="525">
        <f>INT(R15+0.5)</f>
        <v>38</v>
      </c>
      <c r="S16" s="151" t="s">
        <v>448</v>
      </c>
      <c r="T16" t="s">
        <v>713</v>
      </c>
      <c r="U16" s="548">
        <f>R16*U15*6</f>
        <v>604.20000000000005</v>
      </c>
      <c r="V16" t="s">
        <v>889</v>
      </c>
      <c r="Y16" s="525">
        <f>INT(Y15+0.5)</f>
        <v>0</v>
      </c>
      <c r="Z16" s="151" t="s">
        <v>448</v>
      </c>
      <c r="AA16" t="s">
        <v>713</v>
      </c>
      <c r="AB16" s="551">
        <v>248</v>
      </c>
      <c r="AC16" t="s">
        <v>889</v>
      </c>
    </row>
    <row r="17" spans="1:29">
      <c r="A17" s="558" t="s">
        <v>349</v>
      </c>
      <c r="B17" s="151"/>
      <c r="C17" s="151"/>
      <c r="D17" s="151"/>
      <c r="E17" s="151"/>
      <c r="F17" s="151"/>
      <c r="P17" t="s">
        <v>749</v>
      </c>
      <c r="R17" s="547">
        <f>(8.2/0.23)+1+2</f>
        <v>38.652173913043477</v>
      </c>
      <c r="X17" t="s">
        <v>753</v>
      </c>
      <c r="Y17" s="547">
        <v>0</v>
      </c>
      <c r="Z17" s="151" t="s">
        <v>448</v>
      </c>
      <c r="AA17" t="s">
        <v>725</v>
      </c>
      <c r="AB17" s="151"/>
      <c r="AC17" t="s">
        <v>889</v>
      </c>
    </row>
    <row r="18" spans="1:29" ht="23.25">
      <c r="A18" s="513" t="s">
        <v>718</v>
      </c>
      <c r="B18" s="151">
        <f>L5+J10</f>
        <v>265.71000000000004</v>
      </c>
      <c r="C18" s="151" t="s">
        <v>889</v>
      </c>
      <c r="D18" s="151" t="s">
        <v>754</v>
      </c>
      <c r="E18" s="563">
        <f>B18*1.1</f>
        <v>292.28100000000006</v>
      </c>
      <c r="F18" s="151" t="s">
        <v>755</v>
      </c>
      <c r="G18" s="563">
        <f>E18*0.222</f>
        <v>64.886382000000012</v>
      </c>
      <c r="H18" s="151" t="s">
        <v>887</v>
      </c>
      <c r="I18" s="151" t="s">
        <v>756</v>
      </c>
      <c r="J18" s="564">
        <f>G18/1000</f>
        <v>6.4886382000000006E-2</v>
      </c>
      <c r="K18" s="515" t="s">
        <v>187</v>
      </c>
      <c r="R18" s="525">
        <f>INT(R17*1000/1000+0.5)</f>
        <v>39</v>
      </c>
      <c r="S18" s="151" t="s">
        <v>448</v>
      </c>
      <c r="T18" t="s">
        <v>713</v>
      </c>
      <c r="U18" s="548">
        <f>R18*1*R3</f>
        <v>429</v>
      </c>
      <c r="V18" t="s">
        <v>889</v>
      </c>
      <c r="Y18" s="525">
        <f>INT(Y17+0.5)</f>
        <v>0</v>
      </c>
      <c r="Z18" s="151" t="s">
        <v>448</v>
      </c>
      <c r="AA18" t="s">
        <v>713</v>
      </c>
      <c r="AB18" s="551">
        <v>198.24</v>
      </c>
      <c r="AC18" t="s">
        <v>889</v>
      </c>
    </row>
    <row r="19" spans="1:29" ht="23.25">
      <c r="A19" s="513" t="s">
        <v>717</v>
      </c>
      <c r="B19" s="151">
        <f>K5+D10</f>
        <v>213.6</v>
      </c>
      <c r="C19" s="151" t="s">
        <v>889</v>
      </c>
      <c r="D19" s="151" t="s">
        <v>754</v>
      </c>
      <c r="E19" s="563">
        <f>B19*1.1</f>
        <v>234.96</v>
      </c>
      <c r="F19" s="151" t="s">
        <v>755</v>
      </c>
      <c r="G19" s="563">
        <f>E19*0.499</f>
        <v>117.24504</v>
      </c>
      <c r="H19" s="151" t="s">
        <v>887</v>
      </c>
      <c r="I19" s="151" t="s">
        <v>756</v>
      </c>
      <c r="J19" s="564">
        <f>G19/1000</f>
        <v>0.11724504000000001</v>
      </c>
      <c r="K19" s="515" t="s">
        <v>187</v>
      </c>
      <c r="R19" s="517">
        <v>5</v>
      </c>
      <c r="S19" s="151"/>
      <c r="X19" t="s">
        <v>737</v>
      </c>
      <c r="Y19" s="547">
        <v>4</v>
      </c>
      <c r="Z19" s="151" t="s">
        <v>448</v>
      </c>
      <c r="AA19" t="s">
        <v>725</v>
      </c>
      <c r="AB19" s="151">
        <v>9.48</v>
      </c>
      <c r="AC19" t="s">
        <v>889</v>
      </c>
    </row>
    <row r="20" spans="1:29" ht="23.25">
      <c r="A20" s="513" t="s">
        <v>715</v>
      </c>
      <c r="B20" s="563">
        <f>C5+D5+E5+F5+G5+H5+I5+E10+F10+G10+H10+I10</f>
        <v>4629.49</v>
      </c>
      <c r="C20" s="151" t="s">
        <v>889</v>
      </c>
      <c r="D20" s="151" t="s">
        <v>754</v>
      </c>
      <c r="E20" s="563">
        <f>B20*1.1</f>
        <v>5092.4390000000003</v>
      </c>
      <c r="F20" s="151" t="s">
        <v>755</v>
      </c>
      <c r="G20" s="563">
        <f>E20*0.888</f>
        <v>4522.0858320000007</v>
      </c>
      <c r="H20" s="151" t="s">
        <v>887</v>
      </c>
      <c r="I20" s="151" t="s">
        <v>756</v>
      </c>
      <c r="J20" s="564">
        <f>G20/1000</f>
        <v>4.522085832000001</v>
      </c>
      <c r="K20" s="515" t="s">
        <v>187</v>
      </c>
      <c r="R20" s="525">
        <f>INT(R19*1000/1000+0.5)</f>
        <v>5</v>
      </c>
      <c r="S20" s="151" t="s">
        <v>448</v>
      </c>
      <c r="T20" t="s">
        <v>713</v>
      </c>
      <c r="U20" s="548">
        <f>R20*2*R3</f>
        <v>110</v>
      </c>
      <c r="V20" t="s">
        <v>889</v>
      </c>
      <c r="Y20" s="525">
        <f>INT(Y19+0.5)</f>
        <v>4</v>
      </c>
      <c r="Z20" s="151" t="s">
        <v>448</v>
      </c>
      <c r="AA20" t="s">
        <v>713</v>
      </c>
      <c r="AB20" s="551">
        <f>AB19*Y20</f>
        <v>37.92</v>
      </c>
      <c r="AC20" t="s">
        <v>889</v>
      </c>
    </row>
    <row r="21" spans="1:29" ht="23.25">
      <c r="A21" s="513" t="s">
        <v>714</v>
      </c>
      <c r="B21" s="563">
        <f>B5</f>
        <v>1232</v>
      </c>
      <c r="C21" s="151" t="s">
        <v>889</v>
      </c>
      <c r="D21" s="151" t="s">
        <v>754</v>
      </c>
      <c r="E21" s="563">
        <f>B21*1.1</f>
        <v>1355.2</v>
      </c>
      <c r="F21" s="151" t="s">
        <v>755</v>
      </c>
      <c r="G21" s="563">
        <f>E21*1.579</f>
        <v>2139.8607999999999</v>
      </c>
      <c r="H21" s="151" t="s">
        <v>887</v>
      </c>
      <c r="I21" s="151" t="s">
        <v>756</v>
      </c>
      <c r="J21" s="564">
        <f>G21/1000</f>
        <v>2.1398608000000001</v>
      </c>
      <c r="K21" s="515" t="s">
        <v>187</v>
      </c>
      <c r="R21" s="547">
        <v>9</v>
      </c>
      <c r="S21" s="151"/>
      <c r="U21" s="541"/>
      <c r="X21" t="s">
        <v>757</v>
      </c>
      <c r="Y21" s="547"/>
      <c r="Z21" s="151" t="s">
        <v>448</v>
      </c>
      <c r="AA21" t="s">
        <v>725</v>
      </c>
      <c r="AB21" s="151">
        <v>0</v>
      </c>
      <c r="AC21" t="s">
        <v>889</v>
      </c>
    </row>
    <row r="22" spans="1:29" ht="23.25">
      <c r="A22" s="513" t="s">
        <v>758</v>
      </c>
      <c r="B22" s="151">
        <f>J5</f>
        <v>14.4</v>
      </c>
      <c r="C22" s="151" t="s">
        <v>889</v>
      </c>
      <c r="D22" s="151" t="s">
        <v>754</v>
      </c>
      <c r="E22" s="563">
        <f>B22*1.1</f>
        <v>15.840000000000002</v>
      </c>
      <c r="F22" s="151" t="s">
        <v>755</v>
      </c>
      <c r="G22" s="563">
        <f>E22*2.466</f>
        <v>39.061440000000005</v>
      </c>
      <c r="H22" s="151" t="s">
        <v>887</v>
      </c>
      <c r="I22" s="151" t="s">
        <v>756</v>
      </c>
      <c r="J22" s="564">
        <f>G22/1000</f>
        <v>3.9061440000000003E-2</v>
      </c>
      <c r="K22" s="515" t="s">
        <v>187</v>
      </c>
      <c r="R22" s="525">
        <f>INT(R21*1000/1000+0.5)</f>
        <v>9</v>
      </c>
      <c r="S22" s="151" t="s">
        <v>448</v>
      </c>
      <c r="T22" t="s">
        <v>713</v>
      </c>
      <c r="U22" s="548">
        <f>R22*2*R3</f>
        <v>198</v>
      </c>
      <c r="V22" t="s">
        <v>889</v>
      </c>
      <c r="Y22" s="525">
        <f>INT(Y21+0.5)</f>
        <v>0</v>
      </c>
      <c r="Z22" s="151" t="s">
        <v>448</v>
      </c>
      <c r="AA22" t="s">
        <v>713</v>
      </c>
      <c r="AB22" s="551">
        <v>69.63</v>
      </c>
      <c r="AC22" t="s">
        <v>889</v>
      </c>
    </row>
    <row r="23" spans="1:29">
      <c r="I23" t="s">
        <v>186</v>
      </c>
      <c r="J23" s="565">
        <f>SUM(J18:J22)</f>
        <v>6.8831394940000017</v>
      </c>
      <c r="K23" s="515" t="s">
        <v>187</v>
      </c>
      <c r="R23" s="547">
        <v>10</v>
      </c>
    </row>
    <row r="24" spans="1:29" ht="21.75">
      <c r="I24" t="s">
        <v>892</v>
      </c>
      <c r="J24" s="515">
        <f>INT(J23*25+0.5)</f>
        <v>172</v>
      </c>
      <c r="K24" t="s">
        <v>887</v>
      </c>
      <c r="R24" s="525">
        <f>INT(R23*1000/1000+0.5)</f>
        <v>10</v>
      </c>
      <c r="S24" s="151" t="s">
        <v>448</v>
      </c>
      <c r="T24" t="s">
        <v>713</v>
      </c>
      <c r="U24" s="548">
        <f>R24*6*R3</f>
        <v>660</v>
      </c>
      <c r="V24" t="s">
        <v>889</v>
      </c>
    </row>
  </sheetData>
  <mergeCells count="2">
    <mergeCell ref="A1:N1"/>
    <mergeCell ref="A13:K13"/>
  </mergeCells>
  <phoneticPr fontId="31" type="noConversion"/>
  <pageMargins left="0.7" right="0.7" top="0.75" bottom="0.75" header="0.3" footer="0.3"/>
  <pageSetup paperSize="9" scale="87" orientation="landscape" r:id="rId1"/>
  <colBreaks count="1" manualBreakCount="1">
    <brk id="15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5"/>
  <dimension ref="A1"/>
  <sheetViews>
    <sheetView workbookViewId="0"/>
  </sheetViews>
  <sheetFormatPr defaultRowHeight="21"/>
  <sheetData/>
  <phoneticPr fontId="3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FFFF00"/>
  </sheetPr>
  <dimension ref="A1:M38"/>
  <sheetViews>
    <sheetView view="pageBreakPreview" topLeftCell="A4" zoomScale="115" zoomScaleSheetLayoutView="115" workbookViewId="0">
      <selection activeCell="E7" sqref="E7"/>
    </sheetView>
  </sheetViews>
  <sheetFormatPr defaultColWidth="9.33203125" defaultRowHeight="18.75"/>
  <cols>
    <col min="1" max="2" width="8.83203125" style="930" customWidth="1"/>
    <col min="3" max="3" width="12.83203125" style="930" customWidth="1"/>
    <col min="4" max="4" width="12.1640625" style="930" customWidth="1"/>
    <col min="5" max="5" width="17.1640625" style="930" customWidth="1"/>
    <col min="6" max="6" width="14" style="930" customWidth="1"/>
    <col min="7" max="7" width="19.5" style="930" customWidth="1"/>
    <col min="8" max="8" width="11.83203125" style="930" customWidth="1"/>
    <col min="9" max="9" width="9.33203125" style="930" customWidth="1"/>
    <col min="10" max="10" width="7" style="930" customWidth="1"/>
    <col min="11" max="11" width="19.33203125" style="930" customWidth="1"/>
    <col min="12" max="12" width="21.83203125" style="930" customWidth="1"/>
    <col min="13" max="13" width="14.6640625" style="930" bestFit="1" customWidth="1"/>
    <col min="14" max="16384" width="9.33203125" style="930"/>
  </cols>
  <sheetData>
    <row r="1" spans="1:13" ht="27" customHeight="1">
      <c r="A1" s="2239" t="s">
        <v>986</v>
      </c>
      <c r="B1" s="2239"/>
      <c r="C1" s="2239"/>
      <c r="D1" s="2239"/>
      <c r="E1" s="2239"/>
      <c r="F1" s="2239"/>
      <c r="G1" s="2239"/>
      <c r="H1" s="2239"/>
      <c r="I1" s="2239"/>
      <c r="J1" s="2239"/>
    </row>
    <row r="2" spans="1:13" ht="21.95" customHeight="1">
      <c r="A2" s="2089" t="s">
        <v>469</v>
      </c>
      <c r="C2" s="1308" t="str">
        <f>กรอกข้อมูล!B2</f>
        <v>กองช่าง</v>
      </c>
      <c r="D2" s="1087"/>
      <c r="E2" s="1087"/>
      <c r="F2" s="1308" t="str">
        <f>กรอกข้อมูล!B3</f>
        <v>องค์การบริหารส่วนตำบลคลองเมือง</v>
      </c>
      <c r="G2" s="1087"/>
      <c r="H2" s="1087"/>
      <c r="I2" s="1087"/>
      <c r="J2" s="1087"/>
    </row>
    <row r="3" spans="1:13" ht="21.95" customHeight="1">
      <c r="A3" s="933"/>
      <c r="C3" s="1308" t="str">
        <f>กรอกข้อมูล!B4</f>
        <v>กรมส่งเสริมการปกครองท้องถิ่น</v>
      </c>
      <c r="D3" s="1087"/>
      <c r="E3" s="1087"/>
      <c r="F3" s="1308" t="str">
        <f>กรอกข้อมูล!A5&amp;""&amp;กรอกข้อมูล!B5</f>
        <v>กระทรวงมหาดไทย</v>
      </c>
      <c r="G3" s="1087"/>
      <c r="H3" s="1087"/>
      <c r="I3" s="1087"/>
      <c r="J3" s="1087"/>
    </row>
    <row r="4" spans="1:13" ht="21.95" customHeight="1">
      <c r="A4" s="2089" t="s">
        <v>143</v>
      </c>
      <c r="C4" s="1310" t="s">
        <v>1895</v>
      </c>
      <c r="G4" s="1274"/>
      <c r="I4" s="2241" t="str">
        <f>"(หนา  "&amp;ค่างานต้นทุน!J562&amp;" ม.)"</f>
        <v>(หนา  0.15 ม.)</v>
      </c>
      <c r="J4" s="2241"/>
      <c r="M4" s="1274"/>
    </row>
    <row r="5" spans="1:13" s="2087" customFormat="1" ht="60" customHeight="1">
      <c r="A5" s="2240" t="s">
        <v>1990</v>
      </c>
      <c r="B5" s="2240"/>
      <c r="C5" s="2242" t="str">
        <f>กรอกข้อมูล!B10&amp;"  "&amp;กรอกข้อมูล!A12&amp;""&amp;กรอกข้อมูล!B12&amp;"  "&amp;กรอกข้อมูล!A13&amp;""&amp;กรอกข้อมูล!B13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D5" s="2242"/>
      <c r="E5" s="2242"/>
      <c r="F5" s="2242"/>
      <c r="G5" s="2242"/>
      <c r="H5" s="2242"/>
      <c r="I5" s="2242"/>
      <c r="J5" s="2242"/>
      <c r="M5" s="2088"/>
    </row>
    <row r="6" spans="1:13" ht="21.95" customHeight="1">
      <c r="A6" s="2090" t="s">
        <v>139</v>
      </c>
      <c r="B6" s="1276"/>
      <c r="C6" s="1308" t="str">
        <f>กรอกข้อมูล!B3&amp;" "&amp;กรอกข้อมูล!B4&amp;" "&amp;กรอกข้อมูล!A5&amp;""&amp;กรอกข้อมูล!B5&amp;"   "&amp;"ออกแบบและรายการ"</f>
        <v>องค์การบริหารส่วนตำบลคลองเมือง กรมส่งเสริมการปกครองท้องถิ่น กระทรวงมหาดไทย   ออกแบบและรายการ</v>
      </c>
      <c r="D6" s="1277"/>
      <c r="E6" s="933"/>
      <c r="L6" s="1278"/>
    </row>
    <row r="7" spans="1:13" ht="21.95" customHeight="1">
      <c r="A7" s="1852" t="s">
        <v>108</v>
      </c>
      <c r="C7" s="1279"/>
      <c r="D7" s="1540" t="s">
        <v>183</v>
      </c>
      <c r="E7" s="2091">
        <f>กรอกข้อมูล!D18</f>
        <v>4</v>
      </c>
      <c r="G7" s="1540" t="s">
        <v>41</v>
      </c>
      <c r="H7" s="2092" t="str">
        <f>กรอกข้อมูล!B17</f>
        <v>มาตรฐานงานทางสำหรับ อปท. ทถ-2-301</v>
      </c>
    </row>
    <row r="8" spans="1:13" s="1283" customFormat="1" ht="21.95" customHeight="1">
      <c r="A8" s="1281" t="s">
        <v>1983</v>
      </c>
      <c r="B8" s="1282"/>
      <c r="C8" s="1280" t="s">
        <v>40</v>
      </c>
      <c r="D8" s="2243">
        <f>กรอกข้อมูล!B18</f>
        <v>44802</v>
      </c>
      <c r="E8" s="2243"/>
    </row>
    <row r="9" spans="1:13" s="1283" customFormat="1">
      <c r="A9" s="1281"/>
      <c r="B9" s="1282"/>
      <c r="C9" s="1280"/>
      <c r="D9" s="2101"/>
      <c r="E9" s="2101"/>
    </row>
    <row r="10" spans="1:13" s="1310" customFormat="1" ht="35.1" customHeight="1">
      <c r="A10" s="2126" t="s">
        <v>195</v>
      </c>
      <c r="B10" s="2221" t="s">
        <v>182</v>
      </c>
      <c r="C10" s="2222"/>
      <c r="D10" s="2223"/>
      <c r="E10" s="2127" t="s">
        <v>205</v>
      </c>
      <c r="F10" s="2127" t="s">
        <v>206</v>
      </c>
      <c r="G10" s="2126" t="s">
        <v>472</v>
      </c>
      <c r="H10" s="2221" t="s">
        <v>895</v>
      </c>
      <c r="I10" s="2222"/>
      <c r="J10" s="2223"/>
    </row>
    <row r="11" spans="1:13" ht="21.95" customHeight="1">
      <c r="A11" s="1456">
        <v>1</v>
      </c>
      <c r="B11" s="2229" t="s">
        <v>473</v>
      </c>
      <c r="C11" s="2230"/>
      <c r="D11" s="2231"/>
      <c r="E11" s="1285">
        <f>'ปร.4 road'!H121</f>
        <v>1144366.99</v>
      </c>
      <c r="F11" s="1286">
        <f>IF(E11&lt;=0,0,'(F Road)'!M11)</f>
        <v>1.3607</v>
      </c>
      <c r="G11" s="1287">
        <f>E11*F11</f>
        <v>1557140.1632930001</v>
      </c>
      <c r="H11" s="2094" t="s">
        <v>439</v>
      </c>
      <c r="I11" s="2094" t="str">
        <f>ค่างานต้นทุน!A49</f>
        <v>พื้นที่ปกติ</v>
      </c>
      <c r="J11" s="1773"/>
      <c r="L11" s="1289">
        <f>E11*F11</f>
        <v>1557140.1632930001</v>
      </c>
      <c r="M11" s="1290"/>
    </row>
    <row r="12" spans="1:13" ht="21.95" customHeight="1">
      <c r="A12" s="1456">
        <v>2</v>
      </c>
      <c r="B12" s="2229" t="s">
        <v>474</v>
      </c>
      <c r="C12" s="2230"/>
      <c r="D12" s="2231"/>
      <c r="E12" s="1291">
        <f>'ปร.4 road'!H127</f>
        <v>0</v>
      </c>
      <c r="F12" s="1286">
        <f>IF(E12&lt;=0,0,'F(Bridge)'!M11)</f>
        <v>0</v>
      </c>
      <c r="G12" s="1287">
        <f>'ปร.4 road'!K127</f>
        <v>0</v>
      </c>
      <c r="H12" s="928" t="s">
        <v>908</v>
      </c>
      <c r="I12" s="928"/>
      <c r="J12" s="2093">
        <f>กรอกข้อมูล!$D$10</f>
        <v>0</v>
      </c>
      <c r="L12" s="1292">
        <f>E12*F12</f>
        <v>0</v>
      </c>
    </row>
    <row r="13" spans="1:13" ht="21.95" customHeight="1">
      <c r="A13" s="1456">
        <v>3</v>
      </c>
      <c r="B13" s="2229" t="s">
        <v>1375</v>
      </c>
      <c r="C13" s="2230"/>
      <c r="D13" s="2231"/>
      <c r="E13" s="1293">
        <f>'ปร.4 road'!H133</f>
        <v>0</v>
      </c>
      <c r="F13" s="1294">
        <f>'ปร.4 road'!I130</f>
        <v>1.07</v>
      </c>
      <c r="G13" s="1287">
        <f>'ปร.4 road'!K133</f>
        <v>0</v>
      </c>
      <c r="H13" s="928" t="s">
        <v>909</v>
      </c>
      <c r="I13" s="928"/>
      <c r="J13" s="2093">
        <v>0.05</v>
      </c>
    </row>
    <row r="14" spans="1:13" ht="21.95" customHeight="1">
      <c r="A14" s="1284"/>
      <c r="B14" s="1295"/>
      <c r="E14" s="1296"/>
      <c r="F14" s="1297"/>
      <c r="G14" s="1298"/>
      <c r="H14" s="928" t="s">
        <v>192</v>
      </c>
      <c r="I14" s="928"/>
      <c r="J14" s="2093">
        <f>กรอกข้อมูล!$D$12</f>
        <v>0</v>
      </c>
    </row>
    <row r="15" spans="1:13" ht="21.95" customHeight="1">
      <c r="A15" s="1284"/>
      <c r="B15" s="1202"/>
      <c r="D15" s="1288"/>
      <c r="E15" s="1293"/>
      <c r="F15" s="1299"/>
      <c r="G15" s="1287"/>
      <c r="H15" s="928" t="s">
        <v>388</v>
      </c>
      <c r="I15" s="928"/>
      <c r="J15" s="2093">
        <f>กรอกข้อมูล!$D$13</f>
        <v>7.0000000000000007E-2</v>
      </c>
    </row>
    <row r="16" spans="1:13" s="1305" customFormat="1" ht="21.95" customHeight="1">
      <c r="A16" s="2105"/>
      <c r="B16" s="2106"/>
      <c r="C16" s="2107" t="s">
        <v>912</v>
      </c>
      <c r="D16" s="2106"/>
      <c r="E16" s="2108">
        <f>SUM(E11:E15)</f>
        <v>1144366.99</v>
      </c>
      <c r="F16" s="2109"/>
      <c r="G16" s="2110">
        <f>SUM(G11:G13)</f>
        <v>1557140.1632930001</v>
      </c>
      <c r="H16" s="2224"/>
      <c r="I16" s="2225"/>
      <c r="J16" s="2226"/>
      <c r="K16" s="2111">
        <v>80721000</v>
      </c>
      <c r="L16" s="2112">
        <f>L11+L12</f>
        <v>1557140.1632930001</v>
      </c>
    </row>
    <row r="17" spans="1:13" s="1305" customFormat="1" ht="24.95" customHeight="1" thickBot="1">
      <c r="A17" s="2113" t="s">
        <v>913</v>
      </c>
      <c r="B17" s="2114"/>
      <c r="C17" s="2115" t="s">
        <v>914</v>
      </c>
      <c r="D17" s="2114"/>
      <c r="E17" s="2114"/>
      <c r="F17" s="2114"/>
      <c r="G17" s="2116">
        <f>G16</f>
        <v>1557140.1632930001</v>
      </c>
      <c r="H17" s="2236"/>
      <c r="I17" s="2237"/>
      <c r="J17" s="2238"/>
      <c r="K17" s="2117">
        <f>K15-G17</f>
        <v>-1557140.1632930001</v>
      </c>
      <c r="L17" s="2118"/>
    </row>
    <row r="18" spans="1:13" s="1305" customFormat="1" ht="24.95" hidden="1" customHeight="1" thickTop="1" thickBot="1">
      <c r="A18" s="2113" t="s">
        <v>913</v>
      </c>
      <c r="B18" s="2114"/>
      <c r="C18" s="2115" t="s">
        <v>914</v>
      </c>
      <c r="D18" s="2114"/>
      <c r="E18" s="2114"/>
      <c r="F18" s="2114"/>
      <c r="G18" s="2116">
        <f>IF(G16&lt;10000000,ROUNDDOWN(G16,-3),ROUNDDOWN(G16,-3))</f>
        <v>1557000</v>
      </c>
      <c r="H18" s="2236"/>
      <c r="I18" s="2237"/>
      <c r="J18" s="2238"/>
      <c r="K18" s="2117">
        <f>K16-G18</f>
        <v>79164000</v>
      </c>
      <c r="L18" s="2118"/>
    </row>
    <row r="19" spans="1:13" s="1305" customFormat="1" ht="24.95" customHeight="1" thickTop="1">
      <c r="A19" s="2119"/>
      <c r="B19" s="2120" t="s">
        <v>987</v>
      </c>
      <c r="C19" s="2121" t="str">
        <f>"(-"&amp;BAHTTEXT(G17)&amp;"-)"</f>
        <v>(-หนึ่งล้านห้าแสนห้าหมื่นเจ็ดพันหนึ่งร้อยสี่สิบบาทสิบหกสตางค์-)</v>
      </c>
      <c r="D19" s="2122"/>
      <c r="E19" s="2122"/>
      <c r="F19" s="2122"/>
      <c r="G19" s="2122"/>
      <c r="H19" s="2122"/>
      <c r="I19" s="2122"/>
      <c r="J19" s="2123"/>
      <c r="K19" s="2124">
        <f>D20/G18*K18*1000</f>
        <v>71181.502890173404</v>
      </c>
      <c r="L19" s="2125" t="s">
        <v>380</v>
      </c>
      <c r="M19" s="1305" t="s">
        <v>1185</v>
      </c>
    </row>
    <row r="20" spans="1:13">
      <c r="B20" s="2228" t="s">
        <v>1973</v>
      </c>
      <c r="C20" s="2228"/>
      <c r="D20" s="1303" t="str">
        <f>กรอกข้อมูล!B16</f>
        <v>1.400</v>
      </c>
      <c r="E20" s="2234" t="s">
        <v>475</v>
      </c>
      <c r="F20" s="2234"/>
      <c r="G20" s="1304">
        <f>IF(G18&lt;=0,"",G18/D20)</f>
        <v>1112142.8571428573</v>
      </c>
      <c r="H20" s="930" t="s">
        <v>918</v>
      </c>
      <c r="K20" s="1300">
        <f>G20/40</f>
        <v>27803.571428571431</v>
      </c>
      <c r="M20" s="930" t="s">
        <v>1186</v>
      </c>
    </row>
    <row r="22" spans="1:13" ht="19.5">
      <c r="A22" s="1305"/>
      <c r="B22" s="1305"/>
      <c r="C22" s="1305"/>
      <c r="D22" s="1306"/>
      <c r="E22" s="1305"/>
      <c r="F22" s="1305"/>
    </row>
    <row r="23" spans="1:13" ht="20.100000000000001" customHeight="1">
      <c r="A23" s="1305"/>
      <c r="B23" s="1305"/>
      <c r="C23" s="1309" t="s">
        <v>1972</v>
      </c>
      <c r="D23" s="2103"/>
      <c r="E23" s="2103"/>
      <c r="F23" s="1305"/>
      <c r="G23" s="930" t="s">
        <v>919</v>
      </c>
    </row>
    <row r="24" spans="1:13" ht="20.100000000000001" customHeight="1">
      <c r="A24" s="1305"/>
      <c r="B24" s="1305"/>
      <c r="C24" s="2227" t="str">
        <f>"    ( "&amp;กรอกข้อมูล!B20&amp;" )"</f>
        <v xml:space="preserve">    ( นายวัชระ  คำแดง )</v>
      </c>
      <c r="D24" s="2227"/>
      <c r="E24" s="2227"/>
      <c r="G24" s="930" t="s">
        <v>1988</v>
      </c>
    </row>
    <row r="25" spans="1:13" ht="20.100000000000001" customHeight="1">
      <c r="A25" s="1307"/>
      <c r="B25" s="1307"/>
      <c r="C25" s="1309" t="s">
        <v>1040</v>
      </c>
      <c r="D25" s="1309" t="str">
        <f>กรอกข้อมูล!D20</f>
        <v>ผู้อำนวยการกองช่าง</v>
      </c>
      <c r="E25" s="1309"/>
      <c r="G25" s="930" t="s">
        <v>40</v>
      </c>
    </row>
    <row r="26" spans="1:13" ht="20.100000000000001" customHeight="1">
      <c r="A26" s="1305"/>
      <c r="B26" s="1305"/>
      <c r="C26" s="1309"/>
      <c r="D26" s="1309"/>
      <c r="E26" s="1309"/>
    </row>
    <row r="27" spans="1:13" ht="20.100000000000001" customHeight="1">
      <c r="A27" s="1305"/>
      <c r="B27" s="1305"/>
      <c r="C27" s="1309" t="s">
        <v>148</v>
      </c>
      <c r="D27" s="1309"/>
      <c r="E27" s="1309"/>
      <c r="G27" s="930" t="s">
        <v>1987</v>
      </c>
    </row>
    <row r="28" spans="1:13" ht="20.100000000000001" customHeight="1">
      <c r="A28" s="1305"/>
      <c r="B28" s="1305"/>
      <c r="C28" s="2227" t="str">
        <f>"( "&amp;กรอกข้อมูล!B23&amp;" )"</f>
        <v>( นายปรีชา  กระจ่างโพธิ์ )</v>
      </c>
      <c r="D28" s="2227"/>
      <c r="E28" s="2227"/>
      <c r="G28" s="2232" t="s">
        <v>1880</v>
      </c>
      <c r="H28" s="2233"/>
      <c r="I28" s="2233"/>
    </row>
    <row r="29" spans="1:13" ht="20.100000000000001" customHeight="1">
      <c r="A29" s="1305"/>
      <c r="B29" s="1305"/>
      <c r="C29" s="1309" t="s">
        <v>1040</v>
      </c>
      <c r="D29" s="1309" t="str">
        <f>กรอกข้อมูล!D23</f>
        <v>ปลัดองค์การบริหารส่วนตำบลคลองเมือง</v>
      </c>
      <c r="E29" s="1309"/>
      <c r="G29" s="2235" t="s">
        <v>1877</v>
      </c>
      <c r="H29" s="2235"/>
      <c r="I29" s="2235"/>
    </row>
    <row r="30" spans="1:13" ht="20.100000000000001" customHeight="1">
      <c r="A30" s="1305"/>
      <c r="B30" s="1305"/>
      <c r="C30" s="1309"/>
      <c r="D30" s="1309"/>
      <c r="E30" s="1309"/>
      <c r="H30" s="1283"/>
      <c r="I30" s="1283"/>
      <c r="J30" s="1283"/>
    </row>
    <row r="31" spans="1:13" ht="20.100000000000001" customHeight="1">
      <c r="A31" s="1305"/>
      <c r="B31" s="1305"/>
      <c r="C31" s="1309" t="s">
        <v>1971</v>
      </c>
      <c r="D31" s="2104"/>
      <c r="E31" s="2104"/>
      <c r="F31" s="1308"/>
      <c r="G31" s="930" t="s">
        <v>1986</v>
      </c>
      <c r="H31" s="1283"/>
      <c r="I31" s="1283"/>
      <c r="J31" s="1283"/>
    </row>
    <row r="32" spans="1:13" ht="20.100000000000001" customHeight="1">
      <c r="A32" s="1305"/>
      <c r="B32" s="1305"/>
      <c r="C32" s="2227" t="str">
        <f>"( "&amp;กรอกข้อมูล!B24&amp;" )"</f>
        <v>( นายบุญทัน  พลานชัย )</v>
      </c>
      <c r="D32" s="2227"/>
      <c r="E32" s="2227"/>
      <c r="G32" s="2232" t="s">
        <v>1879</v>
      </c>
      <c r="H32" s="2232"/>
      <c r="I32" s="2232"/>
    </row>
    <row r="33" spans="3:9" ht="20.100000000000001" customHeight="1">
      <c r="C33" s="1309" t="s">
        <v>1040</v>
      </c>
      <c r="D33" s="1309" t="str">
        <f>กรอกข้อมูล!D24</f>
        <v>นายกองค์การบริหารส่วนตำบลคลองเมือง</v>
      </c>
      <c r="E33" s="1309"/>
      <c r="G33" s="2235" t="s">
        <v>1878</v>
      </c>
      <c r="H33" s="2235"/>
      <c r="I33" s="2235"/>
    </row>
    <row r="34" spans="3:9" ht="20.100000000000001" customHeight="1"/>
    <row r="35" spans="3:9" ht="20.100000000000001" customHeight="1">
      <c r="G35" s="930" t="s">
        <v>1986</v>
      </c>
      <c r="H35" s="1283"/>
      <c r="I35" s="1283"/>
    </row>
    <row r="36" spans="3:9" ht="20.100000000000001" customHeight="1">
      <c r="G36" s="2232" t="s">
        <v>1984</v>
      </c>
      <c r="H36" s="2232"/>
      <c r="I36" s="2232"/>
    </row>
    <row r="37" spans="3:9" ht="20.100000000000001" customHeight="1">
      <c r="G37" s="2235" t="s">
        <v>1985</v>
      </c>
      <c r="H37" s="2235"/>
      <c r="I37" s="2235"/>
    </row>
    <row r="38" spans="3:9" ht="20.100000000000001" customHeight="1"/>
  </sheetData>
  <mergeCells count="24">
    <mergeCell ref="G36:I36"/>
    <mergeCell ref="G37:I37"/>
    <mergeCell ref="H17:J17"/>
    <mergeCell ref="A1:J1"/>
    <mergeCell ref="A5:B5"/>
    <mergeCell ref="I4:J4"/>
    <mergeCell ref="H18:J18"/>
    <mergeCell ref="H10:J10"/>
    <mergeCell ref="B11:D11"/>
    <mergeCell ref="B12:D12"/>
    <mergeCell ref="C5:J5"/>
    <mergeCell ref="C32:E32"/>
    <mergeCell ref="D8:E8"/>
    <mergeCell ref="G33:I33"/>
    <mergeCell ref="G32:I32"/>
    <mergeCell ref="G29:I29"/>
    <mergeCell ref="B10:D10"/>
    <mergeCell ref="H16:J16"/>
    <mergeCell ref="C28:E28"/>
    <mergeCell ref="B20:C20"/>
    <mergeCell ref="B13:D13"/>
    <mergeCell ref="G28:I28"/>
    <mergeCell ref="C24:E24"/>
    <mergeCell ref="E20:F20"/>
  </mergeCells>
  <phoneticPr fontId="31" type="noConversion"/>
  <printOptions horizontalCentered="1"/>
  <pageMargins left="0.19685039370078741" right="0" top="0.59055118110236227" bottom="0.59055118110236227" header="0.19685039370078741" footer="0.19685039370078741"/>
  <pageSetup paperSize="9" scale="95" orientation="portrait" horizontalDpi="4294967293" r:id="rId1"/>
  <headerFooter alignWithMargins="0">
    <oddHeader>&amp;Rแบบ ปร.5</oddHeader>
  </headerFooter>
  <ignoredErrors>
    <ignoredError sqref="D8 C24 C28 C3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FF00"/>
  </sheetPr>
  <dimension ref="A1:O144"/>
  <sheetViews>
    <sheetView view="pageBreakPreview" zoomScale="130" zoomScaleNormal="100" zoomScaleSheetLayoutView="130" workbookViewId="0">
      <selection activeCell="L5" sqref="L5"/>
    </sheetView>
  </sheetViews>
  <sheetFormatPr defaultColWidth="9.33203125" defaultRowHeight="17.25"/>
  <cols>
    <col min="1" max="1" width="7.83203125" style="928" customWidth="1"/>
    <col min="2" max="2" width="9.83203125" style="928" customWidth="1"/>
    <col min="3" max="4" width="17.33203125" style="928" customWidth="1"/>
    <col min="5" max="5" width="7.83203125" style="928" customWidth="1"/>
    <col min="6" max="6" width="8.83203125" style="980" customWidth="1"/>
    <col min="7" max="7" width="10.33203125" style="947" customWidth="1"/>
    <col min="8" max="8" width="14.33203125" style="947" customWidth="1"/>
    <col min="9" max="9" width="9.33203125" style="947" customWidth="1"/>
    <col min="10" max="11" width="10.83203125" style="947" customWidth="1"/>
    <col min="12" max="12" width="11.33203125" style="928" customWidth="1"/>
    <col min="13" max="13" width="15.83203125" style="928" hidden="1" customWidth="1"/>
    <col min="14" max="14" width="22" style="928" hidden="1" customWidth="1"/>
    <col min="15" max="15" width="12.6640625" style="928" customWidth="1"/>
    <col min="16" max="16384" width="9.33203125" style="928"/>
  </cols>
  <sheetData>
    <row r="1" spans="1:14" ht="24.95" customHeight="1">
      <c r="A1" s="2246" t="s">
        <v>467</v>
      </c>
      <c r="B1" s="2246"/>
      <c r="C1" s="2246"/>
      <c r="D1" s="2246"/>
      <c r="E1" s="2246"/>
      <c r="F1" s="2246"/>
      <c r="G1" s="2246"/>
      <c r="H1" s="2246"/>
      <c r="I1" s="2246"/>
      <c r="J1" s="2246"/>
      <c r="K1" s="2246"/>
      <c r="L1" s="2246"/>
    </row>
    <row r="2" spans="1:14" ht="39.950000000000003" customHeight="1">
      <c r="A2" s="2247" t="s">
        <v>468</v>
      </c>
      <c r="B2" s="2247"/>
      <c r="C2" s="2250" t="str">
        <f>'ปร.5 road'!C5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D2" s="2250"/>
      <c r="E2" s="2250"/>
      <c r="F2" s="2250"/>
      <c r="G2" s="2250"/>
      <c r="H2" s="2250"/>
      <c r="I2" s="2250"/>
      <c r="J2" s="2250"/>
      <c r="K2" s="2250"/>
      <c r="L2" s="2250"/>
    </row>
    <row r="3" spans="1:14" ht="24.95" customHeight="1">
      <c r="A3" s="2235" t="s">
        <v>941</v>
      </c>
      <c r="B3" s="2235"/>
      <c r="C3" s="1845" t="str">
        <f>กรอกข้อมูล!B16</f>
        <v>1.400</v>
      </c>
      <c r="D3" s="1202" t="s">
        <v>1894</v>
      </c>
      <c r="E3" s="1846">
        <f>กรอกข้อมูล!D14</f>
        <v>6</v>
      </c>
      <c r="F3" s="1847" t="s">
        <v>380</v>
      </c>
      <c r="G3" s="931"/>
      <c r="H3" s="2100" t="s">
        <v>1979</v>
      </c>
      <c r="I3" s="930"/>
      <c r="K3" s="1848">
        <f>กรอกข้อมูล!D15</f>
        <v>0</v>
      </c>
      <c r="L3" s="1300" t="s">
        <v>380</v>
      </c>
    </row>
    <row r="4" spans="1:14" ht="24.95" customHeight="1">
      <c r="A4" s="1277" t="s">
        <v>941</v>
      </c>
      <c r="B4" s="930"/>
      <c r="C4" s="1274" t="str">
        <f>"กม.    "&amp;กรอกข้อมูล!D16</f>
        <v>กม.    0+000</v>
      </c>
      <c r="D4" s="1202" t="s">
        <v>1152</v>
      </c>
      <c r="E4" s="1202" t="str">
        <f>กรอกข้อมูล!D17</f>
        <v>1+400</v>
      </c>
      <c r="F4" s="1309"/>
      <c r="G4" s="1309"/>
      <c r="H4" s="1840" t="str">
        <f>"กม.   "&amp;กรอกข้อมูล!E14</f>
        <v xml:space="preserve">กม.   </v>
      </c>
      <c r="J4" s="1846" t="s">
        <v>669</v>
      </c>
      <c r="K4" s="1848">
        <f>ค่างานต้นทุน!J562</f>
        <v>0.15</v>
      </c>
      <c r="L4" s="1300" t="s">
        <v>380</v>
      </c>
    </row>
    <row r="5" spans="1:14" s="930" customFormat="1" ht="56.25">
      <c r="A5" s="2128" t="s">
        <v>195</v>
      </c>
      <c r="B5" s="2129" t="s">
        <v>182</v>
      </c>
      <c r="C5" s="2130"/>
      <c r="D5" s="2131"/>
      <c r="E5" s="2132" t="s">
        <v>184</v>
      </c>
      <c r="F5" s="2133" t="s">
        <v>183</v>
      </c>
      <c r="G5" s="2134" t="s">
        <v>464</v>
      </c>
      <c r="H5" s="2134" t="s">
        <v>466</v>
      </c>
      <c r="I5" s="2134" t="s">
        <v>1235</v>
      </c>
      <c r="J5" s="2135" t="s">
        <v>1863</v>
      </c>
      <c r="K5" s="2135" t="s">
        <v>465</v>
      </c>
      <c r="L5" s="2132" t="s">
        <v>895</v>
      </c>
    </row>
    <row r="6" spans="1:14">
      <c r="A6" s="983"/>
      <c r="B6" s="984" t="s">
        <v>377</v>
      </c>
      <c r="C6" s="985"/>
      <c r="D6" s="986"/>
      <c r="E6" s="1614"/>
      <c r="F6" s="937"/>
      <c r="G6" s="938"/>
      <c r="H6" s="938"/>
      <c r="I6" s="938"/>
      <c r="J6" s="938"/>
      <c r="K6" s="938"/>
      <c r="L6" s="936"/>
    </row>
    <row r="7" spans="1:14">
      <c r="A7" s="987">
        <v>1</v>
      </c>
      <c r="B7" s="957" t="s">
        <v>156</v>
      </c>
      <c r="C7" s="988"/>
      <c r="D7" s="989"/>
      <c r="E7" s="1457"/>
      <c r="F7" s="940"/>
      <c r="G7" s="941"/>
      <c r="H7" s="941"/>
      <c r="I7" s="941"/>
      <c r="J7" s="941"/>
      <c r="K7" s="941"/>
      <c r="L7" s="939"/>
    </row>
    <row r="8" spans="1:14">
      <c r="A8" s="990"/>
      <c r="B8" s="944" t="s">
        <v>1575</v>
      </c>
      <c r="C8" s="945"/>
      <c r="D8" s="946"/>
      <c r="E8" s="1027" t="s">
        <v>890</v>
      </c>
      <c r="F8" s="1380">
        <v>11200</v>
      </c>
      <c r="G8" s="941">
        <f>IF(F8&lt;=0,0,ค่างานต้นทุน!$I$51)</f>
        <v>1.81</v>
      </c>
      <c r="H8" s="941">
        <f>IF(F8&lt;=0,0,ROUND(F8*G8,2))</f>
        <v>20272</v>
      </c>
      <c r="I8" s="1821">
        <f>IF(F8&lt;=0,0,'ปร.5 road'!$F$11)</f>
        <v>1.3607</v>
      </c>
      <c r="J8" s="1822">
        <f>INT((G8*I8)/0.01)*0.01</f>
        <v>2.46</v>
      </c>
      <c r="K8" s="1822">
        <f>IF(F8&lt;=0,0,ROUND(F8*J8,2))</f>
        <v>27552</v>
      </c>
      <c r="L8" s="939"/>
      <c r="N8" s="1381"/>
    </row>
    <row r="9" spans="1:14">
      <c r="A9" s="990"/>
      <c r="B9" s="944" t="s">
        <v>1982</v>
      </c>
      <c r="C9" s="945"/>
      <c r="D9" s="946"/>
      <c r="E9" s="1027" t="s">
        <v>890</v>
      </c>
      <c r="F9" s="1380">
        <v>0</v>
      </c>
      <c r="G9" s="941">
        <f>IF(F9&lt;=0,0,ค่างานต้นทุน!$I$53)</f>
        <v>0</v>
      </c>
      <c r="H9" s="941">
        <f>IF(F9&lt;=0,0,ROUND(F9*G9,2))</f>
        <v>0</v>
      </c>
      <c r="I9" s="1821">
        <f>IF(F9&lt;=0,0,'ปร.5 road'!$F$11)</f>
        <v>0</v>
      </c>
      <c r="J9" s="1822">
        <f>INT((G9*I9)/0.01)*0.01</f>
        <v>0</v>
      </c>
      <c r="K9" s="1822">
        <f t="shared" ref="K9:K84" si="0">IF(F9&lt;=0,0,ROUND(F9*J9,2))</f>
        <v>0</v>
      </c>
      <c r="L9" s="1411" t="s">
        <v>1980</v>
      </c>
      <c r="M9" s="1382"/>
    </row>
    <row r="10" spans="1:14">
      <c r="A10" s="990"/>
      <c r="B10" s="944" t="s">
        <v>98</v>
      </c>
      <c r="C10" s="945"/>
      <c r="D10" s="946"/>
      <c r="E10" s="1027" t="s">
        <v>378</v>
      </c>
      <c r="F10" s="1380">
        <v>0</v>
      </c>
      <c r="G10" s="941">
        <f>IF(F10&lt;=0,0,ค่างานต้นทุน!I57)</f>
        <v>0</v>
      </c>
      <c r="H10" s="941">
        <f>IF(F10&lt;=0,0,ROUND(F10*G10,2))</f>
        <v>0</v>
      </c>
      <c r="I10" s="1821">
        <f>IF(F10&lt;=0,0,'ปร.5 road'!$F$11)</f>
        <v>0</v>
      </c>
      <c r="J10" s="1822">
        <f t="shared" ref="J10:J88" si="1">INT((G10*I10)/0.01)*0.01</f>
        <v>0</v>
      </c>
      <c r="K10" s="1822">
        <f t="shared" si="0"/>
        <v>0</v>
      </c>
      <c r="L10" s="939"/>
    </row>
    <row r="11" spans="1:14">
      <c r="A11" s="987">
        <v>2</v>
      </c>
      <c r="B11" s="957" t="s">
        <v>354</v>
      </c>
      <c r="C11" s="988"/>
      <c r="D11" s="989"/>
      <c r="E11" s="1027"/>
      <c r="F11" s="940"/>
      <c r="G11" s="941"/>
      <c r="H11" s="941"/>
      <c r="I11" s="1821"/>
      <c r="J11" s="1822"/>
      <c r="K11" s="1822"/>
      <c r="L11" s="939"/>
    </row>
    <row r="12" spans="1:14">
      <c r="A12" s="990"/>
      <c r="B12" s="991" t="s">
        <v>518</v>
      </c>
      <c r="C12" s="992"/>
      <c r="D12" s="993"/>
      <c r="E12" s="1027" t="s">
        <v>378</v>
      </c>
      <c r="F12" s="1380">
        <v>0</v>
      </c>
      <c r="G12" s="941">
        <f>IF(F12&lt;=0,0,ค่างานต้นทุน!$I$65)</f>
        <v>0</v>
      </c>
      <c r="H12" s="941">
        <f>IF(F12&lt;=0,0,ROUND(F12*G12,2))</f>
        <v>0</v>
      </c>
      <c r="I12" s="1821">
        <f>IF(F12&lt;=0,0,'ปร.5 road'!$F$11)</f>
        <v>0</v>
      </c>
      <c r="J12" s="1822">
        <f t="shared" si="1"/>
        <v>0</v>
      </c>
      <c r="K12" s="1822">
        <f t="shared" si="0"/>
        <v>0</v>
      </c>
      <c r="L12" s="939"/>
      <c r="M12" s="1382"/>
    </row>
    <row r="13" spans="1:14">
      <c r="A13" s="990"/>
      <c r="B13" s="991" t="s">
        <v>355</v>
      </c>
      <c r="C13" s="992"/>
      <c r="D13" s="993"/>
      <c r="E13" s="1027" t="s">
        <v>378</v>
      </c>
      <c r="F13" s="1380">
        <v>0</v>
      </c>
      <c r="G13" s="941">
        <f>IF(F13&lt;=0,0,ค่างานต้นทุน!$I$72)</f>
        <v>0</v>
      </c>
      <c r="H13" s="941">
        <f>IF(F13&lt;=0,0,ROUND(F13*G13,2))</f>
        <v>0</v>
      </c>
      <c r="I13" s="1821">
        <f>IF(F13&lt;=0,0,'ปร.5 road'!$F$11)</f>
        <v>0</v>
      </c>
      <c r="J13" s="1822">
        <f t="shared" si="1"/>
        <v>0</v>
      </c>
      <c r="K13" s="1822">
        <f t="shared" si="0"/>
        <v>0</v>
      </c>
      <c r="L13" s="939"/>
      <c r="M13" s="1382"/>
    </row>
    <row r="14" spans="1:14">
      <c r="A14" s="990"/>
      <c r="B14" s="991" t="s">
        <v>356</v>
      </c>
      <c r="C14" s="992"/>
      <c r="D14" s="993"/>
      <c r="E14" s="1027" t="s">
        <v>378</v>
      </c>
      <c r="F14" s="1380">
        <v>0</v>
      </c>
      <c r="G14" s="941">
        <f>IF(F14&lt;=0,0,ค่างานต้นทุน!$I$79)</f>
        <v>0</v>
      </c>
      <c r="H14" s="941">
        <f>IF(F14&lt;=0,0,ROUND(F14*G14,2))</f>
        <v>0</v>
      </c>
      <c r="I14" s="1821">
        <f>IF(F14&lt;=0,0,'ปร.5 road'!$F$11)</f>
        <v>0</v>
      </c>
      <c r="J14" s="1822">
        <f t="shared" si="1"/>
        <v>0</v>
      </c>
      <c r="K14" s="1822">
        <f t="shared" si="0"/>
        <v>0</v>
      </c>
      <c r="L14" s="939"/>
      <c r="M14" s="1382"/>
    </row>
    <row r="15" spans="1:14">
      <c r="A15" s="987">
        <v>3</v>
      </c>
      <c r="B15" s="994" t="s">
        <v>357</v>
      </c>
      <c r="C15" s="995"/>
      <c r="D15" s="996"/>
      <c r="E15" s="1027"/>
      <c r="F15" s="940"/>
      <c r="G15" s="941"/>
      <c r="H15" s="941"/>
      <c r="I15" s="1821"/>
      <c r="J15" s="1822"/>
      <c r="K15" s="1822"/>
      <c r="L15" s="939"/>
    </row>
    <row r="16" spans="1:14">
      <c r="A16" s="990"/>
      <c r="B16" s="991" t="s">
        <v>617</v>
      </c>
      <c r="C16" s="992"/>
      <c r="D16" s="993"/>
      <c r="E16" s="1027" t="s">
        <v>378</v>
      </c>
      <c r="F16" s="1380">
        <v>0</v>
      </c>
      <c r="G16" s="941">
        <f>IF(F16&lt;=0,0,ค่างานต้นทุน!$I$88)</f>
        <v>0</v>
      </c>
      <c r="H16" s="941">
        <f>IF(F16&lt;=0,0,ROUND(F16*G16,2))</f>
        <v>0</v>
      </c>
      <c r="I16" s="1821">
        <f>IF(F16&lt;=0,0,'ปร.5 road'!$F$11)</f>
        <v>0</v>
      </c>
      <c r="J16" s="1822">
        <f t="shared" si="1"/>
        <v>0</v>
      </c>
      <c r="K16" s="1822">
        <f t="shared" si="0"/>
        <v>0</v>
      </c>
      <c r="L16" s="939"/>
    </row>
    <row r="17" spans="1:14">
      <c r="A17" s="990"/>
      <c r="B17" s="991" t="s">
        <v>370</v>
      </c>
      <c r="C17" s="992"/>
      <c r="D17" s="993"/>
      <c r="E17" s="1027" t="s">
        <v>378</v>
      </c>
      <c r="F17" s="1380">
        <v>1912</v>
      </c>
      <c r="G17" s="941">
        <f>IF(F17&lt;=0,0,ค่างานต้นทุน!$I$107)</f>
        <v>48.64</v>
      </c>
      <c r="H17" s="941">
        <f>IF(F17&lt;=0,0,ROUND(F17*G17,2))</f>
        <v>92999.679999999993</v>
      </c>
      <c r="I17" s="1821">
        <f>IF(F17&lt;=0,0,'ปร.5 road'!$F$11)</f>
        <v>1.3607</v>
      </c>
      <c r="J17" s="1822">
        <f t="shared" si="1"/>
        <v>66.180000000000007</v>
      </c>
      <c r="K17" s="1822">
        <f t="shared" si="0"/>
        <v>126536.16</v>
      </c>
      <c r="L17" s="939"/>
      <c r="M17" s="1383"/>
    </row>
    <row r="18" spans="1:14">
      <c r="A18" s="990"/>
      <c r="B18" s="944" t="s">
        <v>369</v>
      </c>
      <c r="C18" s="945"/>
      <c r="D18" s="946"/>
      <c r="E18" s="1027" t="s">
        <v>378</v>
      </c>
      <c r="F18" s="1380">
        <v>0</v>
      </c>
      <c r="G18" s="941">
        <f>IF(F18&lt;=0,0,ค่างานต้นทุน!$I$104)</f>
        <v>0</v>
      </c>
      <c r="H18" s="941">
        <f>IF(F18&lt;=0,0,ROUND(F18*G18,2))</f>
        <v>0</v>
      </c>
      <c r="I18" s="1821">
        <f>IF(F18&lt;=0,0,'ปร.5 road'!$F$11)</f>
        <v>0</v>
      </c>
      <c r="J18" s="1822">
        <f t="shared" si="1"/>
        <v>0</v>
      </c>
      <c r="K18" s="1822">
        <f t="shared" si="0"/>
        <v>0</v>
      </c>
      <c r="L18" s="939"/>
    </row>
    <row r="19" spans="1:14">
      <c r="A19" s="987">
        <v>4</v>
      </c>
      <c r="B19" s="957" t="s">
        <v>371</v>
      </c>
      <c r="C19" s="988"/>
      <c r="D19" s="989"/>
      <c r="E19" s="1027"/>
      <c r="F19" s="940"/>
      <c r="G19" s="941"/>
      <c r="H19" s="941"/>
      <c r="I19" s="1821"/>
      <c r="J19" s="1822"/>
      <c r="K19" s="1822"/>
      <c r="L19" s="939"/>
      <c r="M19" s="947"/>
    </row>
    <row r="20" spans="1:14">
      <c r="A20" s="990"/>
      <c r="B20" s="944" t="s">
        <v>1847</v>
      </c>
      <c r="C20" s="948"/>
      <c r="D20" s="946"/>
      <c r="E20" s="1027" t="s">
        <v>890</v>
      </c>
      <c r="F20" s="1380">
        <v>0</v>
      </c>
      <c r="G20" s="941">
        <f>IF(F20&lt;=0,0,'ค่าเสื่อมราคา(แก้ไข26ธค.60)'!G80)</f>
        <v>0</v>
      </c>
      <c r="H20" s="941">
        <f t="shared" ref="H20:H33" si="2">IF(F20&lt;=0,0,ROUND(F20*G20,2))</f>
        <v>0</v>
      </c>
      <c r="I20" s="1821">
        <f>IF(F20&lt;=0,0,'ปร.5 road'!$F$11)</f>
        <v>0</v>
      </c>
      <c r="J20" s="1822">
        <f t="shared" si="1"/>
        <v>0</v>
      </c>
      <c r="K20" s="1822">
        <f t="shared" si="0"/>
        <v>0</v>
      </c>
      <c r="L20" s="939"/>
      <c r="M20" s="1377"/>
    </row>
    <row r="21" spans="1:14">
      <c r="A21" s="990"/>
      <c r="B21" s="944" t="s">
        <v>1846</v>
      </c>
      <c r="C21" s="945"/>
      <c r="D21" s="946"/>
      <c r="E21" s="1027" t="s">
        <v>890</v>
      </c>
      <c r="F21" s="1380">
        <v>0</v>
      </c>
      <c r="G21" s="941">
        <f>IF(F21&lt;=0,0,ค่างานต้นทุน!$I$297)</f>
        <v>0</v>
      </c>
      <c r="H21" s="941">
        <f t="shared" si="2"/>
        <v>0</v>
      </c>
      <c r="I21" s="1821">
        <f>IF(F21&lt;=0,0,'ปร.5 road'!$F$11)</f>
        <v>0</v>
      </c>
      <c r="J21" s="1822">
        <f t="shared" si="1"/>
        <v>0</v>
      </c>
      <c r="K21" s="1822">
        <f t="shared" si="0"/>
        <v>0</v>
      </c>
      <c r="L21" s="939"/>
    </row>
    <row r="22" spans="1:14">
      <c r="A22" s="990"/>
      <c r="B22" s="944" t="s">
        <v>372</v>
      </c>
      <c r="C22" s="945"/>
      <c r="D22" s="946"/>
      <c r="E22" s="1027" t="s">
        <v>378</v>
      </c>
      <c r="F22" s="1380">
        <v>0</v>
      </c>
      <c r="G22" s="941">
        <f>IF(F22&lt;=0,0,ค่างานต้นทุน!$I$115)</f>
        <v>0</v>
      </c>
      <c r="H22" s="941">
        <f t="shared" si="2"/>
        <v>0</v>
      </c>
      <c r="I22" s="1821">
        <f>IF(F22&lt;=0,0,'ปร.5 road'!$F$11)</f>
        <v>0</v>
      </c>
      <c r="J22" s="1822">
        <f t="shared" si="1"/>
        <v>0</v>
      </c>
      <c r="K22" s="1822">
        <f t="shared" si="0"/>
        <v>0</v>
      </c>
      <c r="L22" s="939"/>
    </row>
    <row r="23" spans="1:14">
      <c r="A23" s="990"/>
      <c r="B23" s="944" t="s">
        <v>993</v>
      </c>
      <c r="C23" s="945"/>
      <c r="D23" s="946"/>
      <c r="E23" s="1027" t="s">
        <v>378</v>
      </c>
      <c r="F23" s="1380">
        <v>0</v>
      </c>
      <c r="G23" s="941">
        <f>IF(F23&lt;=0,0,ค่างานต้นทุน!$I$124)</f>
        <v>0</v>
      </c>
      <c r="H23" s="941">
        <f t="shared" si="2"/>
        <v>0</v>
      </c>
      <c r="I23" s="1821">
        <f>IF(F23&lt;=0,0,'ปร.5 road'!$F$11)</f>
        <v>0</v>
      </c>
      <c r="J23" s="1822">
        <f t="shared" si="1"/>
        <v>0</v>
      </c>
      <c r="K23" s="1822">
        <f t="shared" si="0"/>
        <v>0</v>
      </c>
      <c r="L23" s="939"/>
      <c r="M23" s="1384"/>
    </row>
    <row r="24" spans="1:14">
      <c r="A24" s="990"/>
      <c r="B24" s="944" t="s">
        <v>246</v>
      </c>
      <c r="C24" s="945"/>
      <c r="D24" s="946"/>
      <c r="E24" s="1027" t="s">
        <v>378</v>
      </c>
      <c r="F24" s="1380">
        <v>0</v>
      </c>
      <c r="G24" s="941">
        <f>IF(F24&lt;=0,0,ค่างานต้นทุน!$I$142)</f>
        <v>0</v>
      </c>
      <c r="H24" s="941">
        <f t="shared" si="2"/>
        <v>0</v>
      </c>
      <c r="I24" s="1821">
        <f>IF(F24&lt;=0,0,'ปร.5 road'!$F$11)</f>
        <v>0</v>
      </c>
      <c r="J24" s="1822">
        <f t="shared" si="1"/>
        <v>0</v>
      </c>
      <c r="K24" s="1822">
        <f t="shared" si="0"/>
        <v>0</v>
      </c>
      <c r="L24" s="939"/>
      <c r="M24" s="1385"/>
    </row>
    <row r="25" spans="1:14">
      <c r="A25" s="990"/>
      <c r="B25" s="944" t="s">
        <v>247</v>
      </c>
      <c r="C25" s="945"/>
      <c r="D25" s="946"/>
      <c r="E25" s="1027" t="s">
        <v>378</v>
      </c>
      <c r="F25" s="1380">
        <v>0</v>
      </c>
      <c r="G25" s="941">
        <f>IF(F25&lt;=0,0,ค่างานต้นทุน!$I$161)</f>
        <v>0</v>
      </c>
      <c r="H25" s="941">
        <f t="shared" si="2"/>
        <v>0</v>
      </c>
      <c r="I25" s="1821">
        <f>IF(F25&lt;=0,0,'ปร.5 road'!$F$11)</f>
        <v>0</v>
      </c>
      <c r="J25" s="1822">
        <f t="shared" si="1"/>
        <v>0</v>
      </c>
      <c r="K25" s="1822">
        <f t="shared" si="0"/>
        <v>0</v>
      </c>
      <c r="L25" s="939"/>
      <c r="M25" s="1382"/>
    </row>
    <row r="26" spans="1:14">
      <c r="A26" s="990"/>
      <c r="B26" s="944" t="s">
        <v>248</v>
      </c>
      <c r="C26" s="945"/>
      <c r="D26" s="946"/>
      <c r="E26" s="1027" t="s">
        <v>378</v>
      </c>
      <c r="F26" s="1380">
        <v>0</v>
      </c>
      <c r="G26" s="941">
        <f>IF(F26&lt;=0,0,ค่างานต้นทุน!$I$184)</f>
        <v>0</v>
      </c>
      <c r="H26" s="941">
        <f t="shared" si="2"/>
        <v>0</v>
      </c>
      <c r="I26" s="1821">
        <f>IF(F26&lt;=0,0,'ปร.5 road'!$F$11)</f>
        <v>0</v>
      </c>
      <c r="J26" s="1822">
        <f t="shared" si="1"/>
        <v>0</v>
      </c>
      <c r="K26" s="1822">
        <f t="shared" si="0"/>
        <v>0</v>
      </c>
      <c r="L26" s="939"/>
      <c r="M26" s="1384"/>
    </row>
    <row r="27" spans="1:14">
      <c r="A27" s="990"/>
      <c r="B27" s="944" t="s">
        <v>858</v>
      </c>
      <c r="C27" s="944"/>
      <c r="D27" s="946"/>
      <c r="E27" s="1027" t="s">
        <v>378</v>
      </c>
      <c r="F27" s="1380">
        <v>0</v>
      </c>
      <c r="G27" s="941">
        <f>IF(F27&lt;=0,0,ค่างานต้นทุน!I166)</f>
        <v>0</v>
      </c>
      <c r="H27" s="941">
        <f t="shared" si="2"/>
        <v>0</v>
      </c>
      <c r="I27" s="1821">
        <f>IF(F27&lt;=0,0,'ปร.5 road'!$F$11)</f>
        <v>0</v>
      </c>
      <c r="J27" s="1822">
        <f t="shared" si="1"/>
        <v>0</v>
      </c>
      <c r="K27" s="1822">
        <f t="shared" si="0"/>
        <v>0</v>
      </c>
      <c r="L27" s="1027" t="s">
        <v>529</v>
      </c>
      <c r="M27" s="1382"/>
    </row>
    <row r="28" spans="1:14">
      <c r="A28" s="990"/>
      <c r="B28" s="944" t="s">
        <v>1848</v>
      </c>
      <c r="C28" s="945"/>
      <c r="D28" s="946"/>
      <c r="E28" s="1027" t="s">
        <v>378</v>
      </c>
      <c r="F28" s="1380">
        <v>1323</v>
      </c>
      <c r="G28" s="941">
        <f>IF(F28&lt;=0,0,ค่างานต้นทุน!$I$170)</f>
        <v>754.97</v>
      </c>
      <c r="H28" s="941">
        <f t="shared" si="2"/>
        <v>998825.31</v>
      </c>
      <c r="I28" s="1821">
        <f>IF(F28&lt;=0,0,'ปร.5 road'!$F$11)</f>
        <v>1.3607</v>
      </c>
      <c r="J28" s="1822">
        <f t="shared" si="1"/>
        <v>1027.28</v>
      </c>
      <c r="K28" s="1822">
        <f t="shared" si="0"/>
        <v>1359091.44</v>
      </c>
      <c r="L28" s="939"/>
      <c r="N28" s="1377">
        <v>3400</v>
      </c>
    </row>
    <row r="29" spans="1:14">
      <c r="A29" s="990"/>
      <c r="B29" s="944" t="s">
        <v>477</v>
      </c>
      <c r="C29" s="945"/>
      <c r="D29" s="946"/>
      <c r="E29" s="1027" t="s">
        <v>890</v>
      </c>
      <c r="F29" s="1380">
        <v>0</v>
      </c>
      <c r="G29" s="941">
        <f>IF(F29&lt;=0,0,ค่างานต้นทุน!$I$205)</f>
        <v>0</v>
      </c>
      <c r="H29" s="941">
        <f t="shared" si="2"/>
        <v>0</v>
      </c>
      <c r="I29" s="1821">
        <f>IF(F29&lt;=0,0,'ปร.5 road'!$F$11)</f>
        <v>0</v>
      </c>
      <c r="J29" s="1822">
        <f t="shared" si="1"/>
        <v>0</v>
      </c>
      <c r="K29" s="1822">
        <f t="shared" si="0"/>
        <v>0</v>
      </c>
      <c r="L29" s="939"/>
      <c r="N29" s="1377"/>
    </row>
    <row r="30" spans="1:14">
      <c r="A30" s="990"/>
      <c r="B30" s="944" t="s">
        <v>476</v>
      </c>
      <c r="C30" s="945"/>
      <c r="D30" s="946"/>
      <c r="E30" s="1027" t="s">
        <v>890</v>
      </c>
      <c r="F30" s="1380">
        <v>0</v>
      </c>
      <c r="G30" s="941">
        <f>IF(F30&lt;=0,0,ค่างานต้นทุน!$I$209)</f>
        <v>0</v>
      </c>
      <c r="H30" s="941">
        <f t="shared" si="2"/>
        <v>0</v>
      </c>
      <c r="I30" s="1821">
        <f>IF(F30&lt;=0,0,'ปร.5 road'!$F$11)</f>
        <v>0</v>
      </c>
      <c r="J30" s="1822">
        <f t="shared" si="1"/>
        <v>0</v>
      </c>
      <c r="K30" s="1822">
        <f t="shared" si="0"/>
        <v>0</v>
      </c>
      <c r="L30" s="1027" t="s">
        <v>845</v>
      </c>
    </row>
    <row r="31" spans="1:14">
      <c r="A31" s="990"/>
      <c r="B31" s="944" t="s">
        <v>66</v>
      </c>
      <c r="C31" s="945"/>
      <c r="D31" s="946"/>
      <c r="E31" s="1027" t="s">
        <v>890</v>
      </c>
      <c r="F31" s="1380">
        <v>0</v>
      </c>
      <c r="G31" s="941">
        <f>IF(F31&lt;=0,0,ค่างานต้นทุน!$I$213)</f>
        <v>0</v>
      </c>
      <c r="H31" s="941">
        <f t="shared" si="2"/>
        <v>0</v>
      </c>
      <c r="I31" s="1821">
        <f>IF(F31&lt;=0,0,'ปร.5 road'!$F$11)</f>
        <v>0</v>
      </c>
      <c r="J31" s="1822">
        <f t="shared" si="1"/>
        <v>0</v>
      </c>
      <c r="K31" s="1822">
        <f t="shared" si="0"/>
        <v>0</v>
      </c>
      <c r="L31" s="949"/>
      <c r="M31" s="1385"/>
      <c r="N31" s="1377"/>
    </row>
    <row r="32" spans="1:14">
      <c r="A32" s="990"/>
      <c r="B32" s="997" t="s">
        <v>1219</v>
      </c>
      <c r="C32" s="948"/>
      <c r="D32" s="946"/>
      <c r="E32" s="1027" t="s">
        <v>890</v>
      </c>
      <c r="F32" s="1380">
        <v>0</v>
      </c>
      <c r="G32" s="941">
        <f>IF(F32&lt;=0,0,ค่างานต้นทุน!$I$239)</f>
        <v>0</v>
      </c>
      <c r="H32" s="941">
        <f t="shared" si="2"/>
        <v>0</v>
      </c>
      <c r="I32" s="1821">
        <f>IF(F32&lt;=0,0,'ปร.5 road'!$F$11)</f>
        <v>0</v>
      </c>
      <c r="J32" s="1822">
        <f t="shared" si="1"/>
        <v>0</v>
      </c>
      <c r="K32" s="1822">
        <f t="shared" si="0"/>
        <v>0</v>
      </c>
      <c r="L32" s="950"/>
    </row>
    <row r="33" spans="1:14">
      <c r="A33" s="990"/>
      <c r="B33" s="944" t="s">
        <v>1220</v>
      </c>
      <c r="C33" s="945"/>
      <c r="D33" s="946"/>
      <c r="E33" s="1027" t="s">
        <v>890</v>
      </c>
      <c r="F33" s="1380">
        <v>0</v>
      </c>
      <c r="G33" s="941">
        <f>G32</f>
        <v>0</v>
      </c>
      <c r="H33" s="941">
        <f t="shared" si="2"/>
        <v>0</v>
      </c>
      <c r="I33" s="1821">
        <f>IF(F33&lt;=0,0,'ปร.5 road'!$F$11)</f>
        <v>0</v>
      </c>
      <c r="J33" s="1822">
        <f t="shared" si="1"/>
        <v>0</v>
      </c>
      <c r="K33" s="1822">
        <f t="shared" si="0"/>
        <v>0</v>
      </c>
      <c r="L33" s="950"/>
      <c r="M33" s="1385"/>
    </row>
    <row r="34" spans="1:14">
      <c r="A34" s="990"/>
      <c r="B34" s="997" t="s">
        <v>1459</v>
      </c>
      <c r="C34" s="948"/>
      <c r="D34" s="946"/>
      <c r="E34" s="1027" t="s">
        <v>890</v>
      </c>
      <c r="F34" s="1380">
        <v>0</v>
      </c>
      <c r="G34" s="941">
        <f>IF(F34&lt;=0,0,ค่างานต้นทุน!$I$259)</f>
        <v>0</v>
      </c>
      <c r="H34" s="941">
        <f t="shared" ref="H34:H41" si="3">IF(F34&lt;=0,0,ROUND(F34*G34,2))</f>
        <v>0</v>
      </c>
      <c r="I34" s="1821">
        <f>IF(F34&lt;=0,0,'ปร.5 road'!$F$11)</f>
        <v>0</v>
      </c>
      <c r="J34" s="1822">
        <f t="shared" ref="J34:J41" si="4">INT((G34*I34)/0.01)*0.01</f>
        <v>0</v>
      </c>
      <c r="K34" s="1822">
        <f t="shared" ref="K34:K41" si="5">IF(F34&lt;=0,0,ROUND(F34*J34,2))</f>
        <v>0</v>
      </c>
      <c r="L34" s="1769" t="s">
        <v>1849</v>
      </c>
      <c r="M34" s="950" t="str">
        <f>"(หนา  0."&amp;ค่างานต้นทุน!F243&amp;" ม.)"</f>
        <v>(หนา  0.5 ม.)</v>
      </c>
    </row>
    <row r="35" spans="1:14">
      <c r="A35" s="990"/>
      <c r="B35" s="944" t="s">
        <v>1460</v>
      </c>
      <c r="C35" s="945"/>
      <c r="D35" s="946"/>
      <c r="E35" s="1027" t="s">
        <v>890</v>
      </c>
      <c r="F35" s="1380">
        <v>0</v>
      </c>
      <c r="G35" s="941">
        <f>IF(F35&lt;=0,0,ค่างานต้นทุน!$I$259)</f>
        <v>0</v>
      </c>
      <c r="H35" s="941">
        <f t="shared" si="3"/>
        <v>0</v>
      </c>
      <c r="I35" s="1821">
        <f>IF(F35&lt;=0,0,'ปร.5 road'!$F$11)</f>
        <v>0</v>
      </c>
      <c r="J35" s="1822">
        <f t="shared" si="4"/>
        <v>0</v>
      </c>
      <c r="K35" s="1822">
        <f t="shared" si="5"/>
        <v>0</v>
      </c>
      <c r="L35" s="1769" t="s">
        <v>1849</v>
      </c>
      <c r="M35" s="1385"/>
    </row>
    <row r="36" spans="1:14">
      <c r="A36" s="990"/>
      <c r="B36" s="997" t="s">
        <v>1596</v>
      </c>
      <c r="C36" s="948"/>
      <c r="D36" s="946"/>
      <c r="E36" s="1027" t="s">
        <v>890</v>
      </c>
      <c r="F36" s="1380">
        <v>0</v>
      </c>
      <c r="G36" s="941">
        <f>IF(F36&lt;=0,0,ค่างานต้นทุน!$I$278)</f>
        <v>0</v>
      </c>
      <c r="H36" s="941">
        <f t="shared" si="3"/>
        <v>0</v>
      </c>
      <c r="I36" s="1821">
        <f>IF(F36&lt;=0,0,'ปร.5 road'!$F$11)</f>
        <v>0</v>
      </c>
      <c r="J36" s="1822">
        <f t="shared" si="4"/>
        <v>0</v>
      </c>
      <c r="K36" s="1822">
        <f t="shared" si="5"/>
        <v>0</v>
      </c>
      <c r="L36" s="1769" t="s">
        <v>1849</v>
      </c>
      <c r="M36" s="1385"/>
    </row>
    <row r="37" spans="1:14">
      <c r="A37" s="990"/>
      <c r="B37" s="944" t="s">
        <v>1597</v>
      </c>
      <c r="C37" s="945"/>
      <c r="D37" s="946"/>
      <c r="E37" s="1027" t="s">
        <v>890</v>
      </c>
      <c r="F37" s="1380">
        <v>0</v>
      </c>
      <c r="G37" s="941">
        <f>IF(F37&lt;=0,0,ค่างานต้นทุน!$I$278)</f>
        <v>0</v>
      </c>
      <c r="H37" s="941">
        <f t="shared" si="3"/>
        <v>0</v>
      </c>
      <c r="I37" s="1821">
        <f>IF(F37&lt;=0,0,'ปร.5 road'!$F$11)</f>
        <v>0</v>
      </c>
      <c r="J37" s="1822">
        <f t="shared" si="4"/>
        <v>0</v>
      </c>
      <c r="K37" s="1822">
        <f t="shared" si="5"/>
        <v>0</v>
      </c>
      <c r="L37" s="1769" t="s">
        <v>1849</v>
      </c>
      <c r="M37" s="1385"/>
    </row>
    <row r="38" spans="1:14">
      <c r="A38" s="990"/>
      <c r="B38" s="997" t="s">
        <v>1459</v>
      </c>
      <c r="C38" s="948"/>
      <c r="D38" s="946"/>
      <c r="E38" s="1027" t="s">
        <v>890</v>
      </c>
      <c r="F38" s="1380">
        <v>0</v>
      </c>
      <c r="G38" s="941">
        <f>IF(F38&lt;=0,0,ค่างานต้นทุน!$I$260)</f>
        <v>0</v>
      </c>
      <c r="H38" s="941">
        <f t="shared" si="3"/>
        <v>0</v>
      </c>
      <c r="I38" s="1821">
        <f>IF(F38&lt;=0,0,'ปร.5 road'!$F$11)</f>
        <v>0</v>
      </c>
      <c r="J38" s="1822">
        <f t="shared" si="4"/>
        <v>0</v>
      </c>
      <c r="K38" s="1822">
        <f t="shared" si="5"/>
        <v>0</v>
      </c>
      <c r="L38" s="1769" t="s">
        <v>1850</v>
      </c>
    </row>
    <row r="39" spans="1:14">
      <c r="A39" s="990"/>
      <c r="B39" s="944" t="s">
        <v>1460</v>
      </c>
      <c r="C39" s="945"/>
      <c r="D39" s="946"/>
      <c r="E39" s="1027" t="s">
        <v>890</v>
      </c>
      <c r="F39" s="1380">
        <v>0</v>
      </c>
      <c r="G39" s="941">
        <f>IF(F39&lt;=0,0,ค่างานต้นทุน!$I$260)</f>
        <v>0</v>
      </c>
      <c r="H39" s="941">
        <f t="shared" si="3"/>
        <v>0</v>
      </c>
      <c r="I39" s="1821">
        <f>IF(F39&lt;=0,0,'ปร.5 road'!$F$11)</f>
        <v>0</v>
      </c>
      <c r="J39" s="1822">
        <f t="shared" si="4"/>
        <v>0</v>
      </c>
      <c r="K39" s="1822">
        <f t="shared" si="5"/>
        <v>0</v>
      </c>
      <c r="L39" s="1769" t="s">
        <v>1850</v>
      </c>
    </row>
    <row r="40" spans="1:14">
      <c r="A40" s="1016"/>
      <c r="B40" s="997" t="s">
        <v>1596</v>
      </c>
      <c r="C40" s="948"/>
      <c r="D40" s="946"/>
      <c r="E40" s="1027" t="s">
        <v>890</v>
      </c>
      <c r="F40" s="1380">
        <v>0</v>
      </c>
      <c r="G40" s="941">
        <f>IF(F40&lt;=0,0,ค่างานต้นทุน!$I$279)</f>
        <v>0</v>
      </c>
      <c r="H40" s="941">
        <f t="shared" si="3"/>
        <v>0</v>
      </c>
      <c r="I40" s="1821">
        <f>IF(F40&lt;=0,0,'ปร.5 road'!$F$11)</f>
        <v>0</v>
      </c>
      <c r="J40" s="1822">
        <f t="shared" si="4"/>
        <v>0</v>
      </c>
      <c r="K40" s="1822">
        <f t="shared" si="5"/>
        <v>0</v>
      </c>
      <c r="L40" s="1769" t="s">
        <v>1850</v>
      </c>
    </row>
    <row r="41" spans="1:14">
      <c r="A41" s="1016"/>
      <c r="B41" s="944" t="s">
        <v>1597</v>
      </c>
      <c r="C41" s="945"/>
      <c r="D41" s="946"/>
      <c r="E41" s="1027" t="s">
        <v>890</v>
      </c>
      <c r="F41" s="1380">
        <v>0</v>
      </c>
      <c r="G41" s="941">
        <f>IF(F41&lt;=0,0,ค่างานต้นทุน!$I$279)</f>
        <v>0</v>
      </c>
      <c r="H41" s="941">
        <f t="shared" si="3"/>
        <v>0</v>
      </c>
      <c r="I41" s="1821">
        <f>IF(F41&lt;=0,0,'ปร.5 road'!$F$11)</f>
        <v>0</v>
      </c>
      <c r="J41" s="1822">
        <f t="shared" si="4"/>
        <v>0</v>
      </c>
      <c r="K41" s="1822">
        <f t="shared" si="5"/>
        <v>0</v>
      </c>
      <c r="L41" s="1769" t="s">
        <v>1850</v>
      </c>
    </row>
    <row r="42" spans="1:14">
      <c r="A42" s="1016"/>
      <c r="B42" s="944" t="s">
        <v>1883</v>
      </c>
      <c r="C42" s="945"/>
      <c r="D42" s="946"/>
      <c r="E42" s="1027" t="s">
        <v>378</v>
      </c>
      <c r="F42" s="1380">
        <v>0</v>
      </c>
      <c r="G42" s="941">
        <f>IF(F42&lt;=0,0,ค่างานต้นทุน!$I$166)</f>
        <v>0</v>
      </c>
      <c r="H42" s="941">
        <f t="shared" ref="H42" si="6">IF(F42&lt;=0,0,ROUND(F42*G42,2))</f>
        <v>0</v>
      </c>
      <c r="I42" s="1821">
        <f>IF(F42&lt;=0,0,'ปร.5 road'!$F$11)</f>
        <v>0</v>
      </c>
      <c r="J42" s="1822">
        <f t="shared" ref="J42" si="7">INT((G42*I42)/0.01)*0.01</f>
        <v>0</v>
      </c>
      <c r="K42" s="1822">
        <f t="shared" ref="K42" si="8">IF(F42&lt;=0,0,ROUND(F42*J42,2))</f>
        <v>0</v>
      </c>
      <c r="L42" s="950"/>
    </row>
    <row r="43" spans="1:14">
      <c r="A43" s="1016"/>
      <c r="B43" s="967" t="s">
        <v>1628</v>
      </c>
      <c r="C43" s="968"/>
      <c r="D43" s="969"/>
      <c r="E43" s="1615" t="s">
        <v>870</v>
      </c>
      <c r="F43" s="2096">
        <v>0</v>
      </c>
      <c r="G43" s="941">
        <f>IF(F43&lt;=0,0,ค่างานต้นทุน!$I$95)</f>
        <v>0</v>
      </c>
      <c r="H43" s="941">
        <f t="shared" ref="H43" si="9">IF(F43&lt;=0,0,ROUND(F43*G43,2))</f>
        <v>0</v>
      </c>
      <c r="I43" s="1821">
        <f>IF(F43&lt;=0,0,'ปร.5 road'!$F$11)</f>
        <v>0</v>
      </c>
      <c r="J43" s="1822">
        <f t="shared" ref="J43" si="10">INT((G43*I43)/0.01)*0.01</f>
        <v>0</v>
      </c>
      <c r="K43" s="1822">
        <f t="shared" ref="K43" si="11">IF(F43&lt;=0,0,ROUND(F43*J43,2))</f>
        <v>0</v>
      </c>
      <c r="L43" s="1387"/>
    </row>
    <row r="44" spans="1:14">
      <c r="A44" s="1016"/>
      <c r="B44" s="944" t="s">
        <v>1821</v>
      </c>
      <c r="C44" s="948"/>
      <c r="D44" s="946"/>
      <c r="E44" s="1615" t="s">
        <v>890</v>
      </c>
      <c r="F44" s="1386">
        <v>0</v>
      </c>
      <c r="G44" s="953"/>
      <c r="H44" s="953"/>
      <c r="I44" s="1823"/>
      <c r="J44" s="1824"/>
      <c r="K44" s="1824"/>
      <c r="L44" s="1761" t="s">
        <v>1876</v>
      </c>
    </row>
    <row r="45" spans="1:14">
      <c r="A45" s="1016"/>
      <c r="B45" s="1388" t="s">
        <v>1635</v>
      </c>
      <c r="C45" s="945" t="s">
        <v>1636</v>
      </c>
      <c r="D45" s="946"/>
      <c r="E45" s="1615" t="s">
        <v>889</v>
      </c>
      <c r="F45" s="1386">
        <v>0</v>
      </c>
      <c r="G45" s="953"/>
      <c r="H45" s="953"/>
      <c r="I45" s="1823"/>
      <c r="J45" s="1824"/>
      <c r="K45" s="1824"/>
      <c r="L45" s="1387"/>
    </row>
    <row r="46" spans="1:14">
      <c r="A46" s="1016"/>
      <c r="B46" s="1388" t="s">
        <v>1637</v>
      </c>
      <c r="C46" s="948" t="s">
        <v>1638</v>
      </c>
      <c r="D46" s="946"/>
      <c r="E46" s="1615" t="s">
        <v>889</v>
      </c>
      <c r="F46" s="1386">
        <v>0</v>
      </c>
      <c r="G46" s="953"/>
      <c r="H46" s="953"/>
      <c r="I46" s="1823"/>
      <c r="J46" s="1824"/>
      <c r="K46" s="1824"/>
      <c r="L46" s="1387"/>
    </row>
    <row r="47" spans="1:14">
      <c r="A47" s="1016"/>
      <c r="B47" s="1388" t="s">
        <v>1639</v>
      </c>
      <c r="C47" s="945" t="s">
        <v>1640</v>
      </c>
      <c r="D47" s="946"/>
      <c r="E47" s="1615" t="s">
        <v>889</v>
      </c>
      <c r="F47" s="1386">
        <v>0</v>
      </c>
      <c r="G47" s="953"/>
      <c r="H47" s="953"/>
      <c r="I47" s="1823"/>
      <c r="J47" s="1824"/>
      <c r="K47" s="1824"/>
      <c r="L47" s="1387"/>
    </row>
    <row r="48" spans="1:14">
      <c r="A48" s="1016"/>
      <c r="B48" s="944" t="s">
        <v>1822</v>
      </c>
      <c r="C48" s="948"/>
      <c r="D48" s="946"/>
      <c r="E48" s="1615" t="s">
        <v>890</v>
      </c>
      <c r="F48" s="1386">
        <v>0</v>
      </c>
      <c r="G48" s="941">
        <f>IF(F48&lt;=0,0,ค่างานต้นทุน!$I$583)</f>
        <v>0</v>
      </c>
      <c r="H48" s="941">
        <f t="shared" ref="H48" si="12">IF(F48&lt;=0,0,ROUND(F48*G48,2))</f>
        <v>0</v>
      </c>
      <c r="I48" s="1821">
        <f>IF(F48&lt;=0,0,'ปร.5 road'!$F$11)</f>
        <v>0</v>
      </c>
      <c r="J48" s="1822">
        <f t="shared" ref="J48" si="13">INT((G48*I48)/0.01)*0.01</f>
        <v>0</v>
      </c>
      <c r="K48" s="1822">
        <f t="shared" ref="K48" si="14">IF(F48&lt;=0,0,ROUND(F48*J48,2))</f>
        <v>0</v>
      </c>
      <c r="L48" s="1761" t="s">
        <v>1876</v>
      </c>
      <c r="N48" s="2085">
        <f>ค่างานต้นทุน!D561*ค่างานต้นทุน!C562</f>
        <v>8400</v>
      </c>
    </row>
    <row r="49" spans="1:14">
      <c r="A49" s="1016"/>
      <c r="B49" s="1388" t="s">
        <v>1635</v>
      </c>
      <c r="C49" s="945" t="s">
        <v>1636</v>
      </c>
      <c r="D49" s="946"/>
      <c r="E49" s="1615" t="s">
        <v>889</v>
      </c>
      <c r="F49" s="1386">
        <v>0</v>
      </c>
      <c r="G49" s="941">
        <f>IF(F49&lt;=0,0,ค่างานต้นทุน!$I$607)</f>
        <v>0</v>
      </c>
      <c r="H49" s="941">
        <f t="shared" ref="H49" si="15">IF(F49&lt;=0,0,ROUND(F49*G49,2))</f>
        <v>0</v>
      </c>
      <c r="I49" s="1821">
        <f>IF(F49&lt;=0,0,'ปร.5 road'!$F$11)</f>
        <v>0</v>
      </c>
      <c r="J49" s="1822">
        <f t="shared" ref="J49" si="16">INT((G49*I49)/0.01)*0.01</f>
        <v>0</v>
      </c>
      <c r="K49" s="1822">
        <f t="shared" ref="K49" si="17">IF(F49&lt;=0,0,ROUND(F49*J49,2))</f>
        <v>0</v>
      </c>
      <c r="L49" s="1387"/>
      <c r="N49" s="2086">
        <f>ค่างานต้นทุน!D598</f>
        <v>24</v>
      </c>
    </row>
    <row r="50" spans="1:14">
      <c r="A50" s="1016"/>
      <c r="B50" s="1388" t="s">
        <v>1637</v>
      </c>
      <c r="C50" s="948" t="s">
        <v>1638</v>
      </c>
      <c r="D50" s="946"/>
      <c r="E50" s="1615" t="s">
        <v>889</v>
      </c>
      <c r="F50" s="1386">
        <v>0</v>
      </c>
      <c r="G50" s="941">
        <f>IF(F50&lt;=0,0,ค่างานต้นทุน!$I$631)</f>
        <v>0</v>
      </c>
      <c r="H50" s="941">
        <f t="shared" ref="H50" si="18">IF(F50&lt;=0,0,ROUND(F50*G50,2))</f>
        <v>0</v>
      </c>
      <c r="I50" s="1821">
        <f>IF(F50&lt;=0,0,'ปร.5 road'!$F$11)</f>
        <v>0</v>
      </c>
      <c r="J50" s="1822">
        <f t="shared" ref="J50" si="19">INT((G50*I50)/0.01)*0.01</f>
        <v>0</v>
      </c>
      <c r="K50" s="1822">
        <f t="shared" ref="K50" si="20">IF(F50&lt;=0,0,ROUND(F50*J50,2))</f>
        <v>0</v>
      </c>
      <c r="L50" s="1387"/>
      <c r="N50" s="2086">
        <f>ค่างานต้นทุน!D624</f>
        <v>804</v>
      </c>
    </row>
    <row r="51" spans="1:14">
      <c r="A51" s="1016"/>
      <c r="B51" s="1388" t="s">
        <v>1639</v>
      </c>
      <c r="C51" s="945" t="s">
        <v>1640</v>
      </c>
      <c r="D51" s="946"/>
      <c r="E51" s="1615" t="s">
        <v>889</v>
      </c>
      <c r="F51" s="1386">
        <v>0</v>
      </c>
      <c r="G51" s="941">
        <f>IF(F51&lt;=0,0,ค่างานต้นทุน!$I$638)</f>
        <v>0</v>
      </c>
      <c r="H51" s="941">
        <f t="shared" ref="H51" si="21">IF(F51&lt;=0,0,ROUND(F51*G51,2))</f>
        <v>0</v>
      </c>
      <c r="I51" s="1821">
        <f>IF(F51&lt;=0,0,'ปร.5 road'!$F$11)</f>
        <v>0</v>
      </c>
      <c r="J51" s="1822">
        <f t="shared" ref="J51" si="22">INT((G51*I51)/0.01)*0.01</f>
        <v>0</v>
      </c>
      <c r="K51" s="1822">
        <f t="shared" ref="K51" si="23">IF(F51&lt;=0,0,ROUND(F51*J51,2))</f>
        <v>0</v>
      </c>
      <c r="L51" s="1387"/>
      <c r="N51" s="2086">
        <f>ค่างานต้นทุน!E594</f>
        <v>1400</v>
      </c>
    </row>
    <row r="52" spans="1:14">
      <c r="A52" s="998">
        <v>5</v>
      </c>
      <c r="B52" s="999" t="s">
        <v>373</v>
      </c>
      <c r="C52" s="1000"/>
      <c r="D52" s="1001"/>
      <c r="E52" s="1615"/>
      <c r="F52" s="952"/>
      <c r="G52" s="953"/>
      <c r="H52" s="953"/>
      <c r="I52" s="1823"/>
      <c r="J52" s="1824"/>
      <c r="K52" s="1824"/>
      <c r="L52" s="955"/>
    </row>
    <row r="53" spans="1:14">
      <c r="A53" s="990">
        <v>5.0999999999999996</v>
      </c>
      <c r="B53" s="944" t="s">
        <v>374</v>
      </c>
      <c r="C53" s="988"/>
      <c r="D53" s="989"/>
      <c r="E53" s="1027"/>
      <c r="F53" s="940"/>
      <c r="G53" s="941"/>
      <c r="H53" s="941"/>
      <c r="I53" s="1821"/>
      <c r="J53" s="1822"/>
      <c r="K53" s="1822"/>
      <c r="L53" s="939"/>
    </row>
    <row r="54" spans="1:14">
      <c r="A54" s="990"/>
      <c r="B54" s="944" t="s">
        <v>1827</v>
      </c>
      <c r="C54" s="945"/>
      <c r="D54" s="946"/>
      <c r="E54" s="1027" t="s">
        <v>375</v>
      </c>
      <c r="F54" s="1380">
        <v>0</v>
      </c>
      <c r="G54" s="941">
        <f>IF(F54&lt;=0,0,ค่างานต้นทุน!I353)</f>
        <v>0</v>
      </c>
      <c r="H54" s="941">
        <f>IF(F54&lt;=0,0,ROUND(F54*G54,2))</f>
        <v>0</v>
      </c>
      <c r="I54" s="1821">
        <f>IF(F54&lt;=0,0,'ปร.5 road'!$F$11)</f>
        <v>0</v>
      </c>
      <c r="J54" s="1822">
        <f t="shared" si="1"/>
        <v>0</v>
      </c>
      <c r="K54" s="1822">
        <f t="shared" si="0"/>
        <v>0</v>
      </c>
      <c r="L54" s="939"/>
    </row>
    <row r="55" spans="1:14">
      <c r="A55" s="990"/>
      <c r="B55" s="944" t="s">
        <v>1828</v>
      </c>
      <c r="C55" s="945"/>
      <c r="D55" s="946"/>
      <c r="E55" s="1027" t="s">
        <v>375</v>
      </c>
      <c r="F55" s="1380">
        <v>12</v>
      </c>
      <c r="G55" s="941">
        <f>IF(F55&lt;=0,0,ค่างานต้นทุน!I361)</f>
        <v>1450</v>
      </c>
      <c r="H55" s="941">
        <f>IF(F55&lt;=0,0,ROUND(F55*G55,2))</f>
        <v>17400</v>
      </c>
      <c r="I55" s="1821">
        <f>IF(F55&lt;=0,0,'ปร.5 road'!$F$11)</f>
        <v>1.3607</v>
      </c>
      <c r="J55" s="1822">
        <f t="shared" si="1"/>
        <v>1973.01</v>
      </c>
      <c r="K55" s="1822">
        <f t="shared" si="0"/>
        <v>23676.12</v>
      </c>
      <c r="L55" s="939"/>
    </row>
    <row r="56" spans="1:14">
      <c r="A56" s="990"/>
      <c r="B56" s="944" t="s">
        <v>1829</v>
      </c>
      <c r="C56" s="945"/>
      <c r="D56" s="946"/>
      <c r="E56" s="1027" t="s">
        <v>375</v>
      </c>
      <c r="F56" s="1380">
        <v>0</v>
      </c>
      <c r="G56" s="941">
        <f>IF(F56&lt;=0,0,ค่างานต้นทุน!I369)</f>
        <v>0</v>
      </c>
      <c r="H56" s="941">
        <f>IF(F56&lt;=0,0,ROUND(F56*G56,2))</f>
        <v>0</v>
      </c>
      <c r="I56" s="1821">
        <f>IF(F56&lt;=0,0,'ปร.5 road'!$F$11)</f>
        <v>0</v>
      </c>
      <c r="J56" s="1822">
        <f t="shared" si="1"/>
        <v>0</v>
      </c>
      <c r="K56" s="1822">
        <f t="shared" si="0"/>
        <v>0</v>
      </c>
      <c r="L56" s="939"/>
    </row>
    <row r="57" spans="1:14">
      <c r="A57" s="990"/>
      <c r="B57" s="944" t="s">
        <v>1830</v>
      </c>
      <c r="C57" s="945"/>
      <c r="D57" s="946"/>
      <c r="E57" s="1027" t="s">
        <v>375</v>
      </c>
      <c r="F57" s="1380">
        <v>0</v>
      </c>
      <c r="G57" s="941">
        <f>IF(F57&lt;=0,0,ค่างานต้นทุน!I377)</f>
        <v>0</v>
      </c>
      <c r="H57" s="941">
        <f>IF(F57&lt;=0,0,ROUND(F57*G57,2))</f>
        <v>0</v>
      </c>
      <c r="I57" s="1821">
        <f>IF(F57&lt;=0,0,'ปร.5 road'!$F$11)</f>
        <v>0</v>
      </c>
      <c r="J57" s="1822">
        <f t="shared" si="1"/>
        <v>0</v>
      </c>
      <c r="K57" s="1822">
        <f t="shared" si="0"/>
        <v>0</v>
      </c>
      <c r="L57" s="939"/>
    </row>
    <row r="58" spans="1:14">
      <c r="A58" s="990"/>
      <c r="B58" s="944" t="s">
        <v>1831</v>
      </c>
      <c r="C58" s="945"/>
      <c r="D58" s="946"/>
      <c r="E58" s="1027" t="s">
        <v>375</v>
      </c>
      <c r="F58" s="1380">
        <v>0</v>
      </c>
      <c r="G58" s="941">
        <f>IF(F58&lt;=0,0,ค่างานต้นทุน!I385)</f>
        <v>0</v>
      </c>
      <c r="H58" s="941">
        <f>IF(F58&lt;=0,0,ROUND(F58*G58,2))</f>
        <v>0</v>
      </c>
      <c r="I58" s="1821">
        <f>IF(F58&lt;=0,0,'ปร.5 road'!$F$11)</f>
        <v>0</v>
      </c>
      <c r="J58" s="1822">
        <f t="shared" si="1"/>
        <v>0</v>
      </c>
      <c r="K58" s="1822">
        <f t="shared" si="0"/>
        <v>0</v>
      </c>
      <c r="L58" s="939"/>
      <c r="N58" s="1377"/>
    </row>
    <row r="59" spans="1:14">
      <c r="A59" s="951">
        <v>5.2</v>
      </c>
      <c r="B59" s="967" t="s">
        <v>381</v>
      </c>
      <c r="C59" s="1000"/>
      <c r="D59" s="1001"/>
      <c r="E59" s="1615"/>
      <c r="F59" s="952"/>
      <c r="G59" s="953"/>
      <c r="H59" s="953"/>
      <c r="I59" s="1823"/>
      <c r="J59" s="1824"/>
      <c r="K59" s="1824"/>
      <c r="L59" s="955"/>
    </row>
    <row r="60" spans="1:14">
      <c r="A60" s="942"/>
      <c r="B60" s="1389" t="s">
        <v>1832</v>
      </c>
      <c r="C60" s="1390"/>
      <c r="D60" s="956"/>
      <c r="E60" s="1027" t="s">
        <v>382</v>
      </c>
      <c r="F60" s="1380">
        <v>1</v>
      </c>
      <c r="G60" s="941">
        <f>IF(F60&lt;=0,0,ค่างานต้นทุน!I402)</f>
        <v>14870</v>
      </c>
      <c r="H60" s="941">
        <f t="shared" ref="H60:H65" si="24">IF(F60&lt;=0,0,ROUND(F60*G60,2))</f>
        <v>14870</v>
      </c>
      <c r="I60" s="1821">
        <f>IF(F60&lt;=0,0,'ปร.5 road'!$F$11)</f>
        <v>1.3607</v>
      </c>
      <c r="J60" s="1822">
        <f t="shared" si="1"/>
        <v>20233.600000000002</v>
      </c>
      <c r="K60" s="1822">
        <f t="shared" si="0"/>
        <v>20233.599999999999</v>
      </c>
      <c r="L60" s="939"/>
    </row>
    <row r="61" spans="1:14">
      <c r="A61" s="942"/>
      <c r="B61" s="1389" t="s">
        <v>1833</v>
      </c>
      <c r="C61" s="1390"/>
      <c r="D61" s="956"/>
      <c r="E61" s="1027" t="s">
        <v>382</v>
      </c>
      <c r="F61" s="1380">
        <v>0</v>
      </c>
      <c r="G61" s="941">
        <f>IF(F61&lt;=0,0,ค่างานต้นทุน!I403)</f>
        <v>0</v>
      </c>
      <c r="H61" s="941">
        <f t="shared" si="24"/>
        <v>0</v>
      </c>
      <c r="I61" s="1821">
        <f>IF(F61&lt;=0,0,'ปร.5 road'!$F$11)</f>
        <v>0</v>
      </c>
      <c r="J61" s="1822">
        <f t="shared" si="1"/>
        <v>0</v>
      </c>
      <c r="K61" s="1822">
        <f t="shared" si="0"/>
        <v>0</v>
      </c>
      <c r="L61" s="939"/>
    </row>
    <row r="62" spans="1:14">
      <c r="A62" s="942"/>
      <c r="B62" s="1389" t="s">
        <v>1834</v>
      </c>
      <c r="C62" s="1390"/>
      <c r="D62" s="956"/>
      <c r="E62" s="1027" t="s">
        <v>382</v>
      </c>
      <c r="F62" s="1380">
        <v>0</v>
      </c>
      <c r="G62" s="941">
        <f>IF(F62&lt;=0,0,ค่างานต้นทุน!I412)</f>
        <v>0</v>
      </c>
      <c r="H62" s="941">
        <f t="shared" si="24"/>
        <v>0</v>
      </c>
      <c r="I62" s="1821">
        <f>IF(F62&lt;=0,0,'ปร.5 road'!$F$11)</f>
        <v>0</v>
      </c>
      <c r="J62" s="1822">
        <f t="shared" si="1"/>
        <v>0</v>
      </c>
      <c r="K62" s="1822">
        <f t="shared" si="0"/>
        <v>0</v>
      </c>
      <c r="L62" s="939"/>
    </row>
    <row r="63" spans="1:14">
      <c r="A63" s="942"/>
      <c r="B63" s="1389" t="s">
        <v>1835</v>
      </c>
      <c r="C63" s="1390"/>
      <c r="D63" s="956"/>
      <c r="E63" s="1027" t="s">
        <v>382</v>
      </c>
      <c r="F63" s="1380">
        <v>0</v>
      </c>
      <c r="G63" s="941">
        <f>IF(F63&lt;=0,0,ค่างานต้นทุน!I413)</f>
        <v>0</v>
      </c>
      <c r="H63" s="941">
        <f t="shared" si="24"/>
        <v>0</v>
      </c>
      <c r="I63" s="1821">
        <f>IF(F63&lt;=0,0,'ปร.5 road'!$F$11)</f>
        <v>0</v>
      </c>
      <c r="J63" s="1822">
        <f t="shared" si="1"/>
        <v>0</v>
      </c>
      <c r="K63" s="1822">
        <f t="shared" si="0"/>
        <v>0</v>
      </c>
      <c r="L63" s="942"/>
    </row>
    <row r="64" spans="1:14">
      <c r="A64" s="942"/>
      <c r="B64" s="1389" t="s">
        <v>1836</v>
      </c>
      <c r="C64" s="1390"/>
      <c r="D64" s="956"/>
      <c r="E64" s="1027" t="s">
        <v>382</v>
      </c>
      <c r="F64" s="1380">
        <v>0</v>
      </c>
      <c r="G64" s="941">
        <f>IF(F64&lt;=0,0,ค่างานต้นทุน!I423)</f>
        <v>0</v>
      </c>
      <c r="H64" s="941">
        <f t="shared" si="24"/>
        <v>0</v>
      </c>
      <c r="I64" s="1821">
        <f>IF(F64&lt;=0,0,'ปร.5 road'!$F$11)</f>
        <v>0</v>
      </c>
      <c r="J64" s="1822">
        <f t="shared" si="1"/>
        <v>0</v>
      </c>
      <c r="K64" s="1822">
        <f t="shared" si="0"/>
        <v>0</v>
      </c>
      <c r="L64" s="939"/>
    </row>
    <row r="65" spans="1:15">
      <c r="A65" s="942"/>
      <c r="B65" s="1389" t="s">
        <v>1837</v>
      </c>
      <c r="C65" s="1390"/>
      <c r="D65" s="956"/>
      <c r="E65" s="1027" t="s">
        <v>382</v>
      </c>
      <c r="F65" s="1380">
        <v>0</v>
      </c>
      <c r="G65" s="941">
        <f>IF(F65&lt;=0,0,ค่างานต้นทุน!I424)</f>
        <v>0</v>
      </c>
      <c r="H65" s="941">
        <f t="shared" si="24"/>
        <v>0</v>
      </c>
      <c r="I65" s="1821">
        <f>IF(F65&lt;=0,0,'ปร.5 road'!$F$11)</f>
        <v>0</v>
      </c>
      <c r="J65" s="1822">
        <f t="shared" si="1"/>
        <v>0</v>
      </c>
      <c r="K65" s="1822">
        <f t="shared" si="0"/>
        <v>0</v>
      </c>
      <c r="L65" s="939"/>
      <c r="N65" s="1377"/>
    </row>
    <row r="66" spans="1:15">
      <c r="A66" s="951"/>
      <c r="B66" s="1391" t="s">
        <v>1838</v>
      </c>
      <c r="C66" s="1392"/>
      <c r="D66" s="1393"/>
      <c r="E66" s="1615" t="s">
        <v>382</v>
      </c>
      <c r="F66" s="1386">
        <v>0</v>
      </c>
      <c r="G66" s="941">
        <f>IF(F66&lt;=0,0,ค่างานต้นทุน!I425)</f>
        <v>0</v>
      </c>
      <c r="H66" s="953">
        <f t="shared" ref="H66" si="25">IF(F66&lt;=0,0,ROUND(F66*G66,2))</f>
        <v>0</v>
      </c>
      <c r="I66" s="1823">
        <f>IF(F66&lt;=0,0,'ปร.5 road'!$F$11)</f>
        <v>0</v>
      </c>
      <c r="J66" s="1824">
        <f t="shared" ref="J66" si="26">INT((G66*I66)/0.01)*0.01</f>
        <v>0</v>
      </c>
      <c r="K66" s="1824">
        <f t="shared" ref="K66" si="27">IF(F66&lt;=0,0,ROUND(F66*J66,2))</f>
        <v>0</v>
      </c>
      <c r="L66" s="955"/>
    </row>
    <row r="67" spans="1:15">
      <c r="A67" s="942">
        <v>5.3</v>
      </c>
      <c r="B67" s="944" t="s">
        <v>1003</v>
      </c>
      <c r="C67" s="945"/>
      <c r="D67" s="946"/>
      <c r="E67" s="1027"/>
      <c r="F67" s="940"/>
      <c r="G67" s="941"/>
      <c r="H67" s="941"/>
      <c r="I67" s="1821"/>
      <c r="J67" s="1822"/>
      <c r="K67" s="1822"/>
      <c r="L67" s="939"/>
    </row>
    <row r="68" spans="1:15">
      <c r="A68" s="942" t="s">
        <v>1004</v>
      </c>
      <c r="B68" s="944" t="s">
        <v>1839</v>
      </c>
      <c r="C68" s="945"/>
      <c r="D68" s="946"/>
      <c r="E68" s="1027" t="s">
        <v>380</v>
      </c>
      <c r="F68" s="1380">
        <v>0</v>
      </c>
      <c r="G68" s="941">
        <f>IF(F68&lt;=0,0,ค่างานต้นทุน!I477)</f>
        <v>0</v>
      </c>
      <c r="H68" s="941">
        <f>IF(F68&lt;=0,0,ROUND(F68*G68,2))</f>
        <v>0</v>
      </c>
      <c r="I68" s="1821">
        <f>IF(F68&lt;=0,0,'ปร.5 road'!$F$11)</f>
        <v>0</v>
      </c>
      <c r="J68" s="1822">
        <f t="shared" si="1"/>
        <v>0</v>
      </c>
      <c r="K68" s="1822">
        <f t="shared" si="0"/>
        <v>0</v>
      </c>
      <c r="L68" s="939"/>
    </row>
    <row r="69" spans="1:15">
      <c r="A69" s="942" t="s">
        <v>1005</v>
      </c>
      <c r="B69" s="944" t="s">
        <v>1395</v>
      </c>
      <c r="C69" s="948"/>
      <c r="D69" s="946"/>
      <c r="E69" s="1027" t="s">
        <v>380</v>
      </c>
      <c r="F69" s="1380">
        <v>0</v>
      </c>
      <c r="G69" s="941">
        <f>IF(F69&lt;=0,0,ค่างานต้นทุน!I487)</f>
        <v>0</v>
      </c>
      <c r="H69" s="941">
        <f>IF(F69&gt;=0,ROUND(F69*G69,2))</f>
        <v>0</v>
      </c>
      <c r="I69" s="1821">
        <f>IF(F69&lt;=0,0,'ปร.5 road'!$F$11)</f>
        <v>0</v>
      </c>
      <c r="J69" s="1822">
        <f t="shared" si="1"/>
        <v>0</v>
      </c>
      <c r="K69" s="1822">
        <f t="shared" si="0"/>
        <v>0</v>
      </c>
      <c r="L69" s="939"/>
    </row>
    <row r="70" spans="1:15">
      <c r="A70" s="942">
        <v>5.4</v>
      </c>
      <c r="B70" s="944" t="s">
        <v>929</v>
      </c>
      <c r="C70" s="945"/>
      <c r="D70" s="946"/>
      <c r="E70" s="1027" t="s">
        <v>938</v>
      </c>
      <c r="F70" s="1380">
        <v>0</v>
      </c>
      <c r="G70" s="941">
        <f>IF(F70&lt;=0,0,ค่างานต้นทุน!#REF!)</f>
        <v>0</v>
      </c>
      <c r="H70" s="941">
        <f>IF(F70&gt;=0,ROUND(F70*G70,2))</f>
        <v>0</v>
      </c>
      <c r="I70" s="1821">
        <f>IF(F70&lt;=0,0,'ปร.5 road'!$F$11)</f>
        <v>0</v>
      </c>
      <c r="J70" s="1822">
        <f t="shared" si="1"/>
        <v>0</v>
      </c>
      <c r="K70" s="1822">
        <f t="shared" si="0"/>
        <v>0</v>
      </c>
      <c r="L70" s="939"/>
    </row>
    <row r="71" spans="1:15">
      <c r="A71" s="971">
        <v>6</v>
      </c>
      <c r="B71" s="957" t="s">
        <v>232</v>
      </c>
      <c r="C71" s="945"/>
      <c r="D71" s="946"/>
      <c r="E71" s="1027"/>
      <c r="F71" s="940"/>
      <c r="G71" s="941"/>
      <c r="H71" s="941"/>
      <c r="I71" s="1821"/>
      <c r="J71" s="1822"/>
      <c r="K71" s="1822"/>
      <c r="L71" s="939"/>
    </row>
    <row r="72" spans="1:15">
      <c r="A72" s="942"/>
      <c r="B72" s="944" t="s">
        <v>69</v>
      </c>
      <c r="C72" s="945"/>
      <c r="D72" s="946"/>
      <c r="E72" s="1027" t="s">
        <v>1038</v>
      </c>
      <c r="F72" s="1380">
        <v>0</v>
      </c>
      <c r="G72" s="941">
        <f>IF(F72&lt;=0,0,ราคาป้าย!E44)</f>
        <v>0</v>
      </c>
      <c r="H72" s="941">
        <f t="shared" ref="H72:H84" si="28">IF(F72&lt;=0,0,ROUND(F72*G72,2))</f>
        <v>0</v>
      </c>
      <c r="I72" s="1821">
        <f>IF(F72&lt;=0,0,'ปร.5 road'!$F$11)</f>
        <v>0</v>
      </c>
      <c r="J72" s="1822">
        <f t="shared" si="1"/>
        <v>0</v>
      </c>
      <c r="K72" s="1822">
        <f t="shared" si="0"/>
        <v>0</v>
      </c>
      <c r="L72" s="942"/>
      <c r="N72" s="1377">
        <f>SUM(K72:K120)+K130</f>
        <v>0</v>
      </c>
      <c r="O72" s="928">
        <f>N72/K$134*N$7</f>
        <v>0</v>
      </c>
    </row>
    <row r="73" spans="1:15">
      <c r="A73" s="942"/>
      <c r="B73" s="944" t="s">
        <v>70</v>
      </c>
      <c r="C73" s="945"/>
      <c r="D73" s="946"/>
      <c r="E73" s="1027" t="s">
        <v>1038</v>
      </c>
      <c r="F73" s="1380">
        <v>0</v>
      </c>
      <c r="G73" s="941">
        <f>IF(F73&lt;=0,0,ราคาป้าย!E45)</f>
        <v>0</v>
      </c>
      <c r="H73" s="941">
        <f t="shared" si="28"/>
        <v>0</v>
      </c>
      <c r="I73" s="1821">
        <f>IF(F73&lt;=0,0,'ปร.5 road'!$F$11)</f>
        <v>0</v>
      </c>
      <c r="J73" s="1822">
        <f t="shared" si="1"/>
        <v>0</v>
      </c>
      <c r="K73" s="1822">
        <f t="shared" si="0"/>
        <v>0</v>
      </c>
      <c r="L73" s="942"/>
    </row>
    <row r="74" spans="1:15">
      <c r="A74" s="942"/>
      <c r="B74" s="944" t="s">
        <v>71</v>
      </c>
      <c r="C74" s="945"/>
      <c r="D74" s="946"/>
      <c r="E74" s="1027" t="s">
        <v>1038</v>
      </c>
      <c r="F74" s="1380">
        <v>0</v>
      </c>
      <c r="G74" s="941">
        <f>IF(F74&lt;=0,0,ราคาป้าย!E46)</f>
        <v>0</v>
      </c>
      <c r="H74" s="941">
        <f t="shared" si="28"/>
        <v>0</v>
      </c>
      <c r="I74" s="1821">
        <f>IF(F74&lt;=0,0,'ปร.5 road'!$F$11)</f>
        <v>0</v>
      </c>
      <c r="J74" s="1822">
        <f t="shared" si="1"/>
        <v>0</v>
      </c>
      <c r="K74" s="1822">
        <f t="shared" si="0"/>
        <v>0</v>
      </c>
      <c r="L74" s="942"/>
    </row>
    <row r="75" spans="1:15">
      <c r="A75" s="942"/>
      <c r="B75" s="944" t="s">
        <v>72</v>
      </c>
      <c r="C75" s="945"/>
      <c r="D75" s="946"/>
      <c r="E75" s="1027" t="s">
        <v>379</v>
      </c>
      <c r="F75" s="1380">
        <v>0</v>
      </c>
      <c r="G75" s="941">
        <f>IF(F75&lt;=0,0,ราคาป้าย!E47)</f>
        <v>0</v>
      </c>
      <c r="H75" s="941">
        <f t="shared" si="28"/>
        <v>0</v>
      </c>
      <c r="I75" s="1821">
        <f>IF(F75&lt;=0,0,'ปร.5 road'!$F$11)</f>
        <v>0</v>
      </c>
      <c r="J75" s="1822">
        <f t="shared" si="1"/>
        <v>0</v>
      </c>
      <c r="K75" s="1822">
        <f t="shared" si="0"/>
        <v>0</v>
      </c>
      <c r="L75" s="942"/>
    </row>
    <row r="76" spans="1:15">
      <c r="A76" s="942"/>
      <c r="B76" s="944" t="s">
        <v>73</v>
      </c>
      <c r="C76" s="945"/>
      <c r="D76" s="946"/>
      <c r="E76" s="1027" t="s">
        <v>890</v>
      </c>
      <c r="F76" s="1380">
        <v>0</v>
      </c>
      <c r="G76" s="941">
        <f>IF(F76&lt;=0,0,ราคาป้าย!E48)</f>
        <v>0</v>
      </c>
      <c r="H76" s="941">
        <f t="shared" si="28"/>
        <v>0</v>
      </c>
      <c r="I76" s="1821">
        <f>IF(F76&lt;=0,0,'ปร.5 road'!$F$11)</f>
        <v>0</v>
      </c>
      <c r="J76" s="1822">
        <f t="shared" si="1"/>
        <v>0</v>
      </c>
      <c r="K76" s="1822">
        <f t="shared" si="0"/>
        <v>0</v>
      </c>
      <c r="L76" s="1769" t="s">
        <v>519</v>
      </c>
      <c r="N76" s="928">
        <v>25.4</v>
      </c>
    </row>
    <row r="77" spans="1:15">
      <c r="A77" s="942"/>
      <c r="B77" s="944" t="s">
        <v>1840</v>
      </c>
      <c r="C77" s="945"/>
      <c r="D77" s="946"/>
      <c r="E77" s="1027" t="s">
        <v>889</v>
      </c>
      <c r="F77" s="1380">
        <v>0</v>
      </c>
      <c r="G77" s="941">
        <f>IF(F77&lt;=0,0,ราคาป้าย!E50)</f>
        <v>0</v>
      </c>
      <c r="H77" s="941">
        <f t="shared" si="28"/>
        <v>0</v>
      </c>
      <c r="I77" s="1821">
        <f>IF(F77&lt;=0,0,'ปร.5 road'!$F$11)</f>
        <v>0</v>
      </c>
      <c r="J77" s="1822">
        <f t="shared" si="1"/>
        <v>0</v>
      </c>
      <c r="K77" s="1822">
        <f t="shared" si="0"/>
        <v>0</v>
      </c>
      <c r="L77" s="939"/>
    </row>
    <row r="78" spans="1:15">
      <c r="A78" s="942"/>
      <c r="B78" s="944" t="s">
        <v>1841</v>
      </c>
      <c r="C78" s="945"/>
      <c r="D78" s="946"/>
      <c r="E78" s="1027" t="s">
        <v>889</v>
      </c>
      <c r="F78" s="1380">
        <v>0</v>
      </c>
      <c r="G78" s="941">
        <f>IF(F78&lt;=0,0,ราคาป้าย!E51)</f>
        <v>0</v>
      </c>
      <c r="H78" s="941">
        <f t="shared" si="28"/>
        <v>0</v>
      </c>
      <c r="I78" s="1821">
        <f>IF(F78&lt;=0,0,'ปร.5 road'!$F$11)</f>
        <v>0</v>
      </c>
      <c r="J78" s="1822">
        <f t="shared" si="1"/>
        <v>0</v>
      </c>
      <c r="K78" s="1822">
        <f t="shared" si="0"/>
        <v>0</v>
      </c>
      <c r="L78" s="939"/>
    </row>
    <row r="79" spans="1:15">
      <c r="A79" s="942"/>
      <c r="B79" s="944" t="s">
        <v>1842</v>
      </c>
      <c r="C79" s="945"/>
      <c r="D79" s="946"/>
      <c r="E79" s="1027" t="s">
        <v>889</v>
      </c>
      <c r="F79" s="1380">
        <v>0</v>
      </c>
      <c r="G79" s="941">
        <f>IF(F79&lt;=0,0,ราคาป้าย!E52)</f>
        <v>0</v>
      </c>
      <c r="H79" s="941">
        <f t="shared" si="28"/>
        <v>0</v>
      </c>
      <c r="I79" s="1821">
        <f>IF(F79&lt;=0,0,'ปร.5 road'!$F$11)</f>
        <v>0</v>
      </c>
      <c r="J79" s="1822">
        <f t="shared" si="1"/>
        <v>0</v>
      </c>
      <c r="K79" s="1822">
        <f t="shared" si="0"/>
        <v>0</v>
      </c>
      <c r="L79" s="939"/>
    </row>
    <row r="80" spans="1:15">
      <c r="A80" s="942"/>
      <c r="B80" s="944" t="s">
        <v>75</v>
      </c>
      <c r="C80" s="945"/>
      <c r="D80" s="946"/>
      <c r="E80" s="1027" t="s">
        <v>382</v>
      </c>
      <c r="F80" s="1380">
        <v>0</v>
      </c>
      <c r="G80" s="941">
        <f>IF(F80&lt;=0,0,ราคาป้าย!E53)</f>
        <v>0</v>
      </c>
      <c r="H80" s="941">
        <f t="shared" si="28"/>
        <v>0</v>
      </c>
      <c r="I80" s="1821">
        <f>IF(F80&lt;=0,0,'ปร.5 road'!$F$11)</f>
        <v>0</v>
      </c>
      <c r="J80" s="1822">
        <f t="shared" si="1"/>
        <v>0</v>
      </c>
      <c r="K80" s="1822">
        <f t="shared" si="0"/>
        <v>0</v>
      </c>
      <c r="L80" s="939"/>
    </row>
    <row r="81" spans="1:12">
      <c r="A81" s="942"/>
      <c r="B81" s="944" t="s">
        <v>76</v>
      </c>
      <c r="C81" s="945"/>
      <c r="D81" s="946"/>
      <c r="E81" s="1027" t="s">
        <v>382</v>
      </c>
      <c r="F81" s="1380">
        <v>0</v>
      </c>
      <c r="G81" s="941">
        <f>IF(F81&lt;=0,0,ราคาป้าย!E54)</f>
        <v>0</v>
      </c>
      <c r="H81" s="941">
        <f t="shared" si="28"/>
        <v>0</v>
      </c>
      <c r="I81" s="1821">
        <f>IF(F81&lt;=0,0,'ปร.5 road'!$F$11)</f>
        <v>0</v>
      </c>
      <c r="J81" s="1822">
        <f t="shared" si="1"/>
        <v>0</v>
      </c>
      <c r="K81" s="1822">
        <f t="shared" si="0"/>
        <v>0</v>
      </c>
      <c r="L81" s="939"/>
    </row>
    <row r="82" spans="1:12">
      <c r="A82" s="942"/>
      <c r="B82" s="944" t="s">
        <v>67</v>
      </c>
      <c r="C82" s="945"/>
      <c r="D82" s="946"/>
      <c r="E82" s="1027" t="s">
        <v>382</v>
      </c>
      <c r="F82" s="1380">
        <v>0</v>
      </c>
      <c r="G82" s="941">
        <f>IF(F82&lt;=0,0,ราคาป้าย!E55)</f>
        <v>0</v>
      </c>
      <c r="H82" s="941">
        <f t="shared" si="28"/>
        <v>0</v>
      </c>
      <c r="I82" s="1821">
        <f>IF(F82&lt;=0,0,'ปร.5 road'!$F$11)</f>
        <v>0</v>
      </c>
      <c r="J82" s="1822">
        <f t="shared" si="1"/>
        <v>0</v>
      </c>
      <c r="K82" s="1822">
        <f t="shared" si="0"/>
        <v>0</v>
      </c>
      <c r="L82" s="939"/>
    </row>
    <row r="83" spans="1:12">
      <c r="A83" s="942"/>
      <c r="B83" s="944" t="s">
        <v>68</v>
      </c>
      <c r="C83" s="945"/>
      <c r="D83" s="946"/>
      <c r="E83" s="1027" t="s">
        <v>379</v>
      </c>
      <c r="F83" s="1380">
        <v>0</v>
      </c>
      <c r="G83" s="941">
        <f>IF(F83&lt;=0,0,ราคาป้าย!E56)</f>
        <v>0</v>
      </c>
      <c r="H83" s="941">
        <f t="shared" si="28"/>
        <v>0</v>
      </c>
      <c r="I83" s="1821">
        <f>IF(F83&lt;=0,0,'ปร.5 road'!$F$11)</f>
        <v>0</v>
      </c>
      <c r="J83" s="1822">
        <f t="shared" si="1"/>
        <v>0</v>
      </c>
      <c r="K83" s="1822">
        <f t="shared" si="0"/>
        <v>0</v>
      </c>
      <c r="L83" s="939"/>
    </row>
    <row r="84" spans="1:12">
      <c r="A84" s="942"/>
      <c r="B84" s="944" t="s">
        <v>1211</v>
      </c>
      <c r="C84" s="945"/>
      <c r="D84" s="946"/>
      <c r="E84" s="1027" t="s">
        <v>379</v>
      </c>
      <c r="F84" s="1380">
        <v>0</v>
      </c>
      <c r="G84" s="941">
        <f>IF(F84&lt;=0,0,ราคาป้าย!E58)</f>
        <v>0</v>
      </c>
      <c r="H84" s="941">
        <f t="shared" si="28"/>
        <v>0</v>
      </c>
      <c r="I84" s="1821">
        <f>IF(F84&lt;=0,0,'ปร.5 road'!$F$11)</f>
        <v>0</v>
      </c>
      <c r="J84" s="1822">
        <f t="shared" si="1"/>
        <v>0</v>
      </c>
      <c r="K84" s="1822">
        <f t="shared" si="0"/>
        <v>0</v>
      </c>
      <c r="L84" s="939"/>
    </row>
    <row r="85" spans="1:12">
      <c r="A85" s="958">
        <v>7</v>
      </c>
      <c r="B85" s="959" t="s">
        <v>581</v>
      </c>
      <c r="C85" s="960"/>
      <c r="D85" s="961"/>
      <c r="E85" s="1616"/>
      <c r="F85" s="952"/>
      <c r="G85" s="953"/>
      <c r="H85" s="953"/>
      <c r="I85" s="1823"/>
      <c r="J85" s="1824"/>
      <c r="K85" s="1824"/>
      <c r="L85" s="951"/>
    </row>
    <row r="86" spans="1:12">
      <c r="A86" s="942"/>
      <c r="B86" s="1842" t="s">
        <v>1887</v>
      </c>
      <c r="C86" s="964"/>
      <c r="D86" s="965"/>
      <c r="E86" s="1617" t="s">
        <v>379</v>
      </c>
      <c r="F86" s="1380">
        <v>0</v>
      </c>
      <c r="G86" s="941">
        <f>IF(F86&lt;=0,0,ราคาป้าย!E3)</f>
        <v>0</v>
      </c>
      <c r="H86" s="941">
        <f t="shared" ref="H86:H113" si="29">IF(F86&lt;=0,0,ROUND(F86*G86,2))</f>
        <v>0</v>
      </c>
      <c r="I86" s="1821">
        <f>IF(F86&lt;=0,0,'ปร.5 road'!$F$11)</f>
        <v>0</v>
      </c>
      <c r="J86" s="1822">
        <f t="shared" si="1"/>
        <v>0</v>
      </c>
      <c r="K86" s="1822">
        <f t="shared" ref="K86:K113" si="30">IF(F86&lt;=0,0,ROUND(F86*J86,2))</f>
        <v>0</v>
      </c>
      <c r="L86" s="942"/>
    </row>
    <row r="87" spans="1:12">
      <c r="A87" s="942"/>
      <c r="B87" s="944" t="s">
        <v>1891</v>
      </c>
      <c r="C87" s="945"/>
      <c r="D87" s="946"/>
      <c r="E87" s="1027" t="s">
        <v>379</v>
      </c>
      <c r="F87" s="1380">
        <v>0</v>
      </c>
      <c r="G87" s="941">
        <f>IF(F87&lt;=0,0,ราคาป้าย!E39)</f>
        <v>0</v>
      </c>
      <c r="H87" s="941">
        <f t="shared" ref="H87" si="31">IF(F87&lt;=0,0,ROUND(F87*G87,2))</f>
        <v>0</v>
      </c>
      <c r="I87" s="1821">
        <f>IF(F87&lt;=0,0,'ปร.5 road'!$F$11)</f>
        <v>0</v>
      </c>
      <c r="J87" s="1822">
        <f t="shared" ref="J87" si="32">INT((G87*I87)/0.01)*0.01</f>
        <v>0</v>
      </c>
      <c r="K87" s="1822">
        <f t="shared" ref="K87" si="33">IF(F87&lt;=0,0,ROUND(F87*J87,2))</f>
        <v>0</v>
      </c>
      <c r="L87" s="942"/>
    </row>
    <row r="88" spans="1:12">
      <c r="A88" s="942"/>
      <c r="B88" s="944" t="s">
        <v>1890</v>
      </c>
      <c r="C88" s="945"/>
      <c r="D88" s="946"/>
      <c r="E88" s="1027" t="s">
        <v>379</v>
      </c>
      <c r="F88" s="1380">
        <v>0</v>
      </c>
      <c r="G88" s="941">
        <f>IF(F88&lt;=0,0,ราคาป้าย!E4)</f>
        <v>0</v>
      </c>
      <c r="H88" s="941">
        <f t="shared" si="29"/>
        <v>0</v>
      </c>
      <c r="I88" s="1821">
        <f>IF(F88&lt;=0,0,'ปร.5 road'!$F$11)</f>
        <v>0</v>
      </c>
      <c r="J88" s="1822">
        <f t="shared" si="1"/>
        <v>0</v>
      </c>
      <c r="K88" s="1822">
        <f t="shared" si="30"/>
        <v>0</v>
      </c>
      <c r="L88" s="942"/>
    </row>
    <row r="89" spans="1:12">
      <c r="A89" s="942"/>
      <c r="B89" s="944" t="s">
        <v>1889</v>
      </c>
      <c r="C89" s="945"/>
      <c r="D89" s="946"/>
      <c r="E89" s="1027" t="s">
        <v>379</v>
      </c>
      <c r="F89" s="1380">
        <v>0</v>
      </c>
      <c r="G89" s="941">
        <f>IF(F89&lt;=0,0,ราคาป้าย!E5)</f>
        <v>0</v>
      </c>
      <c r="H89" s="941">
        <f t="shared" si="29"/>
        <v>0</v>
      </c>
      <c r="I89" s="1821">
        <f>IF(F89&lt;=0,0,'ปร.5 road'!$F$11)</f>
        <v>0</v>
      </c>
      <c r="J89" s="1822">
        <f t="shared" ref="J89:J113" si="34">INT((G89*I89)/0.01)*0.01</f>
        <v>0</v>
      </c>
      <c r="K89" s="1822">
        <f t="shared" si="30"/>
        <v>0</v>
      </c>
      <c r="L89" s="942"/>
    </row>
    <row r="90" spans="1:12">
      <c r="A90" s="942"/>
      <c r="B90" s="944" t="s">
        <v>1888</v>
      </c>
      <c r="C90" s="945"/>
      <c r="D90" s="946"/>
      <c r="E90" s="1027" t="s">
        <v>379</v>
      </c>
      <c r="F90" s="1380">
        <v>0</v>
      </c>
      <c r="G90" s="941">
        <f>IF(F90&lt;=0,0,ราคาป้าย!E6)</f>
        <v>0</v>
      </c>
      <c r="H90" s="941">
        <f t="shared" si="29"/>
        <v>0</v>
      </c>
      <c r="I90" s="1821">
        <f>IF(F90&lt;=0,0,'ปร.5 road'!$F$11)</f>
        <v>0</v>
      </c>
      <c r="J90" s="1822">
        <f t="shared" si="34"/>
        <v>0</v>
      </c>
      <c r="K90" s="1822">
        <f t="shared" si="30"/>
        <v>0</v>
      </c>
      <c r="L90" s="942"/>
    </row>
    <row r="91" spans="1:12">
      <c r="A91" s="942"/>
      <c r="B91" s="944" t="s">
        <v>1159</v>
      </c>
      <c r="C91" s="945"/>
      <c r="D91" s="946"/>
      <c r="E91" s="1027" t="s">
        <v>379</v>
      </c>
      <c r="F91" s="1380">
        <v>0</v>
      </c>
      <c r="G91" s="941">
        <f>IF(F91&lt;=0,0,ราคาป้าย!E7)</f>
        <v>0</v>
      </c>
      <c r="H91" s="941">
        <f t="shared" si="29"/>
        <v>0</v>
      </c>
      <c r="I91" s="1821">
        <f>IF(F91&lt;=0,0,'ปร.5 road'!$F$11)</f>
        <v>0</v>
      </c>
      <c r="J91" s="1822">
        <f t="shared" si="34"/>
        <v>0</v>
      </c>
      <c r="K91" s="1822">
        <f t="shared" si="30"/>
        <v>0</v>
      </c>
      <c r="L91" s="942"/>
    </row>
    <row r="92" spans="1:12">
      <c r="A92" s="942"/>
      <c r="B92" s="944" t="s">
        <v>1162</v>
      </c>
      <c r="C92" s="945"/>
      <c r="D92" s="946"/>
      <c r="E92" s="1027" t="s">
        <v>379</v>
      </c>
      <c r="F92" s="1380">
        <v>0</v>
      </c>
      <c r="G92" s="941">
        <f>IF(F92&lt;=0,0,ราคาป้าย!E8)</f>
        <v>0</v>
      </c>
      <c r="H92" s="941">
        <f t="shared" ref="H92" si="35">IF(F92&lt;=0,0,ROUND(F92*G92,2))</f>
        <v>0</v>
      </c>
      <c r="I92" s="1821">
        <f>IF(F92&lt;=0,0,'ปร.5 road'!$F$11)</f>
        <v>0</v>
      </c>
      <c r="J92" s="1822">
        <f t="shared" ref="J92" si="36">INT((G92*I92)/0.01)*0.01</f>
        <v>0</v>
      </c>
      <c r="K92" s="1822">
        <f t="shared" ref="K92" si="37">IF(F92&lt;=0,0,ROUND(F92*J92,2))</f>
        <v>0</v>
      </c>
      <c r="L92" s="942"/>
    </row>
    <row r="93" spans="1:12">
      <c r="A93" s="974"/>
      <c r="B93" s="977" t="s">
        <v>1161</v>
      </c>
      <c r="C93" s="975"/>
      <c r="D93" s="976"/>
      <c r="E93" s="1618" t="s">
        <v>379</v>
      </c>
      <c r="F93" s="1394">
        <v>0</v>
      </c>
      <c r="G93" s="972">
        <f>IF(F93&lt;=0,0,ราคาป้าย!E9)</f>
        <v>0</v>
      </c>
      <c r="H93" s="972">
        <f t="shared" si="29"/>
        <v>0</v>
      </c>
      <c r="I93" s="1825">
        <f>IF(F93&lt;=0,0,'ปร.5 road'!$F$11)</f>
        <v>0</v>
      </c>
      <c r="J93" s="1826">
        <f t="shared" si="34"/>
        <v>0</v>
      </c>
      <c r="K93" s="1826">
        <f t="shared" si="30"/>
        <v>0</v>
      </c>
      <c r="L93" s="974"/>
    </row>
    <row r="94" spans="1:12">
      <c r="A94" s="974"/>
      <c r="B94" s="977" t="s">
        <v>989</v>
      </c>
      <c r="C94" s="975"/>
      <c r="D94" s="976"/>
      <c r="E94" s="1618" t="s">
        <v>379</v>
      </c>
      <c r="F94" s="1394">
        <v>0</v>
      </c>
      <c r="G94" s="972">
        <f>IF(F94&lt;=0,0,ราคาป้าย!E10)</f>
        <v>0</v>
      </c>
      <c r="H94" s="972">
        <f t="shared" si="29"/>
        <v>0</v>
      </c>
      <c r="I94" s="1825">
        <f>IF(F94&lt;=0,0,'ปร.5 road'!$F$11)</f>
        <v>0</v>
      </c>
      <c r="J94" s="1826">
        <f t="shared" si="34"/>
        <v>0</v>
      </c>
      <c r="K94" s="1826">
        <f t="shared" si="30"/>
        <v>0</v>
      </c>
      <c r="L94" s="974"/>
    </row>
    <row r="95" spans="1:12">
      <c r="A95" s="942"/>
      <c r="B95" s="944" t="s">
        <v>1165</v>
      </c>
      <c r="C95" s="945"/>
      <c r="D95" s="946"/>
      <c r="E95" s="1027" t="s">
        <v>379</v>
      </c>
      <c r="F95" s="1380">
        <v>0</v>
      </c>
      <c r="G95" s="941">
        <f>IF(F95&lt;=0,0,ราคาป้าย!E11)</f>
        <v>0</v>
      </c>
      <c r="H95" s="941">
        <f t="shared" ref="H95" si="38">IF(F95&lt;=0,0,ROUND(F95*G95,2))</f>
        <v>0</v>
      </c>
      <c r="I95" s="1821">
        <f>IF(F95&lt;=0,0,'ปร.5 road'!$F$11)</f>
        <v>0</v>
      </c>
      <c r="J95" s="1822">
        <f t="shared" ref="J95" si="39">INT((G95*I95)/0.01)*0.01</f>
        <v>0</v>
      </c>
      <c r="K95" s="1822">
        <f t="shared" ref="K95" si="40">IF(F95&lt;=0,0,ROUND(F95*J95,2))</f>
        <v>0</v>
      </c>
      <c r="L95" s="942"/>
    </row>
    <row r="96" spans="1:12">
      <c r="A96" s="974"/>
      <c r="B96" s="977" t="s">
        <v>1886</v>
      </c>
      <c r="C96" s="975"/>
      <c r="D96" s="976"/>
      <c r="E96" s="1618" t="s">
        <v>379</v>
      </c>
      <c r="F96" s="1394">
        <v>0</v>
      </c>
      <c r="G96" s="972">
        <f>IF(F96&lt;=0,0,ราคาป้าย!E12)</f>
        <v>0</v>
      </c>
      <c r="H96" s="972">
        <f t="shared" si="29"/>
        <v>0</v>
      </c>
      <c r="I96" s="1825">
        <f>IF(F96&lt;=0,0,'ปร.5 road'!$F$11)</f>
        <v>0</v>
      </c>
      <c r="J96" s="1826">
        <f t="shared" si="34"/>
        <v>0</v>
      </c>
      <c r="K96" s="1826">
        <f t="shared" si="30"/>
        <v>0</v>
      </c>
      <c r="L96" s="974"/>
    </row>
    <row r="97" spans="1:12">
      <c r="A97" s="951"/>
      <c r="B97" s="967" t="s">
        <v>1414</v>
      </c>
      <c r="C97" s="968"/>
      <c r="D97" s="969"/>
      <c r="E97" s="1615" t="s">
        <v>379</v>
      </c>
      <c r="F97" s="1386">
        <v>0</v>
      </c>
      <c r="G97" s="953">
        <f>IF(F97&lt;=0,0,ราคาป้าย!E13)</f>
        <v>0</v>
      </c>
      <c r="H97" s="953">
        <f>IF(F97&lt;=0,0,ROUND(F97*G97,2))</f>
        <v>0</v>
      </c>
      <c r="I97" s="1823">
        <f>IF(F97&lt;=0,0,'ปร.5 road'!$F$11)</f>
        <v>0</v>
      </c>
      <c r="J97" s="1824">
        <f>INT((G97*I97)/0.01)*0.01</f>
        <v>0</v>
      </c>
      <c r="K97" s="1824">
        <f>IF(F97&lt;=0,0,ROUND(F97*J97,2))</f>
        <v>0</v>
      </c>
      <c r="L97" s="951"/>
    </row>
    <row r="98" spans="1:12">
      <c r="A98" s="942"/>
      <c r="B98" s="944" t="s">
        <v>846</v>
      </c>
      <c r="C98" s="945"/>
      <c r="D98" s="946"/>
      <c r="E98" s="1027" t="s">
        <v>379</v>
      </c>
      <c r="F98" s="1380">
        <v>0</v>
      </c>
      <c r="G98" s="941">
        <f>IF(F98&lt;=0,0,ราคาป้าย!E14)</f>
        <v>0</v>
      </c>
      <c r="H98" s="941">
        <f t="shared" si="29"/>
        <v>0</v>
      </c>
      <c r="I98" s="1821">
        <f>IF(F98&lt;=0,0,'ปร.5 road'!$F$11)</f>
        <v>0</v>
      </c>
      <c r="J98" s="1822">
        <f t="shared" si="34"/>
        <v>0</v>
      </c>
      <c r="K98" s="1822">
        <f t="shared" si="30"/>
        <v>0</v>
      </c>
      <c r="L98" s="942"/>
    </row>
    <row r="99" spans="1:12">
      <c r="A99" s="951"/>
      <c r="B99" s="967" t="s">
        <v>1167</v>
      </c>
      <c r="C99" s="968"/>
      <c r="D99" s="969"/>
      <c r="E99" s="1615" t="s">
        <v>379</v>
      </c>
      <c r="F99" s="1386">
        <v>0</v>
      </c>
      <c r="G99" s="953">
        <f>IF(F99&lt;=0,0,ราคาป้าย!E15)</f>
        <v>0</v>
      </c>
      <c r="H99" s="953">
        <f t="shared" si="29"/>
        <v>0</v>
      </c>
      <c r="I99" s="1823">
        <f>IF(F99&lt;=0,0,'ปร.5 road'!$F$11)</f>
        <v>0</v>
      </c>
      <c r="J99" s="1824">
        <f t="shared" si="34"/>
        <v>0</v>
      </c>
      <c r="K99" s="1824">
        <f t="shared" si="30"/>
        <v>0</v>
      </c>
      <c r="L99" s="951"/>
    </row>
    <row r="100" spans="1:12">
      <c r="A100" s="942"/>
      <c r="B100" s="944" t="s">
        <v>847</v>
      </c>
      <c r="C100" s="945"/>
      <c r="D100" s="946"/>
      <c r="E100" s="1027" t="s">
        <v>379</v>
      </c>
      <c r="F100" s="1380">
        <v>0</v>
      </c>
      <c r="G100" s="941">
        <f>IF(F100&lt;=0,0,ราคาป้าย!E16)</f>
        <v>0</v>
      </c>
      <c r="H100" s="941">
        <f t="shared" si="29"/>
        <v>0</v>
      </c>
      <c r="I100" s="1821">
        <f>IF(F100&lt;=0,0,'ปร.5 road'!$F$11)</f>
        <v>0</v>
      </c>
      <c r="J100" s="1822">
        <f t="shared" si="34"/>
        <v>0</v>
      </c>
      <c r="K100" s="1822">
        <f t="shared" si="30"/>
        <v>0</v>
      </c>
      <c r="L100" s="942"/>
    </row>
    <row r="101" spans="1:12">
      <c r="A101" s="942"/>
      <c r="B101" s="944" t="s">
        <v>1169</v>
      </c>
      <c r="C101" s="945"/>
      <c r="D101" s="946"/>
      <c r="E101" s="1027" t="s">
        <v>379</v>
      </c>
      <c r="F101" s="1380">
        <v>0</v>
      </c>
      <c r="G101" s="941">
        <f>IF(F101&lt;=0,0,ราคาป้าย!E17)</f>
        <v>0</v>
      </c>
      <c r="H101" s="941">
        <f t="shared" si="29"/>
        <v>0</v>
      </c>
      <c r="I101" s="1821">
        <f>IF(F101&lt;=0,0,'ปร.5 road'!$F$11)</f>
        <v>0</v>
      </c>
      <c r="J101" s="1822">
        <f t="shared" si="34"/>
        <v>0</v>
      </c>
      <c r="K101" s="1822">
        <f t="shared" si="30"/>
        <v>0</v>
      </c>
      <c r="L101" s="942"/>
    </row>
    <row r="102" spans="1:12">
      <c r="A102" s="942"/>
      <c r="B102" s="944" t="s">
        <v>1170</v>
      </c>
      <c r="C102" s="945"/>
      <c r="D102" s="946"/>
      <c r="E102" s="1027" t="s">
        <v>379</v>
      </c>
      <c r="F102" s="1380">
        <v>0</v>
      </c>
      <c r="G102" s="941">
        <f>IF(F102&lt;=0,0,ราคาป้าย!E18)</f>
        <v>0</v>
      </c>
      <c r="H102" s="941">
        <f t="shared" si="29"/>
        <v>0</v>
      </c>
      <c r="I102" s="1821">
        <f>IF(F102&lt;=0,0,'ปร.5 road'!$F$11)</f>
        <v>0</v>
      </c>
      <c r="J102" s="1822">
        <f t="shared" si="34"/>
        <v>0</v>
      </c>
      <c r="K102" s="1822">
        <f t="shared" si="30"/>
        <v>0</v>
      </c>
      <c r="L102" s="942"/>
    </row>
    <row r="103" spans="1:12">
      <c r="A103" s="942"/>
      <c r="B103" s="944" t="s">
        <v>848</v>
      </c>
      <c r="C103" s="945"/>
      <c r="D103" s="946"/>
      <c r="E103" s="1027" t="s">
        <v>379</v>
      </c>
      <c r="F103" s="1380">
        <v>0</v>
      </c>
      <c r="G103" s="941">
        <f>IF(F103&lt;=0,0,ราคาป้าย!E19)</f>
        <v>0</v>
      </c>
      <c r="H103" s="941">
        <f t="shared" si="29"/>
        <v>0</v>
      </c>
      <c r="I103" s="1821">
        <f>IF(F103&lt;=0,0,'ปร.5 road'!$F$11)</f>
        <v>0</v>
      </c>
      <c r="J103" s="1822">
        <f t="shared" si="34"/>
        <v>0</v>
      </c>
      <c r="K103" s="1822">
        <f t="shared" si="30"/>
        <v>0</v>
      </c>
      <c r="L103" s="942"/>
    </row>
    <row r="104" spans="1:12">
      <c r="A104" s="942"/>
      <c r="B104" s="944" t="s">
        <v>1154</v>
      </c>
      <c r="C104" s="945"/>
      <c r="D104" s="946"/>
      <c r="E104" s="1027" t="s">
        <v>379</v>
      </c>
      <c r="F104" s="1380">
        <v>0</v>
      </c>
      <c r="G104" s="941">
        <f>IF(F104&lt;=0,0,ราคาป้าย!E20)</f>
        <v>0</v>
      </c>
      <c r="H104" s="941">
        <f t="shared" ref="H104" si="41">IF(F104&lt;=0,0,ROUND(F104*G104,2))</f>
        <v>0</v>
      </c>
      <c r="I104" s="1821">
        <f>IF(F104&lt;=0,0,'ปร.5 road'!$F$11)</f>
        <v>0</v>
      </c>
      <c r="J104" s="1822">
        <f t="shared" ref="J104" si="42">INT((G104*I104)/0.01)*0.01</f>
        <v>0</v>
      </c>
      <c r="K104" s="1822">
        <f t="shared" ref="K104" si="43">IF(F104&lt;=0,0,ROUND(F104*J104,2))</f>
        <v>0</v>
      </c>
      <c r="L104" s="942"/>
    </row>
    <row r="105" spans="1:12">
      <c r="A105" s="942"/>
      <c r="B105" s="944" t="s">
        <v>1218</v>
      </c>
      <c r="C105" s="945"/>
      <c r="D105" s="946"/>
      <c r="E105" s="1027" t="s">
        <v>379</v>
      </c>
      <c r="F105" s="1380">
        <v>0</v>
      </c>
      <c r="G105" s="941">
        <f>IF(F105&lt;=0,0,ราคาป้าย!E21)</f>
        <v>0</v>
      </c>
      <c r="H105" s="941">
        <f t="shared" ref="H105" si="44">IF(F105&lt;=0,0,ROUND(F105*G105,2))</f>
        <v>0</v>
      </c>
      <c r="I105" s="1821">
        <f>IF(F105&lt;=0,0,'ปร.5 road'!$F$11)</f>
        <v>0</v>
      </c>
      <c r="J105" s="1822">
        <f t="shared" ref="J105" si="45">INT((G105*I105)/0.01)*0.01</f>
        <v>0</v>
      </c>
      <c r="K105" s="1822">
        <f t="shared" ref="K105" si="46">IF(F105&lt;=0,0,ROUND(F105*J105,2))</f>
        <v>0</v>
      </c>
      <c r="L105" s="942"/>
    </row>
    <row r="106" spans="1:12">
      <c r="A106" s="942"/>
      <c r="B106" s="944" t="s">
        <v>853</v>
      </c>
      <c r="C106" s="945"/>
      <c r="D106" s="946"/>
      <c r="E106" s="1027" t="s">
        <v>379</v>
      </c>
      <c r="F106" s="1380">
        <v>0</v>
      </c>
      <c r="G106" s="941">
        <f>IF(F106&lt;=0,0,ราคาป้าย!E22)</f>
        <v>0</v>
      </c>
      <c r="H106" s="941">
        <f t="shared" si="29"/>
        <v>0</v>
      </c>
      <c r="I106" s="1821">
        <f>IF(F106&lt;=0,0,'ปร.5 road'!$F$11)</f>
        <v>0</v>
      </c>
      <c r="J106" s="1822">
        <f t="shared" si="34"/>
        <v>0</v>
      </c>
      <c r="K106" s="1822">
        <f t="shared" si="30"/>
        <v>0</v>
      </c>
      <c r="L106" s="942"/>
    </row>
    <row r="107" spans="1:12">
      <c r="A107" s="942"/>
      <c r="B107" s="944" t="s">
        <v>854</v>
      </c>
      <c r="C107" s="945"/>
      <c r="D107" s="946"/>
      <c r="E107" s="1027" t="s">
        <v>379</v>
      </c>
      <c r="F107" s="1380">
        <v>0</v>
      </c>
      <c r="G107" s="941">
        <f>IF(F107&lt;=0,0,ราคาป้าย!E23)</f>
        <v>0</v>
      </c>
      <c r="H107" s="941">
        <f t="shared" si="29"/>
        <v>0</v>
      </c>
      <c r="I107" s="1821">
        <f>IF(F107&lt;=0,0,'ปร.5 road'!$F$11)</f>
        <v>0</v>
      </c>
      <c r="J107" s="1822">
        <f t="shared" si="34"/>
        <v>0</v>
      </c>
      <c r="K107" s="1822">
        <f t="shared" si="30"/>
        <v>0</v>
      </c>
      <c r="L107" s="970"/>
    </row>
    <row r="108" spans="1:12">
      <c r="A108" s="942"/>
      <c r="B108" s="944" t="s">
        <v>127</v>
      </c>
      <c r="C108" s="945"/>
      <c r="D108" s="946"/>
      <c r="E108" s="1027" t="s">
        <v>379</v>
      </c>
      <c r="F108" s="1380">
        <v>0</v>
      </c>
      <c r="G108" s="941">
        <f>IF(F108&lt;=0,0,ราคาป้าย!E24)</f>
        <v>0</v>
      </c>
      <c r="H108" s="941">
        <f t="shared" si="29"/>
        <v>0</v>
      </c>
      <c r="I108" s="1821">
        <f>IF(F108&lt;=0,0,'ปร.5 road'!$F$11)</f>
        <v>0</v>
      </c>
      <c r="J108" s="1822">
        <f t="shared" si="34"/>
        <v>0</v>
      </c>
      <c r="K108" s="1822">
        <f t="shared" si="30"/>
        <v>0</v>
      </c>
      <c r="L108" s="942"/>
    </row>
    <row r="109" spans="1:12">
      <c r="A109" s="942"/>
      <c r="B109" s="944" t="s">
        <v>126</v>
      </c>
      <c r="C109" s="945"/>
      <c r="D109" s="946"/>
      <c r="E109" s="1027" t="s">
        <v>379</v>
      </c>
      <c r="F109" s="1380">
        <v>0</v>
      </c>
      <c r="G109" s="941">
        <f>IF(F109&lt;=0,0,ราคาป้าย!E25)</f>
        <v>0</v>
      </c>
      <c r="H109" s="941">
        <f t="shared" si="29"/>
        <v>0</v>
      </c>
      <c r="I109" s="1821">
        <f>IF(F109&lt;=0,0,'ปร.5 road'!$F$11)</f>
        <v>0</v>
      </c>
      <c r="J109" s="1822">
        <f t="shared" si="34"/>
        <v>0</v>
      </c>
      <c r="K109" s="1822">
        <f t="shared" si="30"/>
        <v>0</v>
      </c>
      <c r="L109" s="942"/>
    </row>
    <row r="110" spans="1:12">
      <c r="A110" s="942"/>
      <c r="B110" s="944" t="s">
        <v>855</v>
      </c>
      <c r="C110" s="945"/>
      <c r="D110" s="946"/>
      <c r="E110" s="1027" t="s">
        <v>379</v>
      </c>
      <c r="F110" s="1380">
        <v>0</v>
      </c>
      <c r="G110" s="941">
        <f>IF(F110&lt;=0,0,ราคาป้าย!E26)</f>
        <v>0</v>
      </c>
      <c r="H110" s="941">
        <f t="shared" si="29"/>
        <v>0</v>
      </c>
      <c r="I110" s="1821">
        <f>IF(F110&lt;=0,0,'ปร.5 road'!$F$11)</f>
        <v>0</v>
      </c>
      <c r="J110" s="1822">
        <f t="shared" si="34"/>
        <v>0</v>
      </c>
      <c r="K110" s="1822">
        <f t="shared" si="30"/>
        <v>0</v>
      </c>
      <c r="L110" s="942"/>
    </row>
    <row r="111" spans="1:12">
      <c r="A111" s="942"/>
      <c r="B111" s="944" t="s">
        <v>1178</v>
      </c>
      <c r="C111" s="945"/>
      <c r="D111" s="946"/>
      <c r="E111" s="1027" t="s">
        <v>379</v>
      </c>
      <c r="F111" s="1380">
        <v>0</v>
      </c>
      <c r="G111" s="941">
        <f>IF(F111&lt;=0,0,ราคาป้าย!E27)</f>
        <v>0</v>
      </c>
      <c r="H111" s="941">
        <f t="shared" ref="H111" si="47">IF(F111&lt;=0,0,ROUND(F111*G111,2))</f>
        <v>0</v>
      </c>
      <c r="I111" s="1821">
        <f>IF(F111&lt;=0,0,'ปร.5 road'!$F$11)</f>
        <v>0</v>
      </c>
      <c r="J111" s="1822">
        <f t="shared" ref="J111" si="48">INT((G111*I111)/0.01)*0.01</f>
        <v>0</v>
      </c>
      <c r="K111" s="1822">
        <f t="shared" ref="K111" si="49">IF(F111&lt;=0,0,ROUND(F111*J111,2))</f>
        <v>0</v>
      </c>
      <c r="L111" s="942"/>
    </row>
    <row r="112" spans="1:12">
      <c r="A112" s="942"/>
      <c r="B112" s="944" t="s">
        <v>856</v>
      </c>
      <c r="C112" s="945"/>
      <c r="D112" s="946"/>
      <c r="E112" s="1027" t="s">
        <v>379</v>
      </c>
      <c r="F112" s="1380">
        <v>0</v>
      </c>
      <c r="G112" s="941">
        <f>IF(F112&lt;=0,0,ราคาป้าย!E29)</f>
        <v>0</v>
      </c>
      <c r="H112" s="941">
        <f t="shared" si="29"/>
        <v>0</v>
      </c>
      <c r="I112" s="1821">
        <f>IF(F112&lt;=0,0,'ปร.5 road'!$F$11)</f>
        <v>0</v>
      </c>
      <c r="J112" s="1822">
        <f t="shared" si="34"/>
        <v>0</v>
      </c>
      <c r="K112" s="1822">
        <f t="shared" si="30"/>
        <v>0</v>
      </c>
      <c r="L112" s="942"/>
    </row>
    <row r="113" spans="1:13">
      <c r="A113" s="942"/>
      <c r="B113" s="944" t="s">
        <v>857</v>
      </c>
      <c r="C113" s="945"/>
      <c r="D113" s="946"/>
      <c r="E113" s="1027" t="s">
        <v>379</v>
      </c>
      <c r="F113" s="1380">
        <v>0</v>
      </c>
      <c r="G113" s="941">
        <f>IF(F113&lt;=0,0,ราคาป้าย!E30)</f>
        <v>0</v>
      </c>
      <c r="H113" s="941">
        <f t="shared" si="29"/>
        <v>0</v>
      </c>
      <c r="I113" s="1821">
        <f>IF(F113&lt;=0,0,'ปร.5 road'!$F$11)</f>
        <v>0</v>
      </c>
      <c r="J113" s="1822">
        <f t="shared" si="34"/>
        <v>0</v>
      </c>
      <c r="K113" s="1822">
        <f t="shared" si="30"/>
        <v>0</v>
      </c>
      <c r="L113" s="942"/>
    </row>
    <row r="114" spans="1:13">
      <c r="A114" s="942"/>
      <c r="B114" s="944" t="s">
        <v>1172</v>
      </c>
      <c r="C114" s="945"/>
      <c r="D114" s="946"/>
      <c r="E114" s="1027" t="s">
        <v>379</v>
      </c>
      <c r="F114" s="1380">
        <v>0</v>
      </c>
      <c r="G114" s="941">
        <f>IF(F114&lt;=0,0,ราคาป้าย!E31)</f>
        <v>0</v>
      </c>
      <c r="H114" s="941">
        <f>IF(F114&lt;=0,0,ROUND(F114*G114,2))</f>
        <v>0</v>
      </c>
      <c r="I114" s="1821">
        <f>IF(F114&lt;=0,0,'ปร.5 road'!$F$11)</f>
        <v>0</v>
      </c>
      <c r="J114" s="1822">
        <f>INT((G114*I114)/0.01)*0.01</f>
        <v>0</v>
      </c>
      <c r="K114" s="1822">
        <f>IF(F114&lt;=0,0,ROUND(F114*J114,2))</f>
        <v>0</v>
      </c>
      <c r="L114" s="942"/>
    </row>
    <row r="115" spans="1:13">
      <c r="A115" s="971">
        <v>8</v>
      </c>
      <c r="B115" s="957" t="s">
        <v>1260</v>
      </c>
      <c r="C115" s="945"/>
      <c r="D115" s="946"/>
      <c r="E115" s="1027"/>
      <c r="F115" s="1380"/>
      <c r="G115" s="941"/>
      <c r="H115" s="941"/>
      <c r="I115" s="1821"/>
      <c r="J115" s="1822"/>
      <c r="K115" s="1822"/>
      <c r="L115" s="942"/>
    </row>
    <row r="116" spans="1:13">
      <c r="A116" s="971"/>
      <c r="B116" s="944" t="s">
        <v>1892</v>
      </c>
      <c r="C116" s="945"/>
      <c r="D116" s="946"/>
      <c r="E116" s="1027" t="s">
        <v>168</v>
      </c>
      <c r="F116" s="1380">
        <v>0</v>
      </c>
      <c r="G116" s="941">
        <f>IF(F116&lt;=0,0,ค่างานต้นทุน!I547)</f>
        <v>0</v>
      </c>
      <c r="H116" s="941">
        <f t="shared" ref="H116:H117" si="50">IF(F116&lt;=0,0,ROUND(F116*G116,2))</f>
        <v>0</v>
      </c>
      <c r="I116" s="1821">
        <f>IF(F116&lt;=0,0,'ปร.5 road'!$F$11)</f>
        <v>0</v>
      </c>
      <c r="J116" s="1822">
        <f t="shared" ref="J116:J117" si="51">INT((G116*I116)/0.01)*0.01</f>
        <v>0</v>
      </c>
      <c r="K116" s="1822">
        <f t="shared" ref="K116:K117" si="52">IF(F116&lt;=0,0,ROUND(F116*J116,2))</f>
        <v>0</v>
      </c>
      <c r="L116" s="942"/>
    </row>
    <row r="117" spans="1:13">
      <c r="A117" s="971"/>
      <c r="B117" s="944" t="s">
        <v>1893</v>
      </c>
      <c r="C117" s="945"/>
      <c r="D117" s="946"/>
      <c r="E117" s="1027" t="s">
        <v>1607</v>
      </c>
      <c r="F117" s="1380">
        <v>0</v>
      </c>
      <c r="G117" s="941">
        <f>IF(F117&lt;=0,0,ค่างานต้นทุน!I550)</f>
        <v>0</v>
      </c>
      <c r="H117" s="941">
        <f t="shared" si="50"/>
        <v>0</v>
      </c>
      <c r="I117" s="1821">
        <v>1.07</v>
      </c>
      <c r="J117" s="1822">
        <f t="shared" si="51"/>
        <v>0</v>
      </c>
      <c r="K117" s="1822">
        <f t="shared" si="52"/>
        <v>0</v>
      </c>
      <c r="L117" s="979"/>
    </row>
    <row r="118" spans="1:13">
      <c r="A118" s="971">
        <v>9</v>
      </c>
      <c r="B118" s="957" t="s">
        <v>1373</v>
      </c>
      <c r="C118" s="975"/>
      <c r="D118" s="976"/>
      <c r="E118" s="1618"/>
      <c r="F118" s="1002"/>
      <c r="G118" s="972"/>
      <c r="H118" s="972"/>
      <c r="I118" s="1825"/>
      <c r="J118" s="1826"/>
      <c r="K118" s="1826"/>
      <c r="L118" s="974"/>
    </row>
    <row r="119" spans="1:13">
      <c r="A119" s="974"/>
      <c r="B119" s="977" t="s">
        <v>1560</v>
      </c>
      <c r="C119" s="975"/>
      <c r="D119" s="976"/>
      <c r="E119" s="1618" t="s">
        <v>382</v>
      </c>
      <c r="F119" s="1394">
        <v>0</v>
      </c>
      <c r="G119" s="1395">
        <v>0</v>
      </c>
      <c r="H119" s="941">
        <f t="shared" ref="H119" si="53">IF(F119&lt;=0,0,ROUND(F119*G119,2))</f>
        <v>0</v>
      </c>
      <c r="I119" s="1821">
        <f>IF(F119&lt;=0,0,'ปร.5 road'!$F$11)</f>
        <v>0</v>
      </c>
      <c r="J119" s="1822">
        <f t="shared" ref="J119" si="54">INT((G119*I119)/0.01)*0.01</f>
        <v>0</v>
      </c>
      <c r="K119" s="1822">
        <f t="shared" ref="K119" si="55">IF(F119&lt;=0,0,ROUND(F119*J119,2))</f>
        <v>0</v>
      </c>
      <c r="L119" s="974"/>
    </row>
    <row r="120" spans="1:13">
      <c r="A120" s="974"/>
      <c r="B120" s="977" t="s">
        <v>1560</v>
      </c>
      <c r="C120" s="975"/>
      <c r="D120" s="976"/>
      <c r="E120" s="1618" t="s">
        <v>1371</v>
      </c>
      <c r="F120" s="1394">
        <v>0</v>
      </c>
      <c r="G120" s="1395">
        <v>0</v>
      </c>
      <c r="H120" s="941">
        <f t="shared" ref="H120" si="56">IF(F120&lt;=0,0,ROUND(F120*G120,2))</f>
        <v>0</v>
      </c>
      <c r="I120" s="1821">
        <f>IF(F120&lt;=0,0,'ปร.5 road'!$F$11)</f>
        <v>0</v>
      </c>
      <c r="J120" s="1822">
        <f t="shared" ref="J120" si="57">INT((G120*I120)/0.01)*0.01</f>
        <v>0</v>
      </c>
      <c r="K120" s="1822">
        <f t="shared" ref="K120" si="58">IF(F120&lt;=0,0,ROUND(F120*J120,2))</f>
        <v>0</v>
      </c>
      <c r="L120" s="974"/>
    </row>
    <row r="121" spans="1:13">
      <c r="A121" s="1396"/>
      <c r="B121" s="1397" t="s">
        <v>189</v>
      </c>
      <c r="C121" s="1397"/>
      <c r="D121" s="1397"/>
      <c r="E121" s="1619"/>
      <c r="F121" s="1398"/>
      <c r="G121" s="1399"/>
      <c r="H121" s="1820">
        <f>SUM(H6:H120)</f>
        <v>1144366.99</v>
      </c>
      <c r="I121" s="1827"/>
      <c r="J121" s="1827"/>
      <c r="K121" s="1828">
        <f>SUM(K6:K120)</f>
        <v>1557089.32</v>
      </c>
      <c r="L121" s="1400"/>
      <c r="M121" s="1377"/>
    </row>
    <row r="122" spans="1:13">
      <c r="A122" s="1775"/>
      <c r="B122" s="1776"/>
      <c r="C122" s="1776"/>
      <c r="D122" s="1776"/>
      <c r="E122" s="1777"/>
      <c r="F122" s="1778"/>
      <c r="G122" s="1779"/>
      <c r="H122" s="1779"/>
      <c r="I122" s="1829"/>
      <c r="J122" s="1829"/>
      <c r="K122" s="1829"/>
      <c r="L122" s="1780"/>
      <c r="M122" s="1377"/>
    </row>
    <row r="123" spans="1:13">
      <c r="A123" s="936"/>
      <c r="B123" s="1401" t="s">
        <v>1093</v>
      </c>
      <c r="C123" s="1402"/>
      <c r="D123" s="1403"/>
      <c r="E123" s="1614"/>
      <c r="F123" s="937"/>
      <c r="G123" s="938"/>
      <c r="H123" s="938"/>
      <c r="I123" s="1830"/>
      <c r="J123" s="1830"/>
      <c r="K123" s="1830"/>
      <c r="L123" s="1404"/>
    </row>
    <row r="124" spans="1:13">
      <c r="A124" s="971">
        <v>1</v>
      </c>
      <c r="B124" s="1843" t="s">
        <v>1577</v>
      </c>
      <c r="C124" s="944"/>
      <c r="D124" s="946"/>
      <c r="E124" s="1027" t="s">
        <v>382</v>
      </c>
      <c r="F124" s="1380">
        <v>0</v>
      </c>
      <c r="G124" s="941">
        <f>IF(F124&lt;=0,0,ราคาป้าย!E40)</f>
        <v>0</v>
      </c>
      <c r="H124" s="941">
        <f>IF(F124&lt;=0,0,ROUND(F124*G124,2))</f>
        <v>0</v>
      </c>
      <c r="I124" s="1821">
        <f>IF(F124&lt;=0,0,'ปร.5 road'!$F$12)</f>
        <v>0</v>
      </c>
      <c r="J124" s="1822">
        <f>INT((G124*I124)/0.01)*0.01</f>
        <v>0</v>
      </c>
      <c r="K124" s="1822">
        <f>IF(F124&lt;=0,0,ROUND(F124*J124,2))</f>
        <v>0</v>
      </c>
      <c r="L124" s="939"/>
    </row>
    <row r="125" spans="1:13">
      <c r="A125" s="971">
        <v>2</v>
      </c>
      <c r="B125" s="1843" t="s">
        <v>1844</v>
      </c>
      <c r="C125" s="944"/>
      <c r="D125" s="946"/>
      <c r="E125" s="1027" t="s">
        <v>382</v>
      </c>
      <c r="F125" s="1380">
        <v>0</v>
      </c>
      <c r="G125" s="941">
        <f>IF(F125&lt;=0,0,ราคาป้าย!E41)</f>
        <v>0</v>
      </c>
      <c r="H125" s="941">
        <f>IF(F125&lt;=0,0,ROUND(F125*G125,2))</f>
        <v>0</v>
      </c>
      <c r="I125" s="1821">
        <f>IF(F125&lt;=0,0,'ปร.5 road'!$F$12)</f>
        <v>0</v>
      </c>
      <c r="J125" s="1822">
        <f>INT((G125*I125)/0.01)*0.01</f>
        <v>0</v>
      </c>
      <c r="K125" s="1822">
        <f>IF(F125&lt;=0,0,ROUND(F125*J125,2))</f>
        <v>0</v>
      </c>
      <c r="L125" s="939"/>
    </row>
    <row r="126" spans="1:13">
      <c r="A126" s="1405"/>
      <c r="E126" s="1620"/>
      <c r="F126" s="1406"/>
      <c r="G126" s="1407"/>
      <c r="H126" s="1407"/>
      <c r="I126" s="1831"/>
      <c r="J126" s="1832"/>
      <c r="K126" s="1832"/>
      <c r="L126" s="1409"/>
    </row>
    <row r="127" spans="1:13">
      <c r="A127" s="1410"/>
      <c r="B127" s="1397" t="s">
        <v>1092</v>
      </c>
      <c r="C127" s="1397"/>
      <c r="D127" s="1397"/>
      <c r="E127" s="1621"/>
      <c r="F127" s="1398"/>
      <c r="G127" s="1399"/>
      <c r="H127" s="1399">
        <f>SUM(H123:H126)</f>
        <v>0</v>
      </c>
      <c r="I127" s="1827"/>
      <c r="J127" s="1827">
        <f>SUM(J123:J124)</f>
        <v>0</v>
      </c>
      <c r="K127" s="1827">
        <f>SUM(K123:K124)</f>
        <v>0</v>
      </c>
      <c r="L127" s="1410"/>
    </row>
    <row r="128" spans="1:13">
      <c r="A128" s="1781"/>
      <c r="B128" s="1782"/>
      <c r="C128" s="1782"/>
      <c r="D128" s="1782"/>
      <c r="E128" s="1783"/>
      <c r="F128" s="1784"/>
      <c r="G128" s="1785"/>
      <c r="H128" s="1785"/>
      <c r="I128" s="1833"/>
      <c r="J128" s="1833"/>
      <c r="K128" s="1833"/>
      <c r="L128" s="1781"/>
    </row>
    <row r="129" spans="1:15">
      <c r="A129" s="1016"/>
      <c r="B129" s="1017" t="s">
        <v>1845</v>
      </c>
      <c r="C129" s="1018"/>
      <c r="D129" s="1019"/>
      <c r="E129" s="1615"/>
      <c r="F129" s="952"/>
      <c r="G129" s="953"/>
      <c r="H129" s="953"/>
      <c r="I129" s="1824"/>
      <c r="J129" s="1824"/>
      <c r="K129" s="1824"/>
      <c r="L129" s="1020"/>
      <c r="N129" s="1412"/>
      <c r="O129" s="1412"/>
    </row>
    <row r="130" spans="1:15">
      <c r="A130" s="971">
        <v>1</v>
      </c>
      <c r="B130" s="1844" t="s">
        <v>1457</v>
      </c>
      <c r="C130" s="945"/>
      <c r="D130" s="946"/>
      <c r="E130" s="1027" t="s">
        <v>1371</v>
      </c>
      <c r="F130" s="1380">
        <v>0</v>
      </c>
      <c r="G130" s="941">
        <v>0</v>
      </c>
      <c r="H130" s="941">
        <f>IF(F130&lt;=0,0,ROUND(F130*G130,2))</f>
        <v>0</v>
      </c>
      <c r="I130" s="1821">
        <v>1.07</v>
      </c>
      <c r="J130" s="1822">
        <f>INT((G130*I130)/0.01)*0.01</f>
        <v>0</v>
      </c>
      <c r="K130" s="1822">
        <f>IF(F130&lt;=0,0,ROUND(F130*J130,2))</f>
        <v>0</v>
      </c>
      <c r="L130" s="970"/>
    </row>
    <row r="131" spans="1:15">
      <c r="A131" s="971">
        <v>2</v>
      </c>
      <c r="B131" s="957" t="s">
        <v>1269</v>
      </c>
      <c r="C131" s="945"/>
      <c r="D131" s="946"/>
      <c r="E131" s="1027" t="s">
        <v>1371</v>
      </c>
      <c r="F131" s="1380">
        <v>0</v>
      </c>
      <c r="G131" s="941">
        <v>0</v>
      </c>
      <c r="H131" s="941">
        <f t="shared" ref="H131" si="59">IF(F131&lt;=0,0,ROUND(F131*G131,2))</f>
        <v>0</v>
      </c>
      <c r="I131" s="1821">
        <v>1.07</v>
      </c>
      <c r="J131" s="1822">
        <f t="shared" ref="J131" si="60">INT((G131*I131)/0.01)*0.01</f>
        <v>0</v>
      </c>
      <c r="K131" s="1822">
        <f t="shared" ref="K131" si="61">IF(F131&lt;=0,0,ROUND(F131*J131,2))</f>
        <v>0</v>
      </c>
      <c r="L131" s="979"/>
    </row>
    <row r="132" spans="1:15">
      <c r="A132" s="942"/>
      <c r="B132" s="957" t="s">
        <v>1270</v>
      </c>
      <c r="C132" s="945"/>
      <c r="D132" s="946"/>
      <c r="E132" s="1027"/>
      <c r="F132" s="942"/>
      <c r="G132" s="941"/>
      <c r="H132" s="941"/>
      <c r="I132" s="1821"/>
      <c r="J132" s="1822"/>
      <c r="K132" s="1822"/>
      <c r="L132" s="979"/>
    </row>
    <row r="133" spans="1:15">
      <c r="A133" s="1396"/>
      <c r="B133" s="1397" t="s">
        <v>1374</v>
      </c>
      <c r="C133" s="1397"/>
      <c r="D133" s="1397"/>
      <c r="E133" s="1396"/>
      <c r="F133" s="1398"/>
      <c r="G133" s="1399"/>
      <c r="H133" s="1399">
        <f>SUM(H129:H132)</f>
        <v>0</v>
      </c>
      <c r="I133" s="1827"/>
      <c r="J133" s="1827"/>
      <c r="K133" s="1827">
        <f>SUM(K129:K132)</f>
        <v>0</v>
      </c>
      <c r="L133" s="1400"/>
    </row>
    <row r="134" spans="1:15" ht="18.75">
      <c r="A134" s="1413"/>
      <c r="B134" s="1414" t="s">
        <v>1095</v>
      </c>
      <c r="C134" s="1415"/>
      <c r="D134" s="1415"/>
      <c r="E134" s="1415"/>
      <c r="F134" s="1416"/>
      <c r="G134" s="1417"/>
      <c r="H134" s="1418">
        <f>SUM(H133,H127,H121)</f>
        <v>1144366.99</v>
      </c>
      <c r="I134" s="1417"/>
      <c r="J134" s="1419"/>
      <c r="K134" s="1834">
        <f>K121+K127+K133</f>
        <v>1557089.32</v>
      </c>
      <c r="L134" s="1420"/>
      <c r="N134" s="1421"/>
    </row>
    <row r="135" spans="1:15" ht="19.5" thickBot="1">
      <c r="A135" s="1836"/>
      <c r="B135" s="1837" t="s">
        <v>190</v>
      </c>
      <c r="C135" s="1838"/>
      <c r="D135" s="1838"/>
      <c r="E135" s="2248" t="str">
        <f>"("&amp;BAHTTEXT(K135)&amp;")"</f>
        <v>(หนึ่งล้านห้าแสนห้าหมื่นเจ็ดพันบาทถ้วน)</v>
      </c>
      <c r="F135" s="2248"/>
      <c r="G135" s="2248"/>
      <c r="H135" s="2248"/>
      <c r="I135" s="2248"/>
      <c r="J135" s="2249"/>
      <c r="K135" s="1835">
        <f>IF(K134&lt;10000000,ROUNDDOWN(K134,-3),ROUNDDOWN(K134,-3))</f>
        <v>1557000</v>
      </c>
      <c r="L135" s="1839"/>
    </row>
    <row r="136" spans="1:15" ht="19.5" thickTop="1">
      <c r="A136" s="930"/>
      <c r="B136" s="933"/>
      <c r="C136" s="930"/>
      <c r="D136" s="930"/>
      <c r="E136" s="935"/>
      <c r="F136" s="935"/>
      <c r="G136" s="1422"/>
      <c r="I136" s="935"/>
      <c r="J136" s="935"/>
      <c r="K136" s="1423"/>
      <c r="L136" s="930"/>
    </row>
    <row r="137" spans="1:15" ht="18.75">
      <c r="A137" s="930"/>
      <c r="B137" s="933"/>
      <c r="C137" s="930"/>
      <c r="D137" s="930"/>
      <c r="E137" s="935"/>
      <c r="F137" s="935"/>
      <c r="G137" s="1422"/>
      <c r="I137" s="935"/>
      <c r="J137" s="935"/>
      <c r="K137" s="1423"/>
      <c r="L137" s="930"/>
    </row>
    <row r="138" spans="1:15" ht="18.75">
      <c r="A138" s="930"/>
      <c r="B138" s="933"/>
      <c r="C138" s="930"/>
      <c r="D138" s="930"/>
      <c r="E138" s="935"/>
      <c r="F138" s="935"/>
      <c r="G138" s="1422"/>
      <c r="H138" s="935"/>
      <c r="I138" s="935"/>
      <c r="J138" s="935"/>
      <c r="K138" s="1423"/>
      <c r="L138" s="930"/>
    </row>
    <row r="139" spans="1:15" ht="18.75">
      <c r="A139" s="930"/>
      <c r="B139" s="930"/>
      <c r="C139" s="930"/>
      <c r="D139" s="930"/>
      <c r="E139" s="1202"/>
      <c r="F139" s="2245" t="s">
        <v>1885</v>
      </c>
      <c r="G139" s="2245"/>
      <c r="H139" s="2244" t="s">
        <v>1875</v>
      </c>
      <c r="I139" s="2244"/>
      <c r="J139" s="2244"/>
      <c r="K139" s="2175" t="str">
        <f>กรอกข้อมูล!D20</f>
        <v>ผู้อำนวยการกองช่าง</v>
      </c>
      <c r="L139" s="1309"/>
    </row>
    <row r="140" spans="1:15" ht="18.75">
      <c r="A140" s="930"/>
      <c r="B140" s="930"/>
      <c r="C140" s="930"/>
      <c r="D140" s="930"/>
      <c r="E140" s="930"/>
      <c r="F140" s="2174"/>
      <c r="G140" s="2176"/>
      <c r="H140" s="2244" t="str">
        <f>กรอกข้อมูล!B20</f>
        <v>นายวัชระ  คำแดง</v>
      </c>
      <c r="I140" s="2244"/>
      <c r="J140" s="2244"/>
      <c r="K140" s="2177"/>
      <c r="L140" s="1309"/>
    </row>
    <row r="141" spans="1:15" ht="18.75">
      <c r="A141" s="930"/>
      <c r="B141" s="930"/>
      <c r="C141" s="930"/>
      <c r="D141" s="930"/>
      <c r="E141" s="930"/>
      <c r="F141" s="1275"/>
      <c r="G141" s="1300"/>
      <c r="H141" s="1300"/>
      <c r="I141" s="1300"/>
      <c r="J141" s="1300"/>
      <c r="K141" s="1300"/>
      <c r="L141" s="930"/>
    </row>
    <row r="142" spans="1:15" ht="18.75">
      <c r="A142" s="930"/>
      <c r="B142" s="930"/>
      <c r="C142" s="930"/>
      <c r="D142" s="930"/>
      <c r="E142" s="930"/>
      <c r="F142" s="1275"/>
      <c r="G142" s="1300"/>
      <c r="H142" s="1300"/>
      <c r="I142" s="1300"/>
      <c r="J142" s="1300"/>
      <c r="K142" s="1300"/>
      <c r="L142" s="930"/>
    </row>
    <row r="144" spans="1:15" hidden="1">
      <c r="H144" s="947">
        <f>+SUM(H71:H121)</f>
        <v>1144366.99</v>
      </c>
    </row>
  </sheetData>
  <mergeCells count="8">
    <mergeCell ref="H140:J140"/>
    <mergeCell ref="H139:J139"/>
    <mergeCell ref="F139:G139"/>
    <mergeCell ref="A1:L1"/>
    <mergeCell ref="A3:B3"/>
    <mergeCell ref="A2:B2"/>
    <mergeCell ref="E135:J135"/>
    <mergeCell ref="C2:L2"/>
  </mergeCells>
  <phoneticPr fontId="31" type="noConversion"/>
  <dataValidations count="2">
    <dataValidation type="list" allowBlank="1" showInputMessage="1" showErrorMessage="1" sqref="L30" xr:uid="{00000000-0002-0000-0400-000000000000}">
      <formula1>"บนวัสดุผสม,      "</formula1>
    </dataValidation>
    <dataValidation type="list" allowBlank="1" showInputMessage="1" showErrorMessage="1" sqref="L29" xr:uid="{00000000-0002-0000-0400-000001000000}">
      <formula1>"บนหินคลุก,   "</formula1>
    </dataValidation>
  </dataValidations>
  <printOptions horizontalCentered="1"/>
  <pageMargins left="0.19685039370078741" right="0" top="0.78740157480314965" bottom="0.59055118110236227" header="0.19685039370078741" footer="0.19685039370078741"/>
  <pageSetup paperSize="9" scale="89" orientation="portrait" horizontalDpi="4294967293" r:id="rId1"/>
  <headerFooter alignWithMargins="0">
    <oddHeader>&amp;Rแบบ ปร.4 &amp;P/&amp;N</oddHeader>
  </headerFooter>
  <ignoredErrors>
    <ignoredError sqref="I8:K120 K121:K133 J124:J133 I124:I133 H124:H133 G124:G133 H107:H121 H86:H106 H51:H84 H29:H50 H8:H28 G8:G35 G36:G58 G60:G80 G81:G113 G114:G120 H140" unlockedFormula="1"/>
    <ignoredError sqref="B45:B47 B49:B51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K88"/>
  <sheetViews>
    <sheetView view="pageBreakPreview" zoomScale="99" zoomScaleSheetLayoutView="99" workbookViewId="0">
      <selection activeCell="G47" sqref="G47"/>
    </sheetView>
  </sheetViews>
  <sheetFormatPr defaultColWidth="11.1640625" defaultRowHeight="17.25"/>
  <cols>
    <col min="1" max="1" width="6.33203125" style="1118" customWidth="1"/>
    <col min="2" max="2" width="13" style="1118" customWidth="1"/>
    <col min="3" max="3" width="52.1640625" style="1118" customWidth="1"/>
    <col min="4" max="4" width="10.1640625" style="1118" customWidth="1"/>
    <col min="5" max="5" width="7.33203125" style="1174" customWidth="1"/>
    <col min="6" max="6" width="13.33203125" style="1175" customWidth="1"/>
    <col min="7" max="7" width="16.6640625" style="1175" customWidth="1"/>
    <col min="8" max="8" width="11.33203125" style="1118" customWidth="1"/>
    <col min="9" max="16384" width="11.1640625" style="1118"/>
  </cols>
  <sheetData>
    <row r="1" spans="1:8" ht="24" customHeight="1">
      <c r="A1" s="2255" t="s">
        <v>1548</v>
      </c>
      <c r="B1" s="2255"/>
      <c r="C1" s="2255"/>
      <c r="D1" s="2255"/>
      <c r="E1" s="2255"/>
      <c r="F1" s="2255"/>
      <c r="G1" s="2255"/>
      <c r="H1" s="2255"/>
    </row>
    <row r="2" spans="1:8" ht="24" customHeight="1">
      <c r="A2" s="1119" t="s">
        <v>1474</v>
      </c>
      <c r="B2" s="1120"/>
      <c r="C2" s="1121"/>
      <c r="D2" s="1121"/>
      <c r="E2" s="1122"/>
      <c r="F2" s="1123"/>
      <c r="G2" s="1124"/>
      <c r="H2" s="1124"/>
    </row>
    <row r="3" spans="1:8" ht="24" customHeight="1">
      <c r="A3" s="1125" t="s">
        <v>1475</v>
      </c>
      <c r="B3" s="1126"/>
      <c r="C3" s="1127"/>
      <c r="D3" s="1127"/>
      <c r="E3" s="2256" t="s">
        <v>1424</v>
      </c>
      <c r="F3" s="2256"/>
      <c r="G3" s="1128" t="s">
        <v>1454</v>
      </c>
      <c r="H3" s="1129" t="s">
        <v>418</v>
      </c>
    </row>
    <row r="4" spans="1:8" ht="27.95" customHeight="1">
      <c r="A4" s="2257" t="s">
        <v>195</v>
      </c>
      <c r="B4" s="2259" t="s">
        <v>182</v>
      </c>
      <c r="C4" s="2260"/>
      <c r="D4" s="2263" t="s">
        <v>183</v>
      </c>
      <c r="E4" s="2257" t="s">
        <v>184</v>
      </c>
      <c r="F4" s="1130" t="s">
        <v>1068</v>
      </c>
      <c r="G4" s="1130" t="s">
        <v>393</v>
      </c>
      <c r="H4" s="2257" t="s">
        <v>895</v>
      </c>
    </row>
    <row r="5" spans="1:8" ht="27.95" customHeight="1">
      <c r="A5" s="2258"/>
      <c r="B5" s="2261"/>
      <c r="C5" s="2262"/>
      <c r="D5" s="2264"/>
      <c r="E5" s="2258"/>
      <c r="F5" s="1131" t="s">
        <v>327</v>
      </c>
      <c r="G5" s="1131" t="s">
        <v>327</v>
      </c>
      <c r="H5" s="2258"/>
    </row>
    <row r="6" spans="1:8" ht="24" customHeight="1">
      <c r="A6" s="1132"/>
      <c r="B6" s="1133" t="s">
        <v>1476</v>
      </c>
      <c r="C6" s="1134"/>
      <c r="D6" s="1135"/>
      <c r="E6" s="1136"/>
      <c r="F6" s="1137"/>
      <c r="G6" s="1137"/>
      <c r="H6" s="1136"/>
    </row>
    <row r="7" spans="1:8" ht="24" customHeight="1">
      <c r="A7" s="1139" t="s">
        <v>1477</v>
      </c>
      <c r="B7" s="1143" t="s">
        <v>1478</v>
      </c>
      <c r="C7" s="1141"/>
      <c r="D7" s="1177"/>
      <c r="E7" s="1146"/>
      <c r="F7" s="1142"/>
      <c r="G7" s="1142"/>
      <c r="H7" s="1138"/>
    </row>
    <row r="8" spans="1:8" ht="24" customHeight="1">
      <c r="A8" s="1139" t="s">
        <v>1479</v>
      </c>
      <c r="B8" s="1140" t="s">
        <v>1480</v>
      </c>
      <c r="C8" s="1141"/>
      <c r="D8" s="1177">
        <v>9000</v>
      </c>
      <c r="E8" s="1146" t="s">
        <v>890</v>
      </c>
      <c r="F8" s="1142">
        <v>2.2000000000000002</v>
      </c>
      <c r="G8" s="1142">
        <f>IF(D8&lt;=0,0,ROUND(D8*F8,2))</f>
        <v>19800</v>
      </c>
      <c r="H8" s="1138"/>
    </row>
    <row r="9" spans="1:8" ht="24" customHeight="1">
      <c r="A9" s="1139" t="s">
        <v>1481</v>
      </c>
      <c r="B9" s="1143" t="s">
        <v>1482</v>
      </c>
      <c r="C9" s="1141"/>
      <c r="D9" s="1177"/>
      <c r="E9" s="1146"/>
      <c r="F9" s="1142"/>
      <c r="G9" s="1142"/>
      <c r="H9" s="1138"/>
    </row>
    <row r="10" spans="1:8" ht="24" customHeight="1">
      <c r="A10" s="1139" t="s">
        <v>1483</v>
      </c>
      <c r="B10" s="1140" t="s">
        <v>1484</v>
      </c>
      <c r="C10" s="1141"/>
      <c r="D10" s="1177">
        <v>9000</v>
      </c>
      <c r="E10" s="1146" t="s">
        <v>890</v>
      </c>
      <c r="F10" s="1142">
        <v>13.9</v>
      </c>
      <c r="G10" s="605">
        <f>IF(D10&lt;=0,0,ROUND(D10*F10,2))</f>
        <v>125100</v>
      </c>
      <c r="H10" s="1138"/>
    </row>
    <row r="11" spans="1:8" ht="24" customHeight="1">
      <c r="A11" s="1139" t="s">
        <v>1485</v>
      </c>
      <c r="B11" s="1143" t="s">
        <v>1486</v>
      </c>
      <c r="C11" s="1141"/>
      <c r="D11" s="1177">
        <v>160</v>
      </c>
      <c r="E11" s="1146" t="s">
        <v>870</v>
      </c>
      <c r="F11" s="1142">
        <v>68</v>
      </c>
      <c r="G11" s="605">
        <f>IF(D11&lt;=0,0,ROUND(D11*F11,2))</f>
        <v>10880</v>
      </c>
      <c r="H11" s="1138"/>
    </row>
    <row r="12" spans="1:8" ht="24" customHeight="1">
      <c r="A12" s="1139" t="s">
        <v>1487</v>
      </c>
      <c r="B12" s="1140" t="s">
        <v>1488</v>
      </c>
      <c r="C12" s="1144"/>
      <c r="D12" s="1177"/>
      <c r="E12" s="1146"/>
      <c r="F12" s="1142"/>
      <c r="G12" s="1142"/>
      <c r="H12" s="1138"/>
    </row>
    <row r="13" spans="1:8" ht="24" customHeight="1">
      <c r="A13" s="1139" t="s">
        <v>1489</v>
      </c>
      <c r="B13" s="1143" t="s">
        <v>1490</v>
      </c>
      <c r="C13" s="1144"/>
      <c r="D13" s="1177"/>
      <c r="E13" s="1146"/>
      <c r="F13" s="1142"/>
      <c r="G13" s="1142"/>
      <c r="H13" s="1138"/>
    </row>
    <row r="14" spans="1:8" ht="24" customHeight="1">
      <c r="A14" s="1139" t="s">
        <v>1491</v>
      </c>
      <c r="B14" s="1140" t="s">
        <v>1492</v>
      </c>
      <c r="C14" s="1144"/>
      <c r="D14" s="1177"/>
      <c r="E14" s="1146"/>
      <c r="F14" s="1142"/>
      <c r="G14" s="1142"/>
      <c r="H14" s="1138"/>
    </row>
    <row r="15" spans="1:8" ht="24" customHeight="1">
      <c r="A15" s="1139" t="s">
        <v>1493</v>
      </c>
      <c r="B15" s="1143" t="s">
        <v>1494</v>
      </c>
      <c r="C15" s="1141"/>
      <c r="D15" s="1177">
        <v>4322</v>
      </c>
      <c r="E15" s="1146" t="s">
        <v>870</v>
      </c>
      <c r="F15" s="1142">
        <v>157</v>
      </c>
      <c r="G15" s="605">
        <f>IF(D15&lt;=0,0,ROUND(D15*F15,2))</f>
        <v>678554</v>
      </c>
      <c r="H15" s="1138"/>
    </row>
    <row r="16" spans="1:8" ht="24" customHeight="1">
      <c r="A16" s="1139" t="s">
        <v>1495</v>
      </c>
      <c r="B16" s="1140" t="s">
        <v>1496</v>
      </c>
      <c r="C16" s="1141"/>
      <c r="D16" s="1177"/>
      <c r="E16" s="1146"/>
      <c r="F16" s="1142"/>
      <c r="G16" s="1142"/>
      <c r="H16" s="1138"/>
    </row>
    <row r="17" spans="1:8" ht="24" customHeight="1">
      <c r="A17" s="1139" t="s">
        <v>1497</v>
      </c>
      <c r="B17" s="1143" t="s">
        <v>1498</v>
      </c>
      <c r="C17" s="1141"/>
      <c r="D17" s="1177"/>
      <c r="E17" s="1146"/>
      <c r="F17" s="1142"/>
      <c r="G17" s="1142"/>
      <c r="H17" s="1138"/>
    </row>
    <row r="18" spans="1:8" ht="24" customHeight="1">
      <c r="A18" s="1139" t="s">
        <v>1289</v>
      </c>
      <c r="B18" s="1140" t="s">
        <v>1499</v>
      </c>
      <c r="C18" s="1141"/>
      <c r="D18" s="1177">
        <v>2024</v>
      </c>
      <c r="E18" s="1146" t="s">
        <v>870</v>
      </c>
      <c r="F18" s="1142">
        <v>403.6</v>
      </c>
      <c r="G18" s="605">
        <f>IF(D18&lt;=0,0,ROUND(D18*F18,2))</f>
        <v>816886.4</v>
      </c>
      <c r="H18" s="1138"/>
    </row>
    <row r="19" spans="1:8" ht="24" customHeight="1">
      <c r="A19" s="1139" t="s">
        <v>1500</v>
      </c>
      <c r="B19" s="1143" t="s">
        <v>1501</v>
      </c>
      <c r="C19" s="1141"/>
      <c r="D19" s="1177"/>
      <c r="E19" s="1146"/>
      <c r="F19" s="1142"/>
      <c r="G19" s="1142"/>
      <c r="H19" s="1138"/>
    </row>
    <row r="20" spans="1:8" ht="24" customHeight="1">
      <c r="A20" s="1139" t="s">
        <v>1301</v>
      </c>
      <c r="B20" s="1182" t="s">
        <v>1502</v>
      </c>
      <c r="C20" s="1141"/>
      <c r="D20" s="1177">
        <v>1848</v>
      </c>
      <c r="E20" s="1146" t="s">
        <v>870</v>
      </c>
      <c r="F20" s="1142">
        <v>997.8</v>
      </c>
      <c r="G20" s="605">
        <f>IF(D20&lt;=0,0,ROUND(D20*F20,2))</f>
        <v>1843934.4</v>
      </c>
      <c r="H20" s="1145"/>
    </row>
    <row r="21" spans="1:8" ht="24" customHeight="1">
      <c r="A21" s="1139" t="s">
        <v>1503</v>
      </c>
      <c r="B21" s="1143" t="s">
        <v>1504</v>
      </c>
      <c r="C21" s="1141"/>
      <c r="D21" s="1177"/>
      <c r="E21" s="1146"/>
      <c r="F21" s="1142"/>
      <c r="G21" s="1142"/>
      <c r="H21" s="1145"/>
    </row>
    <row r="22" spans="1:8" ht="24" customHeight="1">
      <c r="A22" s="1139" t="s">
        <v>1505</v>
      </c>
      <c r="B22" s="1140" t="s">
        <v>1506</v>
      </c>
      <c r="C22" s="1141"/>
      <c r="D22" s="1177"/>
      <c r="E22" s="1146"/>
      <c r="F22" s="1142"/>
      <c r="G22" s="1142"/>
      <c r="H22" s="1145"/>
    </row>
    <row r="23" spans="1:8" ht="24" customHeight="1">
      <c r="A23" s="1139" t="s">
        <v>1507</v>
      </c>
      <c r="B23" s="1143" t="s">
        <v>1508</v>
      </c>
      <c r="C23" s="1141"/>
      <c r="D23" s="1177">
        <v>8200</v>
      </c>
      <c r="E23" s="1146" t="s">
        <v>890</v>
      </c>
      <c r="F23" s="1142">
        <v>35</v>
      </c>
      <c r="G23" s="605">
        <f>IF(D23&lt;=0,0,ROUND(D23*F23,2))</f>
        <v>287000</v>
      </c>
      <c r="H23" s="1145"/>
    </row>
    <row r="24" spans="1:8" ht="24" customHeight="1">
      <c r="A24" s="1139" t="s">
        <v>1509</v>
      </c>
      <c r="B24" s="1140" t="s">
        <v>1510</v>
      </c>
      <c r="C24" s="1141"/>
      <c r="D24" s="1177">
        <v>16000</v>
      </c>
      <c r="E24" s="1146" t="s">
        <v>890</v>
      </c>
      <c r="F24" s="1142">
        <v>16.3</v>
      </c>
      <c r="G24" s="605">
        <f>IF(D24&lt;=0,0,ROUND(D24*F24,2))</f>
        <v>260800</v>
      </c>
      <c r="H24" s="1138"/>
    </row>
    <row r="25" spans="1:8" ht="24" customHeight="1">
      <c r="A25" s="1139" t="s">
        <v>1511</v>
      </c>
      <c r="B25" s="1143" t="s">
        <v>1512</v>
      </c>
      <c r="C25" s="1141"/>
      <c r="D25" s="1177"/>
      <c r="E25" s="1146"/>
      <c r="F25" s="1142"/>
      <c r="G25" s="1142"/>
      <c r="H25" s="1138"/>
    </row>
    <row r="26" spans="1:8" s="1149" customFormat="1" ht="45" customHeight="1">
      <c r="A26" s="1183" t="s">
        <v>1513</v>
      </c>
      <c r="B26" s="2251" t="s">
        <v>1514</v>
      </c>
      <c r="C26" s="2252"/>
      <c r="D26" s="1178">
        <v>6150</v>
      </c>
      <c r="E26" s="1148" t="s">
        <v>890</v>
      </c>
      <c r="F26" s="1147">
        <v>218.1</v>
      </c>
      <c r="G26" s="605">
        <f>IF(D26&lt;=0,0,ROUND(D26*F26,2))</f>
        <v>1341315</v>
      </c>
      <c r="H26" s="1148"/>
    </row>
    <row r="27" spans="1:8" ht="45" customHeight="1">
      <c r="A27" s="1183" t="s">
        <v>1515</v>
      </c>
      <c r="B27" s="2251" t="s">
        <v>1516</v>
      </c>
      <c r="C27" s="2252"/>
      <c r="D27" s="1177">
        <v>12000</v>
      </c>
      <c r="E27" s="1146" t="s">
        <v>890</v>
      </c>
      <c r="F27" s="1142">
        <v>210</v>
      </c>
      <c r="G27" s="605">
        <f>IF(D27&lt;=0,0,ROUND(D27*F27,2))</f>
        <v>2520000</v>
      </c>
      <c r="H27" s="1138"/>
    </row>
    <row r="28" spans="1:8" ht="45" customHeight="1">
      <c r="A28" s="1191" t="s">
        <v>1517</v>
      </c>
      <c r="B28" s="2253" t="s">
        <v>1518</v>
      </c>
      <c r="C28" s="2254"/>
      <c r="D28" s="1151">
        <v>2050</v>
      </c>
      <c r="E28" s="1152" t="s">
        <v>890</v>
      </c>
      <c r="F28" s="1153">
        <v>218.1</v>
      </c>
      <c r="G28" s="745">
        <f>IF(D28&lt;=0,0,ROUND(D28*F28,2))</f>
        <v>447105</v>
      </c>
      <c r="H28" s="1154"/>
    </row>
    <row r="29" spans="1:8" ht="24" customHeight="1">
      <c r="A29" s="1184"/>
      <c r="B29" s="1185"/>
      <c r="C29" s="1185"/>
      <c r="D29" s="1186"/>
      <c r="E29" s="1187"/>
      <c r="F29" s="1188"/>
      <c r="G29" s="1189"/>
      <c r="H29" s="1190"/>
    </row>
    <row r="30" spans="1:8" ht="24" customHeight="1">
      <c r="A30" s="1155" t="s">
        <v>1556</v>
      </c>
      <c r="C30" s="1155"/>
      <c r="D30" s="1156"/>
      <c r="E30" s="1159"/>
      <c r="F30" s="1155" t="s">
        <v>1553</v>
      </c>
      <c r="G30" s="1176"/>
      <c r="H30" s="1155"/>
    </row>
    <row r="31" spans="1:8" ht="24" customHeight="1">
      <c r="A31" s="1155" t="s">
        <v>1557</v>
      </c>
      <c r="C31" s="1155"/>
      <c r="D31" s="1156"/>
      <c r="E31" s="1159"/>
      <c r="F31" s="1155" t="s">
        <v>1554</v>
      </c>
      <c r="G31" s="1176"/>
      <c r="H31" s="1155"/>
    </row>
    <row r="32" spans="1:8" ht="24" customHeight="1">
      <c r="A32" s="1155" t="s">
        <v>1558</v>
      </c>
      <c r="C32" s="1155"/>
      <c r="D32" s="1156"/>
      <c r="E32" s="1159"/>
      <c r="F32" s="1155" t="s">
        <v>1555</v>
      </c>
      <c r="G32" s="1176"/>
      <c r="H32" s="1155"/>
    </row>
    <row r="33" spans="1:8" ht="45" customHeight="1">
      <c r="A33" s="1183" t="s">
        <v>1519</v>
      </c>
      <c r="B33" s="2251" t="s">
        <v>1520</v>
      </c>
      <c r="C33" s="2252"/>
      <c r="D33" s="1177">
        <v>4000</v>
      </c>
      <c r="E33" s="1146" t="s">
        <v>890</v>
      </c>
      <c r="F33" s="1142">
        <v>210</v>
      </c>
      <c r="G33" s="605">
        <f>IF(D33&lt;=0,0,ROUND(D33*F33,2))</f>
        <v>840000</v>
      </c>
      <c r="H33" s="1138"/>
    </row>
    <row r="34" spans="1:8" ht="24" customHeight="1">
      <c r="A34" s="1139" t="s">
        <v>1521</v>
      </c>
      <c r="B34" s="1140" t="s">
        <v>1522</v>
      </c>
      <c r="C34" s="1141"/>
      <c r="D34" s="1177"/>
      <c r="E34" s="1146"/>
      <c r="F34" s="1142"/>
      <c r="G34" s="1142"/>
      <c r="H34" s="1138"/>
    </row>
    <row r="35" spans="1:8" ht="24" customHeight="1">
      <c r="A35" s="1139" t="s">
        <v>1523</v>
      </c>
      <c r="B35" s="1181" t="s">
        <v>1524</v>
      </c>
      <c r="C35" s="1162"/>
      <c r="D35" s="1177">
        <v>8</v>
      </c>
      <c r="E35" s="1146" t="s">
        <v>889</v>
      </c>
      <c r="F35" s="1142">
        <v>2168.6</v>
      </c>
      <c r="G35" s="605">
        <f>IF(D35&lt;=0,0,ROUND(D35*F35,2))</f>
        <v>17348.8</v>
      </c>
      <c r="H35" s="1138"/>
    </row>
    <row r="36" spans="1:8" ht="24" customHeight="1">
      <c r="A36" s="1139" t="s">
        <v>1525</v>
      </c>
      <c r="B36" s="1140" t="s">
        <v>1526</v>
      </c>
      <c r="C36" s="1162"/>
      <c r="D36" s="1177"/>
      <c r="E36" s="1146"/>
      <c r="F36" s="1142"/>
      <c r="G36" s="1142"/>
      <c r="H36" s="1146"/>
    </row>
    <row r="37" spans="1:8" ht="24" customHeight="1">
      <c r="A37" s="1139" t="s">
        <v>1527</v>
      </c>
      <c r="B37" s="1143" t="s">
        <v>1528</v>
      </c>
      <c r="C37" s="1162"/>
      <c r="D37" s="1177">
        <v>82</v>
      </c>
      <c r="E37" s="1146" t="s">
        <v>1038</v>
      </c>
      <c r="F37" s="1142">
        <v>640.79999999999995</v>
      </c>
      <c r="G37" s="605">
        <f>IF(D37&lt;=0,0,ROUND(D37*F37,2))</f>
        <v>52545.599999999999</v>
      </c>
      <c r="H37" s="1138"/>
    </row>
    <row r="38" spans="1:8" ht="24" customHeight="1">
      <c r="A38" s="1139" t="s">
        <v>1529</v>
      </c>
      <c r="B38" s="1140" t="s">
        <v>1530</v>
      </c>
      <c r="C38" s="1162"/>
      <c r="D38" s="1177">
        <v>3</v>
      </c>
      <c r="E38" s="1146" t="s">
        <v>1038</v>
      </c>
      <c r="F38" s="1142">
        <v>3017.5</v>
      </c>
      <c r="G38" s="605">
        <f>IF(D38&lt;=0,0,ROUND(D38*F38,2))</f>
        <v>9052.5</v>
      </c>
      <c r="H38" s="1138"/>
    </row>
    <row r="39" spans="1:8" ht="24" customHeight="1">
      <c r="A39" s="1139" t="s">
        <v>1531</v>
      </c>
      <c r="B39" s="1143" t="s">
        <v>1532</v>
      </c>
      <c r="C39" s="1141"/>
      <c r="D39" s="1177">
        <v>910</v>
      </c>
      <c r="E39" s="1146" t="s">
        <v>890</v>
      </c>
      <c r="F39" s="1142">
        <v>387.2</v>
      </c>
      <c r="G39" s="605">
        <f>IF(D39&lt;=0,0,ROUND(D39*F39,2))</f>
        <v>352352</v>
      </c>
      <c r="H39" s="1138"/>
    </row>
    <row r="40" spans="1:8" ht="24" customHeight="1">
      <c r="A40" s="1139" t="s">
        <v>1533</v>
      </c>
      <c r="B40" s="1140" t="s">
        <v>1534</v>
      </c>
      <c r="C40" s="1141"/>
      <c r="D40" s="1177">
        <v>4</v>
      </c>
      <c r="E40" s="1146" t="s">
        <v>382</v>
      </c>
      <c r="F40" s="1142">
        <v>4005.6</v>
      </c>
      <c r="G40" s="605">
        <f>IF(D40&lt;=0,0,ROUND(D40*F40,2))</f>
        <v>16022.4</v>
      </c>
      <c r="H40" s="1138"/>
    </row>
    <row r="41" spans="1:8" ht="24" customHeight="1">
      <c r="A41" s="1139" t="s">
        <v>1535</v>
      </c>
      <c r="B41" s="1143" t="s">
        <v>1536</v>
      </c>
      <c r="C41" s="1141"/>
      <c r="D41" s="1177"/>
      <c r="E41" s="1146"/>
      <c r="F41" s="1142"/>
      <c r="G41" s="1142"/>
      <c r="H41" s="1138"/>
    </row>
    <row r="42" spans="1:8" ht="24" customHeight="1">
      <c r="A42" s="1139" t="s">
        <v>1537</v>
      </c>
      <c r="B42" s="1140" t="s">
        <v>1538</v>
      </c>
      <c r="C42" s="1141"/>
      <c r="D42" s="1177">
        <v>2</v>
      </c>
      <c r="E42" s="1146" t="s">
        <v>379</v>
      </c>
      <c r="F42" s="1142">
        <v>8785.6</v>
      </c>
      <c r="G42" s="605">
        <f>IF(D42&lt;=0,0,ROUND(D42*F42,2))</f>
        <v>17571.2</v>
      </c>
      <c r="H42" s="1138"/>
    </row>
    <row r="43" spans="1:8" ht="24" customHeight="1">
      <c r="A43" s="1139" t="s">
        <v>1539</v>
      </c>
      <c r="B43" s="1143" t="s">
        <v>1540</v>
      </c>
      <c r="C43" s="1141"/>
      <c r="D43" s="1177">
        <v>4</v>
      </c>
      <c r="E43" s="1146" t="s">
        <v>379</v>
      </c>
      <c r="F43" s="1142">
        <v>5193.5</v>
      </c>
      <c r="G43" s="605">
        <f>IF(D43&lt;=0,0,ROUND(D43*F43,2))</f>
        <v>20774</v>
      </c>
      <c r="H43" s="1146"/>
    </row>
    <row r="44" spans="1:8" ht="24" customHeight="1">
      <c r="A44" s="1139" t="s">
        <v>1541</v>
      </c>
      <c r="B44" s="1140" t="s">
        <v>1542</v>
      </c>
      <c r="C44" s="1141"/>
      <c r="D44" s="1177">
        <v>7</v>
      </c>
      <c r="E44" s="1146" t="s">
        <v>379</v>
      </c>
      <c r="F44" s="1142">
        <v>1001.4</v>
      </c>
      <c r="G44" s="605">
        <f>IF(D44&lt;=0,0,ROUND(D44*F44,2))</f>
        <v>7009.8</v>
      </c>
      <c r="H44" s="1146"/>
    </row>
    <row r="45" spans="1:8" ht="24" customHeight="1">
      <c r="A45" s="1139" t="s">
        <v>1543</v>
      </c>
      <c r="B45" s="1143" t="s">
        <v>1544</v>
      </c>
      <c r="C45" s="1141"/>
      <c r="D45" s="1177"/>
      <c r="E45" s="1146"/>
      <c r="F45" s="1142"/>
      <c r="G45" s="1142"/>
      <c r="H45" s="1146"/>
    </row>
    <row r="46" spans="1:8" ht="24" customHeight="1">
      <c r="A46" s="1150">
        <v>7.1</v>
      </c>
      <c r="B46" s="1179" t="s">
        <v>1545</v>
      </c>
      <c r="C46" s="1180"/>
      <c r="D46" s="1151">
        <v>1</v>
      </c>
      <c r="E46" s="1152" t="s">
        <v>1546</v>
      </c>
      <c r="F46" s="1153">
        <f>16183.9-235</f>
        <v>15948.9</v>
      </c>
      <c r="G46" s="745">
        <f>IF(D46&lt;=0,0,ROUND(D46*F46,2))</f>
        <v>15948.9</v>
      </c>
      <c r="H46" s="1152"/>
    </row>
    <row r="47" spans="1:8" ht="24" customHeight="1" thickBot="1">
      <c r="A47" s="1163"/>
      <c r="B47" s="1164" t="s">
        <v>1547</v>
      </c>
      <c r="C47" s="1165"/>
      <c r="D47" s="1166"/>
      <c r="E47" s="1167"/>
      <c r="F47" s="1168"/>
      <c r="G47" s="1169">
        <f>SUM(G7:G46)</f>
        <v>9700000.0000000019</v>
      </c>
      <c r="H47" s="1170"/>
    </row>
    <row r="48" spans="1:8" ht="24" customHeight="1" thickTop="1">
      <c r="A48" s="1192"/>
      <c r="B48" s="1193"/>
      <c r="C48" s="1192"/>
      <c r="D48" s="1194"/>
      <c r="E48" s="1195"/>
      <c r="F48" s="1192"/>
      <c r="G48" s="1196"/>
      <c r="H48" s="1197"/>
    </row>
    <row r="49" spans="1:11" ht="24" customHeight="1">
      <c r="A49" s="1155"/>
      <c r="B49" s="1156" t="s">
        <v>895</v>
      </c>
      <c r="D49" s="1155"/>
      <c r="E49" s="1155"/>
      <c r="F49" s="1156"/>
      <c r="G49" s="1155"/>
      <c r="H49" s="1155"/>
      <c r="I49" s="1157"/>
      <c r="J49" s="1155"/>
      <c r="K49" s="1158"/>
    </row>
    <row r="50" spans="1:11" ht="24" customHeight="1">
      <c r="A50" s="1155"/>
      <c r="B50" s="1155" t="s">
        <v>1549</v>
      </c>
      <c r="D50" s="1155"/>
      <c r="E50" s="1155"/>
      <c r="F50" s="1156"/>
      <c r="G50" s="1155"/>
      <c r="H50" s="1155"/>
      <c r="I50" s="1157"/>
      <c r="J50" s="1155"/>
      <c r="K50" s="1158"/>
    </row>
    <row r="51" spans="1:11" ht="24" customHeight="1">
      <c r="A51" s="1155"/>
      <c r="B51" s="1155" t="s">
        <v>1550</v>
      </c>
      <c r="D51" s="1155"/>
      <c r="E51" s="1155"/>
      <c r="F51" s="1156"/>
      <c r="G51" s="1155"/>
      <c r="H51" s="1155"/>
      <c r="I51" s="1157"/>
      <c r="J51" s="1155"/>
      <c r="K51" s="1158"/>
    </row>
    <row r="52" spans="1:11" ht="24" customHeight="1">
      <c r="A52" s="1155"/>
      <c r="B52" s="1155" t="s">
        <v>1551</v>
      </c>
      <c r="D52" s="1155"/>
      <c r="E52" s="1155"/>
      <c r="F52" s="1156"/>
      <c r="G52" s="1155"/>
      <c r="H52" s="1155"/>
      <c r="I52" s="1157"/>
      <c r="J52" s="1155"/>
      <c r="K52" s="1158"/>
    </row>
    <row r="53" spans="1:11" ht="24" customHeight="1">
      <c r="A53" s="1155"/>
      <c r="B53" s="1155" t="s">
        <v>1552</v>
      </c>
      <c r="C53" s="1156"/>
      <c r="D53" s="1156"/>
      <c r="E53" s="1156"/>
      <c r="F53" s="1155"/>
      <c r="G53" s="1155"/>
      <c r="H53" s="1155"/>
      <c r="I53" s="1157"/>
      <c r="J53" s="1155"/>
      <c r="K53" s="1158"/>
    </row>
    <row r="54" spans="1:11" ht="24" customHeight="1">
      <c r="A54" s="1155"/>
      <c r="B54" s="1155"/>
      <c r="C54" s="1156"/>
      <c r="D54" s="1156"/>
      <c r="E54" s="1156"/>
      <c r="F54" s="1155"/>
      <c r="G54" s="1155"/>
      <c r="H54" s="1155"/>
      <c r="I54" s="1157"/>
      <c r="J54" s="1155"/>
      <c r="K54" s="1158"/>
    </row>
    <row r="55" spans="1:11" ht="24" customHeight="1">
      <c r="A55" s="1155"/>
      <c r="B55" s="1155"/>
      <c r="C55" s="1156"/>
      <c r="D55" s="1156"/>
      <c r="E55" s="1156"/>
      <c r="F55" s="1155"/>
      <c r="G55" s="1155"/>
      <c r="H55" s="1155"/>
      <c r="I55" s="1157"/>
      <c r="J55" s="1155"/>
      <c r="K55" s="1158"/>
    </row>
    <row r="56" spans="1:11" ht="24" customHeight="1">
      <c r="A56" s="1155" t="s">
        <v>1556</v>
      </c>
      <c r="C56" s="1155"/>
      <c r="D56" s="1156"/>
      <c r="E56" s="1159"/>
      <c r="F56" s="1155" t="s">
        <v>1553</v>
      </c>
      <c r="G56" s="1176"/>
      <c r="H56" s="1155"/>
      <c r="I56" s="1155"/>
      <c r="J56" s="1155"/>
      <c r="K56" s="1158"/>
    </row>
    <row r="57" spans="1:11" ht="24" customHeight="1">
      <c r="A57" s="1155" t="s">
        <v>1557</v>
      </c>
      <c r="C57" s="1155"/>
      <c r="D57" s="1156"/>
      <c r="E57" s="1159"/>
      <c r="F57" s="1155" t="s">
        <v>1554</v>
      </c>
      <c r="G57" s="1176"/>
      <c r="H57" s="1155"/>
      <c r="I57" s="1155"/>
      <c r="J57" s="1155"/>
      <c r="K57" s="1158"/>
    </row>
    <row r="58" spans="1:11" ht="24" customHeight="1">
      <c r="A58" s="1155" t="s">
        <v>1558</v>
      </c>
      <c r="C58" s="1155"/>
      <c r="D58" s="1156"/>
      <c r="E58" s="1159"/>
      <c r="F58" s="1155" t="s">
        <v>1555</v>
      </c>
      <c r="G58" s="1176"/>
      <c r="H58" s="1155"/>
      <c r="I58" s="1155"/>
      <c r="J58" s="1155"/>
      <c r="K58" s="1158"/>
    </row>
    <row r="59" spans="1:11" ht="24" customHeight="1">
      <c r="A59" s="1155"/>
      <c r="B59" s="1155"/>
      <c r="C59" s="1155"/>
      <c r="D59" s="1155"/>
      <c r="E59" s="1159"/>
      <c r="F59" s="1159"/>
      <c r="G59" s="1160"/>
      <c r="H59" s="1161"/>
    </row>
    <row r="60" spans="1:11" ht="24" customHeight="1">
      <c r="A60" s="1158"/>
      <c r="B60" s="1158"/>
      <c r="C60" s="1158"/>
      <c r="D60" s="1171"/>
      <c r="E60" s="1172"/>
      <c r="F60" s="1173"/>
      <c r="G60" s="1173"/>
      <c r="H60" s="1158"/>
    </row>
    <row r="61" spans="1:11" ht="24" customHeight="1"/>
    <row r="62" spans="1:11" ht="24" customHeight="1"/>
    <row r="63" spans="1:11" ht="24" customHeight="1"/>
    <row r="64" spans="1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</sheetData>
  <mergeCells count="11">
    <mergeCell ref="B26:C26"/>
    <mergeCell ref="B27:C27"/>
    <mergeCell ref="B28:C28"/>
    <mergeCell ref="B33:C33"/>
    <mergeCell ref="A1:H1"/>
    <mergeCell ref="E3:F3"/>
    <mergeCell ref="A4:A5"/>
    <mergeCell ref="B4:C5"/>
    <mergeCell ref="D4:D5"/>
    <mergeCell ref="E4:E5"/>
    <mergeCell ref="H4:H5"/>
  </mergeCells>
  <dataValidations disablePrompts="1" count="1">
    <dataValidation type="list" allowBlank="1" showInputMessage="1" showErrorMessage="1" sqref="H19" xr:uid="{00000000-0002-0000-0500-000000000000}">
      <formula1>"บนหินคลุก,   "</formula1>
    </dataValidation>
  </dataValidations>
  <printOptions horizontalCentered="1"/>
  <pageMargins left="3.937007874015748E-2" right="0.15748031496062992" top="0.5" bottom="0.55118110236220474" header="0.23622047244094491" footer="0.23622047244094491"/>
  <pageSetup paperSize="9" scale="92" orientation="portrait" horizontalDpi="4294967293" r:id="rId1"/>
  <headerFooter alignWithMargins="0">
    <oddHeader>&amp;Rหน้า &amp;P/&amp;N</oddHeader>
  </headerFooter>
  <colBreaks count="1" manualBreakCount="1">
    <brk id="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N86"/>
  <sheetViews>
    <sheetView view="pageBreakPreview" zoomScale="98" zoomScaleSheetLayoutView="98" workbookViewId="0">
      <selection activeCell="O60" sqref="O60"/>
    </sheetView>
  </sheetViews>
  <sheetFormatPr defaultColWidth="10.6640625" defaultRowHeight="21.75"/>
  <cols>
    <col min="1" max="1" width="19.33203125" style="1090" customWidth="1"/>
    <col min="2" max="2" width="10.6640625" style="1090" customWidth="1"/>
    <col min="3" max="3" width="16.6640625" style="1090" customWidth="1"/>
    <col min="4" max="4" width="12.6640625" style="1090" customWidth="1"/>
    <col min="5" max="5" width="22.6640625" style="1090" customWidth="1"/>
    <col min="6" max="6" width="21.6640625" style="1090" customWidth="1"/>
    <col min="7" max="7" width="9.33203125" style="1090" customWidth="1"/>
    <col min="8" max="8" width="8.6640625" style="1090" customWidth="1"/>
    <col min="9" max="9" width="9" style="1090" customWidth="1"/>
    <col min="10" max="11" width="10.6640625" style="1090"/>
    <col min="12" max="12" width="15.5" style="1090" customWidth="1"/>
    <col min="13" max="13" width="16.6640625" style="1090" customWidth="1"/>
    <col min="14" max="14" width="15.83203125" style="1090" customWidth="1"/>
    <col min="15" max="16384" width="10.6640625" style="1090"/>
  </cols>
  <sheetData>
    <row r="1" spans="1:13" ht="23.25">
      <c r="A1" s="2265" t="s">
        <v>1127</v>
      </c>
      <c r="B1" s="2265"/>
      <c r="C1" s="2265"/>
      <c r="D1" s="2265"/>
      <c r="E1" s="2265"/>
      <c r="F1" s="2265"/>
      <c r="G1" s="2265"/>
      <c r="H1" s="2265"/>
      <c r="I1" s="2265"/>
    </row>
    <row r="2" spans="1:13">
      <c r="A2" s="1091" t="s">
        <v>468</v>
      </c>
      <c r="B2" s="1092" t="str">
        <f>'ปร.5 road'!C4</f>
        <v>ก่อสร้างถนนคอนกรีตเสริมเหล็ก</v>
      </c>
      <c r="C2" s="1092"/>
      <c r="D2" s="1092"/>
      <c r="E2" s="1093"/>
      <c r="F2" s="1092"/>
      <c r="G2" s="1092"/>
      <c r="H2" s="1092"/>
      <c r="I2" s="1092"/>
    </row>
    <row r="3" spans="1:13">
      <c r="A3" s="1089" t="s">
        <v>483</v>
      </c>
      <c r="B3" s="1112" t="str">
        <f>'ปร.5 road'!C5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D3" s="1094"/>
      <c r="E3" s="1092"/>
      <c r="F3" s="1092"/>
      <c r="G3" s="1092" t="s">
        <v>783</v>
      </c>
      <c r="H3" s="1095" t="str">
        <f>กรอกข้อมูล!B16</f>
        <v>1.400</v>
      </c>
      <c r="I3" s="1096" t="s">
        <v>418</v>
      </c>
    </row>
    <row r="4" spans="1:13">
      <c r="A4" s="1089" t="s">
        <v>1128</v>
      </c>
      <c r="B4" s="1093" t="s">
        <v>770</v>
      </c>
      <c r="C4" s="1092"/>
      <c r="D4" s="1096">
        <f>สรุปงวด!I3</f>
        <v>120</v>
      </c>
      <c r="E4" s="1092" t="s">
        <v>1129</v>
      </c>
      <c r="F4" s="1096"/>
      <c r="G4" s="1097"/>
      <c r="H4" s="1092"/>
      <c r="I4" s="1097"/>
    </row>
    <row r="5" spans="1:13">
      <c r="A5" s="1089" t="s">
        <v>1130</v>
      </c>
      <c r="B5" s="2267">
        <v>9700000</v>
      </c>
      <c r="C5" s="2267"/>
      <c r="D5" s="1092" t="s">
        <v>918</v>
      </c>
      <c r="E5" s="2268" t="str">
        <f>"("&amp;BAHTTEXT(B5)&amp;")"</f>
        <v>(เก้าล้านเจ็ดแสนบาทถ้วน)</v>
      </c>
      <c r="F5" s="2268"/>
      <c r="G5" s="1092" t="s">
        <v>1132</v>
      </c>
      <c r="H5" s="1092"/>
      <c r="I5" s="1092"/>
      <c r="K5" s="1098"/>
      <c r="L5" s="1090">
        <v>9700000</v>
      </c>
      <c r="M5" s="1092"/>
    </row>
    <row r="6" spans="1:13">
      <c r="A6" s="1092"/>
      <c r="B6" s="1092" t="s">
        <v>1133</v>
      </c>
      <c r="C6" s="1098"/>
      <c r="D6" s="1092"/>
      <c r="E6" s="1092"/>
      <c r="F6" s="1092"/>
      <c r="G6" s="1092"/>
      <c r="H6" s="1092"/>
      <c r="I6" s="1092"/>
    </row>
    <row r="7" spans="1:13">
      <c r="A7" s="1089" t="s">
        <v>771</v>
      </c>
      <c r="B7" s="1096">
        <v>7</v>
      </c>
      <c r="C7" s="1092" t="s">
        <v>772</v>
      </c>
      <c r="D7" s="1092"/>
      <c r="E7" s="1092"/>
      <c r="F7" s="1092"/>
      <c r="G7" s="1092"/>
      <c r="H7" s="1096"/>
      <c r="I7" s="1092"/>
    </row>
    <row r="8" spans="1:13">
      <c r="A8" s="1089" t="s">
        <v>1134</v>
      </c>
      <c r="B8" s="1092" t="s">
        <v>1135</v>
      </c>
      <c r="C8" s="1092"/>
      <c r="D8" s="1092"/>
      <c r="E8" s="1092"/>
      <c r="F8" s="1092"/>
      <c r="G8" s="1092"/>
      <c r="H8" s="1092"/>
      <c r="I8" s="1092"/>
    </row>
    <row r="9" spans="1:13">
      <c r="A9" s="1092"/>
      <c r="B9" s="1092" t="s">
        <v>1136</v>
      </c>
      <c r="C9" s="1092"/>
      <c r="D9" s="1092"/>
      <c r="E9" s="1092"/>
      <c r="F9" s="1092"/>
      <c r="G9" s="1092"/>
      <c r="H9" s="1092"/>
      <c r="I9" s="1092"/>
    </row>
    <row r="10" spans="1:13" s="1102" customFormat="1">
      <c r="A10" s="1099" t="s">
        <v>773</v>
      </c>
      <c r="B10" s="1092" t="s">
        <v>222</v>
      </c>
      <c r="C10" s="1115">
        <f>M10</f>
        <v>1033000</v>
      </c>
      <c r="D10" s="1116" t="s">
        <v>918</v>
      </c>
      <c r="E10" s="930" t="str">
        <f>"("&amp;BAHTTEXT(C10)&amp;")"</f>
        <v>(หนึ่งล้านสามหมื่นสามพันบาทถ้วน)</v>
      </c>
      <c r="F10" s="1117"/>
      <c r="G10" s="1101"/>
      <c r="H10" s="1092"/>
      <c r="I10" s="1092"/>
      <c r="K10" s="1100">
        <f>สรุปงวด!M37</f>
        <v>10.649999999999999</v>
      </c>
      <c r="L10" s="1113">
        <f>L$5*K10/100</f>
        <v>1033049.9999999999</v>
      </c>
      <c r="M10" s="1114">
        <f>INT((L10)/100)*100</f>
        <v>1033000</v>
      </c>
    </row>
    <row r="11" spans="1:13" s="1102" customFormat="1">
      <c r="A11" s="1099"/>
      <c r="B11" s="1103" t="s">
        <v>768</v>
      </c>
      <c r="C11" s="1092"/>
      <c r="D11" s="1092"/>
      <c r="E11" s="1092"/>
      <c r="F11" s="1092"/>
      <c r="G11" s="1092"/>
      <c r="H11" s="1095"/>
      <c r="I11" s="1096"/>
    </row>
    <row r="12" spans="1:13" s="1102" customFormat="1">
      <c r="A12" s="1099"/>
      <c r="B12" s="1092" t="s">
        <v>222</v>
      </c>
      <c r="C12" s="1115">
        <f>M12</f>
        <v>883600</v>
      </c>
      <c r="D12" s="1116" t="s">
        <v>918</v>
      </c>
      <c r="E12" s="930" t="str">
        <f>"("&amp;BAHTTEXT(C12)&amp;")"</f>
        <v>(แปดแสนแปดหมื่นสามพันหกร้อยบาทถ้วน)</v>
      </c>
      <c r="F12" s="1117"/>
      <c r="G12" s="1101"/>
      <c r="H12" s="1092"/>
      <c r="I12" s="1092"/>
      <c r="K12" s="1100">
        <f>สรุปงวด!M12+สรุปงวด!M13</f>
        <v>9.11</v>
      </c>
      <c r="L12" s="1102">
        <f>L$5*K12/100</f>
        <v>883670</v>
      </c>
      <c r="M12" s="1102">
        <f>INT((L12)/100)*100</f>
        <v>883600</v>
      </c>
    </row>
    <row r="13" spans="1:13" s="1102" customFormat="1">
      <c r="A13" s="1099"/>
      <c r="B13" s="1092" t="s">
        <v>1439</v>
      </c>
      <c r="C13" s="1092"/>
      <c r="D13" s="1092"/>
      <c r="E13" s="1092"/>
      <c r="F13" s="1092"/>
      <c r="G13" s="1092"/>
      <c r="H13" s="1092"/>
      <c r="I13" s="1092"/>
    </row>
    <row r="14" spans="1:13" s="1102" customFormat="1">
      <c r="A14" s="1096"/>
      <c r="B14" s="1092" t="s">
        <v>1231</v>
      </c>
      <c r="C14" s="1092"/>
      <c r="D14" s="1092"/>
      <c r="E14" s="1092"/>
      <c r="F14" s="1092"/>
      <c r="G14" s="1104">
        <f>สรุปงวด!K12</f>
        <v>1</v>
      </c>
      <c r="H14" s="1093" t="s">
        <v>418</v>
      </c>
    </row>
    <row r="15" spans="1:13" s="1102" customFormat="1">
      <c r="A15" s="1096"/>
      <c r="B15" s="1092" t="s">
        <v>1440</v>
      </c>
      <c r="C15" s="1092"/>
      <c r="D15" s="1092"/>
      <c r="E15" s="1092"/>
      <c r="F15" s="1092"/>
      <c r="G15" s="1104">
        <f>สรุปงวด!K13</f>
        <v>0.5</v>
      </c>
      <c r="H15" s="1092" t="s">
        <v>418</v>
      </c>
      <c r="K15" s="1102" t="s">
        <v>403</v>
      </c>
    </row>
    <row r="16" spans="1:13" s="1102" customFormat="1">
      <c r="A16" s="1096"/>
      <c r="B16" s="1105" t="s">
        <v>1149</v>
      </c>
      <c r="C16" s="1092"/>
      <c r="D16" s="1092"/>
      <c r="E16" s="1092"/>
      <c r="F16" s="1092"/>
      <c r="G16" s="1092"/>
      <c r="H16" s="1096"/>
      <c r="I16" s="1096"/>
    </row>
    <row r="17" spans="1:13" s="1102" customFormat="1">
      <c r="A17" s="1096"/>
      <c r="B17" s="1092" t="s">
        <v>222</v>
      </c>
      <c r="C17" s="1115">
        <f>M17</f>
        <v>149300</v>
      </c>
      <c r="D17" s="1116" t="s">
        <v>918</v>
      </c>
      <c r="E17" s="930" t="str">
        <f>"("&amp;BAHTTEXT(C17)&amp;")"</f>
        <v>(หนึ่งแสนสี่หมื่นเก้าพันสามร้อยบาทถ้วน)</v>
      </c>
      <c r="F17" s="1117"/>
      <c r="G17" s="1096"/>
      <c r="H17" s="1096"/>
      <c r="I17" s="1092"/>
      <c r="K17" s="1100">
        <f>สรุปงวด!M23</f>
        <v>1.54</v>
      </c>
      <c r="L17" s="1102">
        <f>L$5*K17/100</f>
        <v>149380</v>
      </c>
      <c r="M17" s="1102">
        <f>INT((L17)/100)*100</f>
        <v>149300</v>
      </c>
    </row>
    <row r="18" spans="1:13" s="1102" customFormat="1">
      <c r="A18" s="1096"/>
      <c r="B18" s="1092" t="s">
        <v>1441</v>
      </c>
      <c r="C18" s="1092"/>
      <c r="D18" s="1092"/>
      <c r="E18" s="1092"/>
      <c r="F18" s="1092"/>
      <c r="G18" s="1092"/>
      <c r="H18" s="1096"/>
      <c r="I18" s="1096"/>
    </row>
    <row r="19" spans="1:13" s="1102" customFormat="1">
      <c r="A19" s="1096"/>
      <c r="B19" s="1092" t="s">
        <v>774</v>
      </c>
      <c r="C19" s="1092"/>
      <c r="D19" s="1108">
        <f>สรุปงวด!M6</f>
        <v>45</v>
      </c>
      <c r="E19" s="1092" t="s">
        <v>775</v>
      </c>
      <c r="F19" s="1092"/>
      <c r="G19" s="1096"/>
      <c r="H19" s="1096"/>
    </row>
    <row r="20" spans="1:13" s="1102" customFormat="1">
      <c r="A20" s="1099" t="s">
        <v>776</v>
      </c>
      <c r="B20" s="1092" t="s">
        <v>222</v>
      </c>
      <c r="C20" s="1115">
        <f>M20</f>
        <v>3898400</v>
      </c>
      <c r="D20" s="1116" t="s">
        <v>918</v>
      </c>
      <c r="E20" s="930" t="str">
        <f>"("&amp;BAHTTEXT(C20)&amp;")"</f>
        <v>(สามล้านแปดแสนเก้าหมื่นแปดพันสี่ร้อยบาทถ้วน)</v>
      </c>
      <c r="F20" s="1117"/>
      <c r="G20" s="1101"/>
      <c r="H20" s="1092"/>
      <c r="I20" s="1092"/>
      <c r="K20" s="1100">
        <f>สรุปงวด!P37</f>
        <v>40.19</v>
      </c>
      <c r="L20" s="1102">
        <f>L$5*K20/100</f>
        <v>3898430</v>
      </c>
      <c r="M20" s="1102">
        <f>INT((L20)/100)*100</f>
        <v>3898400</v>
      </c>
    </row>
    <row r="21" spans="1:13" s="1102" customFormat="1">
      <c r="A21" s="1099"/>
      <c r="B21" s="1103" t="s">
        <v>768</v>
      </c>
      <c r="C21" s="1092"/>
      <c r="D21" s="1092"/>
      <c r="E21" s="1092"/>
      <c r="F21" s="1092"/>
      <c r="G21" s="1092"/>
      <c r="H21" s="1095"/>
      <c r="I21" s="1096"/>
    </row>
    <row r="22" spans="1:13" s="1102" customFormat="1">
      <c r="A22" s="1096"/>
      <c r="B22" s="1092" t="s">
        <v>1440</v>
      </c>
      <c r="C22" s="1092"/>
      <c r="D22" s="1092"/>
      <c r="E22" s="1092"/>
      <c r="F22" s="1092"/>
      <c r="G22" s="1104">
        <f>สรุปงวด!N13</f>
        <v>0.5</v>
      </c>
      <c r="H22" s="1092" t="s">
        <v>418</v>
      </c>
    </row>
    <row r="23" spans="1:13" s="1102" customFormat="1">
      <c r="A23" s="1096"/>
      <c r="B23" s="1092" t="s">
        <v>1461</v>
      </c>
      <c r="C23" s="1092"/>
      <c r="D23" s="1092"/>
      <c r="E23" s="1092"/>
      <c r="F23" s="1092"/>
      <c r="G23" s="1104">
        <f>สรุปงวด!N14</f>
        <v>0.5</v>
      </c>
      <c r="H23" s="1093" t="s">
        <v>418</v>
      </c>
    </row>
    <row r="24" spans="1:13" s="1102" customFormat="1">
      <c r="A24" s="1096"/>
      <c r="B24" s="1092" t="s">
        <v>774</v>
      </c>
      <c r="C24" s="1092"/>
      <c r="D24" s="1108">
        <f>สรุปงวด!P6</f>
        <v>60</v>
      </c>
      <c r="E24" s="1092" t="s">
        <v>775</v>
      </c>
      <c r="F24" s="1092"/>
      <c r="G24" s="1096"/>
      <c r="H24" s="1096"/>
    </row>
    <row r="25" spans="1:13" s="1102" customFormat="1">
      <c r="A25" s="1099" t="s">
        <v>777</v>
      </c>
      <c r="B25" s="1092" t="s">
        <v>222</v>
      </c>
      <c r="C25" s="1115">
        <f>M25</f>
        <v>3898400</v>
      </c>
      <c r="D25" s="1116" t="s">
        <v>918</v>
      </c>
      <c r="E25" s="930" t="str">
        <f>"("&amp;BAHTTEXT(C25)&amp;")"</f>
        <v>(สามล้านแปดแสนเก้าหมื่นแปดพันสี่ร้อยบาทถ้วน)</v>
      </c>
      <c r="F25" s="1117"/>
      <c r="G25" s="1101"/>
      <c r="H25" s="1092"/>
      <c r="I25" s="1092"/>
      <c r="K25" s="1100">
        <f>สรุปงวด!S37</f>
        <v>40.19</v>
      </c>
      <c r="L25" s="1102">
        <f>L$5*K25/100</f>
        <v>3898430</v>
      </c>
      <c r="M25" s="1102">
        <f>INT((L25)/100)*100</f>
        <v>3898400</v>
      </c>
    </row>
    <row r="26" spans="1:13" s="1102" customFormat="1">
      <c r="A26" s="1099"/>
      <c r="B26" s="1103" t="s">
        <v>768</v>
      </c>
      <c r="C26" s="1092"/>
      <c r="D26" s="1092"/>
      <c r="E26" s="1092"/>
      <c r="F26" s="1092"/>
      <c r="G26" s="1092"/>
      <c r="H26" s="1095"/>
      <c r="I26" s="1096"/>
    </row>
    <row r="27" spans="1:13" s="1102" customFormat="1">
      <c r="A27" s="1099"/>
      <c r="B27" s="1092" t="s">
        <v>222</v>
      </c>
      <c r="C27" s="1115">
        <f>M27+100</f>
        <v>3898500</v>
      </c>
      <c r="D27" s="1116" t="s">
        <v>918</v>
      </c>
      <c r="E27" s="930" t="str">
        <f>"("&amp;BAHTTEXT(C27)&amp;")"</f>
        <v>(สามล้านแปดแสนเก้าหมื่นแปดพันห้าร้อยบาทถ้วน)</v>
      </c>
      <c r="F27" s="1117"/>
      <c r="G27" s="1092"/>
      <c r="H27" s="1095"/>
      <c r="I27" s="1096"/>
      <c r="K27" s="1100">
        <f>สรุปงวด!S14</f>
        <v>40.19</v>
      </c>
      <c r="L27" s="1102">
        <f>L$5*K27/100</f>
        <v>3898430</v>
      </c>
      <c r="M27" s="1102">
        <f>INT((L27)/100)*100</f>
        <v>3898400</v>
      </c>
    </row>
    <row r="28" spans="1:13" s="1102" customFormat="1">
      <c r="A28" s="1099"/>
      <c r="B28" s="1092" t="s">
        <v>1461</v>
      </c>
      <c r="C28" s="1092"/>
      <c r="D28" s="1092"/>
      <c r="E28" s="1092"/>
      <c r="F28" s="1092"/>
      <c r="G28" s="1104">
        <f>สรุปงวด!Q14</f>
        <v>0.5</v>
      </c>
      <c r="H28" s="1093" t="s">
        <v>418</v>
      </c>
    </row>
    <row r="29" spans="1:13" s="1102" customFormat="1">
      <c r="A29" s="1099"/>
      <c r="B29" s="1103" t="s">
        <v>1138</v>
      </c>
      <c r="C29" s="1092"/>
      <c r="D29" s="1092"/>
      <c r="E29" s="1092"/>
      <c r="F29" s="1092"/>
      <c r="G29" s="1095"/>
      <c r="H29" s="1096"/>
    </row>
    <row r="30" spans="1:13" s="1102" customFormat="1">
      <c r="A30" s="1099"/>
      <c r="B30" s="1092" t="s">
        <v>222</v>
      </c>
      <c r="C30" s="1115">
        <f>M30</f>
        <v>0</v>
      </c>
      <c r="D30" s="1116" t="s">
        <v>918</v>
      </c>
      <c r="E30" s="930" t="str">
        <f>"("&amp;BAHTTEXT(C30)&amp;")"</f>
        <v>(ศูนย์บาทถ้วน)</v>
      </c>
      <c r="F30" s="1117"/>
      <c r="G30" s="1092"/>
      <c r="H30" s="1092"/>
      <c r="K30" s="1100">
        <f>สรุปงวด!S17</f>
        <v>0</v>
      </c>
      <c r="L30" s="1102">
        <f>L$5*K30/100</f>
        <v>0</v>
      </c>
      <c r="M30" s="1102">
        <f>INT((L30)/100)*100</f>
        <v>0</v>
      </c>
    </row>
    <row r="31" spans="1:13" s="1102" customFormat="1">
      <c r="A31" s="1099"/>
      <c r="B31" s="1092" t="s">
        <v>1465</v>
      </c>
      <c r="C31" s="1092"/>
      <c r="D31" s="1092"/>
      <c r="E31" s="1092"/>
      <c r="F31" s="1092"/>
      <c r="G31" s="1104">
        <f>สรุปงวด!Q17</f>
        <v>1</v>
      </c>
      <c r="H31" s="1092" t="s">
        <v>418</v>
      </c>
    </row>
    <row r="32" spans="1:13" s="1102" customFormat="1">
      <c r="A32" s="1096"/>
      <c r="B32" s="1092" t="s">
        <v>774</v>
      </c>
      <c r="C32" s="1092"/>
      <c r="D32" s="1108">
        <f>สรุปงวด!S6</f>
        <v>75</v>
      </c>
      <c r="E32" s="1092" t="s">
        <v>775</v>
      </c>
      <c r="F32" s="1092"/>
      <c r="G32" s="1096"/>
      <c r="H32" s="1096"/>
    </row>
    <row r="33" spans="1:13" s="1102" customFormat="1">
      <c r="A33" s="1099" t="s">
        <v>1150</v>
      </c>
      <c r="B33" s="1092" t="s">
        <v>222</v>
      </c>
      <c r="C33" s="1115">
        <f>M33</f>
        <v>0</v>
      </c>
      <c r="D33" s="1116" t="s">
        <v>918</v>
      </c>
      <c r="E33" s="930" t="str">
        <f>"("&amp;BAHTTEXT(C33)&amp;")"</f>
        <v>(ศูนย์บาทถ้วน)</v>
      </c>
      <c r="F33" s="1117"/>
      <c r="G33" s="1101"/>
      <c r="H33" s="1092"/>
      <c r="I33" s="1092"/>
      <c r="K33" s="1100">
        <f>สรุปงวด!V37</f>
        <v>0</v>
      </c>
      <c r="L33" s="1102">
        <f>L$5*K33/100</f>
        <v>0</v>
      </c>
      <c r="M33" s="1102">
        <f>INT((L33)/100)*100</f>
        <v>0</v>
      </c>
    </row>
    <row r="34" spans="1:13" s="1102" customFormat="1">
      <c r="A34" s="1099"/>
      <c r="B34" s="1103" t="s">
        <v>1139</v>
      </c>
      <c r="C34" s="1092"/>
      <c r="D34" s="1092"/>
      <c r="E34" s="1092"/>
      <c r="F34" s="1092"/>
      <c r="G34" s="1095"/>
      <c r="H34" s="1096"/>
    </row>
    <row r="35" spans="1:13" s="1102" customFormat="1">
      <c r="A35" s="1099"/>
      <c r="B35" s="1092" t="s">
        <v>1468</v>
      </c>
      <c r="C35" s="1092"/>
      <c r="D35" s="1092"/>
      <c r="E35" s="1092"/>
      <c r="F35" s="1092"/>
    </row>
    <row r="36" spans="1:13" s="1102" customFormat="1">
      <c r="A36" s="1099"/>
      <c r="B36" s="1092" t="s">
        <v>1466</v>
      </c>
      <c r="C36" s="1092"/>
      <c r="D36" s="1092"/>
      <c r="E36" s="1092"/>
      <c r="F36" s="1092"/>
      <c r="G36" s="1104">
        <f>สรุปงวด!T20</f>
        <v>1</v>
      </c>
      <c r="H36" s="1092" t="s">
        <v>418</v>
      </c>
    </row>
    <row r="37" spans="1:13" s="1102" customFormat="1">
      <c r="A37" s="1096"/>
      <c r="B37" s="1092" t="s">
        <v>774</v>
      </c>
      <c r="C37" s="1092"/>
      <c r="D37" s="1108">
        <f>สรุปงวด!V6</f>
        <v>85</v>
      </c>
      <c r="E37" s="1092" t="s">
        <v>775</v>
      </c>
      <c r="F37" s="1092"/>
      <c r="G37" s="1096"/>
      <c r="H37" s="1096"/>
    </row>
    <row r="38" spans="1:13" s="1102" customFormat="1">
      <c r="A38" s="1099" t="s">
        <v>1151</v>
      </c>
      <c r="B38" s="1092" t="s">
        <v>222</v>
      </c>
      <c r="C38" s="1115">
        <f>M38</f>
        <v>0</v>
      </c>
      <c r="D38" s="1116" t="s">
        <v>918</v>
      </c>
      <c r="E38" s="930" t="str">
        <f>"("&amp;BAHTTEXT(C38)&amp;")"</f>
        <v>(ศูนย์บาทถ้วน)</v>
      </c>
      <c r="F38" s="1117"/>
      <c r="G38" s="1101"/>
      <c r="H38" s="1092"/>
      <c r="I38" s="1092"/>
      <c r="K38" s="1100">
        <f>สรุปงวด!Y37</f>
        <v>0</v>
      </c>
      <c r="L38" s="1102">
        <f>L$5*K38/100</f>
        <v>0</v>
      </c>
      <c r="M38" s="1102">
        <f>INT((L38)/100)*100</f>
        <v>0</v>
      </c>
    </row>
    <row r="39" spans="1:13" s="1102" customFormat="1">
      <c r="A39" s="1099"/>
      <c r="B39" s="1103" t="s">
        <v>1138</v>
      </c>
      <c r="C39" s="1092"/>
      <c r="D39" s="1092"/>
      <c r="E39" s="1092"/>
      <c r="F39" s="1092"/>
      <c r="G39" s="1095"/>
      <c r="H39" s="1096"/>
    </row>
    <row r="40" spans="1:13" s="1102" customFormat="1">
      <c r="A40" s="1099"/>
      <c r="B40" s="1092" t="s">
        <v>222</v>
      </c>
      <c r="C40" s="1115">
        <f>M40</f>
        <v>0</v>
      </c>
      <c r="D40" s="1116" t="s">
        <v>918</v>
      </c>
      <c r="E40" s="930" t="str">
        <f>"("&amp;BAHTTEXT(C40)&amp;")"</f>
        <v>(ศูนย์บาทถ้วน)</v>
      </c>
      <c r="F40" s="1117"/>
      <c r="G40" s="1092"/>
      <c r="H40" s="1092"/>
      <c r="K40" s="1100">
        <f>สรุปงวด!Y18</f>
        <v>0</v>
      </c>
      <c r="L40" s="1102">
        <f>L$5*K40/100</f>
        <v>0</v>
      </c>
      <c r="M40" s="1102">
        <f>INT((L40)/100)*100</f>
        <v>0</v>
      </c>
    </row>
    <row r="41" spans="1:13" s="1102" customFormat="1">
      <c r="A41" s="1099"/>
      <c r="B41" s="1092" t="s">
        <v>1467</v>
      </c>
      <c r="C41" s="1092"/>
      <c r="D41" s="1092"/>
      <c r="E41" s="1092"/>
      <c r="F41" s="1092"/>
      <c r="G41" s="1104">
        <f>สรุปงวด!W18</f>
        <v>0.9</v>
      </c>
      <c r="H41" s="1092" t="s">
        <v>418</v>
      </c>
    </row>
    <row r="42" spans="1:13" s="1102" customFormat="1">
      <c r="A42" s="1099"/>
      <c r="B42" s="1103" t="s">
        <v>1139</v>
      </c>
      <c r="C42" s="1092"/>
      <c r="D42" s="1092"/>
      <c r="E42" s="1092"/>
      <c r="F42" s="1092"/>
      <c r="G42" s="1095"/>
      <c r="H42" s="1096"/>
    </row>
    <row r="43" spans="1:13" s="1102" customFormat="1">
      <c r="A43" s="1099"/>
      <c r="B43" s="1092" t="s">
        <v>222</v>
      </c>
      <c r="C43" s="1115">
        <f>M43</f>
        <v>0</v>
      </c>
      <c r="D43" s="1116" t="s">
        <v>918</v>
      </c>
      <c r="E43" s="930" t="str">
        <f>"("&amp;BAHTTEXT(C43)&amp;")"</f>
        <v>(ศูนย์บาทถ้วน)</v>
      </c>
      <c r="F43" s="1117"/>
      <c r="G43" s="1092"/>
      <c r="H43" s="1096"/>
      <c r="K43" s="1100">
        <f>สรุปงวด!Y21</f>
        <v>0</v>
      </c>
      <c r="L43" s="1102">
        <f>L$5*K43/100</f>
        <v>0</v>
      </c>
      <c r="M43" s="1102">
        <f>INT((L43)/100)*100</f>
        <v>0</v>
      </c>
    </row>
    <row r="44" spans="1:13" s="1102" customFormat="1">
      <c r="A44" s="1099"/>
      <c r="B44" s="1092" t="s">
        <v>1469</v>
      </c>
      <c r="C44" s="1092"/>
      <c r="D44" s="1092"/>
      <c r="E44" s="1092"/>
      <c r="F44" s="1092"/>
    </row>
    <row r="45" spans="1:13" s="1102" customFormat="1">
      <c r="A45" s="1099"/>
      <c r="B45" s="1092" t="s">
        <v>1466</v>
      </c>
      <c r="C45" s="1092"/>
      <c r="D45" s="1092"/>
      <c r="E45" s="1092"/>
      <c r="F45" s="1092"/>
      <c r="G45" s="1104">
        <f>สรุปงวด!W21</f>
        <v>0.9</v>
      </c>
      <c r="H45" s="1092" t="s">
        <v>418</v>
      </c>
    </row>
    <row r="46" spans="1:13" s="1102" customFormat="1">
      <c r="A46" s="1096"/>
      <c r="B46" s="1092" t="s">
        <v>774</v>
      </c>
      <c r="C46" s="1092"/>
      <c r="D46" s="1108">
        <f>สรุปงวด!AB6</f>
        <v>105</v>
      </c>
      <c r="E46" s="1092" t="s">
        <v>775</v>
      </c>
      <c r="F46" s="1092"/>
      <c r="G46" s="1096"/>
      <c r="H46" s="1096"/>
    </row>
    <row r="47" spans="1:13" s="1102" customFormat="1">
      <c r="A47" s="1099" t="s">
        <v>1223</v>
      </c>
      <c r="B47" s="1092" t="s">
        <v>222</v>
      </c>
      <c r="C47" s="1115">
        <f>M47</f>
        <v>0</v>
      </c>
      <c r="D47" s="1116" t="s">
        <v>918</v>
      </c>
      <c r="E47" s="930" t="str">
        <f>"("&amp;BAHTTEXT(C47)&amp;")"</f>
        <v>(ศูนย์บาทถ้วน)</v>
      </c>
      <c r="F47" s="1117"/>
      <c r="G47" s="1101"/>
      <c r="H47" s="1092"/>
      <c r="I47" s="1092"/>
      <c r="K47" s="1100">
        <f>สรุปงวด!AB37</f>
        <v>0</v>
      </c>
      <c r="L47" s="1102">
        <f>L$5*K47/100</f>
        <v>0</v>
      </c>
      <c r="M47" s="1102">
        <f>INT((L47)/100)*100</f>
        <v>0</v>
      </c>
    </row>
    <row r="48" spans="1:13" s="1102" customFormat="1">
      <c r="A48" s="1099"/>
      <c r="B48" s="1103" t="s">
        <v>1138</v>
      </c>
      <c r="C48" s="1092"/>
      <c r="D48" s="1092"/>
      <c r="E48" s="1092"/>
      <c r="F48" s="1092"/>
      <c r="G48" s="1095"/>
      <c r="H48" s="1096"/>
    </row>
    <row r="49" spans="1:14" s="1102" customFormat="1">
      <c r="A49" s="1099"/>
      <c r="B49" s="1092" t="s">
        <v>222</v>
      </c>
      <c r="C49" s="1115">
        <f>M49</f>
        <v>0</v>
      </c>
      <c r="D49" s="1116" t="s">
        <v>918</v>
      </c>
      <c r="E49" s="930" t="str">
        <f>"("&amp;BAHTTEXT(C49)&amp;")"</f>
        <v>(ศูนย์บาทถ้วน)</v>
      </c>
      <c r="F49" s="1117"/>
      <c r="G49" s="1092"/>
      <c r="H49" s="1092"/>
      <c r="K49" s="1100">
        <f>สรุปงวด!AB18</f>
        <v>0</v>
      </c>
      <c r="L49" s="1102">
        <f>L$5*K49/100</f>
        <v>0</v>
      </c>
      <c r="M49" s="1102">
        <f>INT((L49)/100)*100</f>
        <v>0</v>
      </c>
    </row>
    <row r="50" spans="1:14" s="1102" customFormat="1">
      <c r="A50" s="1099"/>
      <c r="B50" s="1092" t="s">
        <v>1467</v>
      </c>
      <c r="C50" s="1092"/>
      <c r="D50" s="1092"/>
      <c r="E50" s="1092"/>
      <c r="F50" s="1092"/>
      <c r="G50" s="1104">
        <f>สรุปงวด!Z18</f>
        <v>0.9</v>
      </c>
      <c r="H50" s="1092" t="s">
        <v>418</v>
      </c>
    </row>
    <row r="51" spans="1:14" s="1102" customFormat="1">
      <c r="A51" s="1099"/>
      <c r="B51" s="1103" t="s">
        <v>1139</v>
      </c>
      <c r="C51" s="1092"/>
      <c r="D51" s="1092"/>
      <c r="E51" s="1092"/>
      <c r="F51" s="1092"/>
      <c r="G51" s="1095"/>
      <c r="H51" s="1096"/>
    </row>
    <row r="52" spans="1:14" s="1102" customFormat="1">
      <c r="A52" s="1099"/>
      <c r="B52" s="1092" t="s">
        <v>222</v>
      </c>
      <c r="C52" s="1115">
        <f>M52</f>
        <v>0</v>
      </c>
      <c r="D52" s="1116" t="s">
        <v>918</v>
      </c>
      <c r="E52" s="930" t="str">
        <f>"("&amp;BAHTTEXT(C52)&amp;")"</f>
        <v>(ศูนย์บาทถ้วน)</v>
      </c>
      <c r="F52" s="1117"/>
      <c r="G52" s="1092"/>
      <c r="H52" s="1096"/>
      <c r="K52" s="1100">
        <f>สรุปงวด!AB21</f>
        <v>0</v>
      </c>
      <c r="L52" s="1102">
        <f>L$5*K52/100</f>
        <v>0</v>
      </c>
      <c r="M52" s="1102">
        <f>INT((L52)/100)*100</f>
        <v>0</v>
      </c>
    </row>
    <row r="53" spans="1:14" s="1102" customFormat="1">
      <c r="A53" s="1099"/>
      <c r="B53" s="1092" t="s">
        <v>1469</v>
      </c>
      <c r="C53" s="1092"/>
      <c r="D53" s="1092"/>
      <c r="E53" s="1092"/>
      <c r="F53" s="1092"/>
    </row>
    <row r="54" spans="1:14" s="1102" customFormat="1">
      <c r="A54" s="1099"/>
      <c r="B54" s="1092" t="s">
        <v>1466</v>
      </c>
      <c r="C54" s="1092"/>
      <c r="D54" s="1092"/>
      <c r="E54" s="1092"/>
      <c r="F54" s="1092"/>
      <c r="G54" s="1104">
        <f>สรุปงวด!Z21</f>
        <v>0.9</v>
      </c>
      <c r="H54" s="1092" t="s">
        <v>418</v>
      </c>
    </row>
    <row r="55" spans="1:14" s="1102" customFormat="1">
      <c r="A55" s="1096"/>
      <c r="B55" s="1092" t="s">
        <v>774</v>
      </c>
      <c r="C55" s="1092"/>
      <c r="D55" s="1108">
        <f>สรุปงวด!AB6</f>
        <v>105</v>
      </c>
      <c r="E55" s="1092" t="s">
        <v>775</v>
      </c>
      <c r="F55" s="1092"/>
      <c r="G55" s="1096"/>
      <c r="H55" s="1096"/>
      <c r="J55" s="1110">
        <f>K56+C54+K38+K33+K25+K20+K10</f>
        <v>100</v>
      </c>
    </row>
    <row r="56" spans="1:14" s="1102" customFormat="1">
      <c r="A56" s="1099" t="s">
        <v>1462</v>
      </c>
      <c r="B56" s="1092" t="s">
        <v>222</v>
      </c>
      <c r="C56" s="1115">
        <f>M56+300</f>
        <v>870300</v>
      </c>
      <c r="D56" s="1116" t="s">
        <v>918</v>
      </c>
      <c r="E56" s="930" t="str">
        <f>"("&amp;BAHTTEXT(C56)&amp;")"</f>
        <v>(แปดแสนเจ็ดหมื่นสามร้อยบาทถ้วน)</v>
      </c>
      <c r="F56" s="1117"/>
      <c r="G56" s="1101"/>
      <c r="H56" s="1092"/>
      <c r="I56" s="1092"/>
      <c r="J56" s="1111">
        <f>K58+K63+K67+K71</f>
        <v>8.9700000000000006</v>
      </c>
      <c r="K56" s="1101">
        <f>สรุปงวด!BX37</f>
        <v>8.9700000000000006</v>
      </c>
      <c r="L56" s="1102">
        <f>L$5*K56/100</f>
        <v>870090</v>
      </c>
      <c r="M56" s="1102">
        <f>INT((L56)/100)*100</f>
        <v>870000</v>
      </c>
      <c r="N56" s="1115">
        <f>C10+C20+C25+C33+C38+C47+C56</f>
        <v>9700100</v>
      </c>
    </row>
    <row r="57" spans="1:14" s="1102" customFormat="1">
      <c r="A57" s="1099"/>
      <c r="B57" s="1103" t="s">
        <v>768</v>
      </c>
      <c r="C57" s="1092"/>
      <c r="D57" s="1092"/>
      <c r="E57" s="1092"/>
      <c r="F57" s="1092"/>
      <c r="G57" s="1092"/>
      <c r="H57" s="1095"/>
      <c r="I57" s="1096"/>
      <c r="N57" s="1115">
        <f>L5-N56</f>
        <v>-100</v>
      </c>
    </row>
    <row r="58" spans="1:14" s="1102" customFormat="1">
      <c r="A58" s="1099"/>
      <c r="B58" s="1092" t="s">
        <v>222</v>
      </c>
      <c r="C58" s="1115">
        <f>M58</f>
        <v>870000</v>
      </c>
      <c r="D58" s="1116" t="s">
        <v>918</v>
      </c>
      <c r="E58" s="930" t="str">
        <f>"("&amp;BAHTTEXT(C58)&amp;")"</f>
        <v>(แปดแสนเจ็ดหมื่นบาทถ้วน)</v>
      </c>
      <c r="F58" s="1117"/>
      <c r="G58" s="1101"/>
      <c r="H58" s="1092"/>
      <c r="I58" s="1092"/>
      <c r="K58" s="1100">
        <f>SUM(สรุปงวด!BX12:BX14)</f>
        <v>8.9694441955813531</v>
      </c>
      <c r="L58" s="1102">
        <f>L$5*K58/100</f>
        <v>870036.08697139134</v>
      </c>
      <c r="M58" s="1102">
        <f>INT((L58)/100)*100</f>
        <v>870000</v>
      </c>
    </row>
    <row r="59" spans="1:14" s="1102" customFormat="1">
      <c r="A59" s="1099"/>
      <c r="B59" s="1092" t="s">
        <v>1470</v>
      </c>
      <c r="C59" s="1092"/>
      <c r="D59" s="1092"/>
      <c r="E59" s="1092"/>
      <c r="F59" s="1092"/>
      <c r="G59" s="1095"/>
      <c r="H59" s="1095"/>
      <c r="I59" s="1092"/>
    </row>
    <row r="60" spans="1:14" s="1102" customFormat="1">
      <c r="A60" s="1099"/>
      <c r="B60" s="1092" t="s">
        <v>1222</v>
      </c>
      <c r="C60" s="1092"/>
      <c r="D60" s="1092"/>
      <c r="E60" s="1092"/>
      <c r="F60" s="1092"/>
      <c r="G60" s="1095"/>
      <c r="H60" s="1095"/>
      <c r="I60" s="1096"/>
    </row>
    <row r="61" spans="1:14" s="1102" customFormat="1">
      <c r="A61" s="1099"/>
      <c r="B61" s="1092" t="s">
        <v>1221</v>
      </c>
      <c r="C61" s="1092"/>
      <c r="D61" s="1092"/>
      <c r="E61" s="1092"/>
      <c r="F61" s="1092"/>
      <c r="G61" s="1095"/>
      <c r="H61" s="1095"/>
      <c r="I61" s="1096"/>
    </row>
    <row r="62" spans="1:14" s="1102" customFormat="1">
      <c r="A62" s="1096"/>
      <c r="B62" s="1103" t="s">
        <v>1140</v>
      </c>
      <c r="C62" s="1092"/>
      <c r="D62" s="1092"/>
      <c r="E62" s="1092"/>
      <c r="F62" s="1092"/>
      <c r="G62" s="1092"/>
      <c r="H62" s="1096"/>
      <c r="I62" s="1096"/>
    </row>
    <row r="63" spans="1:14" s="1102" customFormat="1">
      <c r="A63" s="1096"/>
      <c r="B63" s="1092" t="s">
        <v>222</v>
      </c>
      <c r="C63" s="1115">
        <f>M63</f>
        <v>0</v>
      </c>
      <c r="D63" s="1116" t="s">
        <v>918</v>
      </c>
      <c r="E63" s="930" t="str">
        <f>"("&amp;BAHTTEXT(C63)&amp;")"</f>
        <v>(ศูนย์บาทถ้วน)</v>
      </c>
      <c r="F63" s="1117"/>
      <c r="G63" s="1096"/>
      <c r="H63" s="1096"/>
      <c r="I63" s="1092"/>
      <c r="K63" s="1100">
        <f>SUM(สรุปงวด!BX17:BX18)</f>
        <v>0</v>
      </c>
      <c r="L63" s="1102">
        <f>L$5*K63/100</f>
        <v>0</v>
      </c>
      <c r="M63" s="1102">
        <f>INT((L63)/100)*100</f>
        <v>0</v>
      </c>
    </row>
    <row r="64" spans="1:14" s="1102" customFormat="1">
      <c r="A64" s="1096"/>
      <c r="B64" s="1092" t="s">
        <v>1471</v>
      </c>
      <c r="C64" s="1092"/>
      <c r="D64" s="1092"/>
      <c r="E64" s="1092"/>
      <c r="F64" s="1092"/>
      <c r="G64" s="1092"/>
      <c r="H64" s="1096"/>
      <c r="I64" s="1096"/>
    </row>
    <row r="65" spans="1:14" s="1102" customFormat="1">
      <c r="A65" s="1096"/>
      <c r="B65" s="1092" t="s">
        <v>1141</v>
      </c>
      <c r="C65" s="1092"/>
      <c r="D65" s="1092"/>
      <c r="E65" s="1092"/>
      <c r="F65" s="1092"/>
      <c r="G65" s="1092"/>
      <c r="H65" s="1096"/>
      <c r="I65" s="1096"/>
    </row>
    <row r="66" spans="1:14" s="1102" customFormat="1">
      <c r="A66" s="1096"/>
      <c r="B66" s="1103" t="s">
        <v>1139</v>
      </c>
      <c r="C66" s="1092"/>
      <c r="D66" s="1092"/>
      <c r="E66" s="1092"/>
      <c r="F66" s="1092"/>
      <c r="G66" s="1092"/>
      <c r="H66" s="1096"/>
      <c r="I66" s="1096"/>
    </row>
    <row r="67" spans="1:14" s="1102" customFormat="1">
      <c r="A67" s="1096"/>
      <c r="B67" s="1092" t="s">
        <v>222</v>
      </c>
      <c r="C67" s="1115">
        <f>M67</f>
        <v>0</v>
      </c>
      <c r="D67" s="1116" t="s">
        <v>918</v>
      </c>
      <c r="E67" s="930" t="str">
        <f>"("&amp;BAHTTEXT(C67)&amp;")"</f>
        <v>(ศูนย์บาทถ้วน)</v>
      </c>
      <c r="F67" s="1117"/>
      <c r="G67" s="1096"/>
      <c r="H67" s="1096"/>
      <c r="I67" s="1092"/>
      <c r="K67" s="1100">
        <f>SUM(สรุปงวด!BX20:BX21)</f>
        <v>0</v>
      </c>
      <c r="L67" s="1102">
        <f>L$5*K67/100</f>
        <v>0</v>
      </c>
      <c r="M67" s="1102">
        <f>INT((L67)/100)*100</f>
        <v>0</v>
      </c>
    </row>
    <row r="68" spans="1:14" s="1102" customFormat="1">
      <c r="A68" s="1096"/>
      <c r="B68" s="1092" t="s">
        <v>1472</v>
      </c>
      <c r="C68" s="1092"/>
      <c r="D68" s="1092"/>
      <c r="E68" s="1092"/>
      <c r="F68" s="1092"/>
      <c r="G68" s="1092"/>
      <c r="H68" s="1096"/>
      <c r="I68" s="1096"/>
    </row>
    <row r="69" spans="1:14" s="1102" customFormat="1">
      <c r="A69" s="1096"/>
      <c r="B69" s="1092" t="s">
        <v>1141</v>
      </c>
      <c r="C69" s="1092"/>
      <c r="D69" s="1092"/>
      <c r="E69" s="1092"/>
      <c r="F69" s="1092"/>
      <c r="G69" s="1092"/>
      <c r="H69" s="1096"/>
      <c r="I69" s="1096"/>
    </row>
    <row r="70" spans="1:14" s="1102" customFormat="1">
      <c r="A70" s="1096"/>
      <c r="B70" s="1103" t="s">
        <v>1438</v>
      </c>
      <c r="C70" s="1092"/>
      <c r="D70" s="1092"/>
      <c r="E70" s="1092"/>
      <c r="F70" s="1092"/>
      <c r="G70" s="1092"/>
      <c r="H70" s="1096"/>
      <c r="I70" s="1096"/>
    </row>
    <row r="71" spans="1:14" s="1102" customFormat="1">
      <c r="A71" s="1096"/>
      <c r="B71" s="1092" t="s">
        <v>222</v>
      </c>
      <c r="C71" s="1115">
        <f>M71+400</f>
        <v>400</v>
      </c>
      <c r="D71" s="1116" t="s">
        <v>918</v>
      </c>
      <c r="E71" s="930" t="str">
        <f>"("&amp;BAHTTEXT(C71)&amp;")"</f>
        <v>(สี่ร้อยบาทถ้วน)</v>
      </c>
      <c r="F71" s="1117"/>
      <c r="G71" s="1096"/>
      <c r="H71" s="1096"/>
      <c r="I71" s="1092"/>
      <c r="K71" s="1100">
        <f>K56-K58-K63-K67</f>
        <v>5.5580441864755414E-4</v>
      </c>
      <c r="L71" s="1102">
        <f>L$5*K71/100</f>
        <v>53.913028608812759</v>
      </c>
      <c r="M71" s="1102">
        <f>INT((L71)/100)*100</f>
        <v>0</v>
      </c>
    </row>
    <row r="72" spans="1:14" s="1102" customFormat="1">
      <c r="A72" s="1096"/>
      <c r="B72" s="1107" t="s">
        <v>1473</v>
      </c>
      <c r="C72" s="1107"/>
      <c r="D72" s="1107"/>
      <c r="E72" s="1107"/>
      <c r="F72" s="1107"/>
      <c r="G72" s="1107"/>
      <c r="H72" s="1107"/>
      <c r="I72" s="1107"/>
      <c r="M72" s="1115"/>
      <c r="N72" s="1115"/>
    </row>
    <row r="73" spans="1:14" s="1102" customFormat="1">
      <c r="A73" s="1096"/>
      <c r="B73" s="1107" t="s">
        <v>1463</v>
      </c>
      <c r="C73" s="1107"/>
      <c r="D73" s="1107"/>
      <c r="E73" s="1107"/>
      <c r="F73" s="1107"/>
      <c r="G73" s="1107"/>
      <c r="H73" s="1107"/>
      <c r="I73" s="1107"/>
    </row>
    <row r="74" spans="1:14" s="1102" customFormat="1">
      <c r="A74" s="1096"/>
      <c r="B74" s="1092" t="s">
        <v>1464</v>
      </c>
      <c r="C74" s="1092"/>
      <c r="D74" s="1092"/>
      <c r="E74" s="1092"/>
      <c r="F74" s="1092"/>
      <c r="G74" s="1092"/>
      <c r="H74" s="1096"/>
      <c r="I74" s="1096"/>
    </row>
    <row r="75" spans="1:14" s="1102" customFormat="1">
      <c r="A75" s="1096"/>
      <c r="B75" s="1092" t="s">
        <v>1442</v>
      </c>
      <c r="C75" s="1092"/>
      <c r="D75" s="1092"/>
      <c r="E75" s="1092"/>
      <c r="F75" s="1092"/>
      <c r="G75" s="1092"/>
      <c r="H75" s="1096"/>
      <c r="I75" s="1096"/>
    </row>
    <row r="76" spans="1:14" s="1102" customFormat="1">
      <c r="A76" s="1096"/>
      <c r="B76" s="1092" t="s">
        <v>1443</v>
      </c>
      <c r="C76" s="1092"/>
      <c r="D76" s="1092"/>
      <c r="E76" s="1092"/>
      <c r="F76" s="1092"/>
      <c r="G76" s="1092"/>
      <c r="H76" s="1096"/>
      <c r="I76" s="1096"/>
    </row>
    <row r="77" spans="1:14" s="1102" customFormat="1">
      <c r="A77" s="1092"/>
      <c r="B77" s="1092" t="s">
        <v>774</v>
      </c>
      <c r="C77" s="1092"/>
      <c r="D77" s="1108">
        <f>สรุปงวด!AE6</f>
        <v>120</v>
      </c>
      <c r="E77" s="1092" t="s">
        <v>775</v>
      </c>
      <c r="F77" s="1092"/>
      <c r="G77" s="1092"/>
      <c r="H77" s="1096"/>
      <c r="I77" s="1096"/>
    </row>
    <row r="78" spans="1:14" s="1102" customFormat="1">
      <c r="A78" s="1092"/>
      <c r="B78" s="1092"/>
      <c r="C78" s="1092" t="s">
        <v>1142</v>
      </c>
      <c r="D78" s="1092"/>
      <c r="E78" s="1092"/>
      <c r="F78" s="1092"/>
      <c r="G78" s="1092"/>
      <c r="H78" s="1092"/>
      <c r="I78" s="1092"/>
    </row>
    <row r="79" spans="1:14" s="1102" customFormat="1">
      <c r="A79" s="1092"/>
      <c r="B79" s="1092"/>
      <c r="C79" s="2266" t="str">
        <f>"    ( "&amp;กรอกข้อมูล!B20&amp;" )"</f>
        <v xml:space="preserve">    ( นายวัชระ  คำแดง )</v>
      </c>
      <c r="D79" s="2266"/>
      <c r="E79" s="1092" t="str">
        <f>กรอกข้อมูล!D20</f>
        <v>ผู้อำนวยการกองช่าง</v>
      </c>
      <c r="F79" s="1092"/>
      <c r="G79" s="1092"/>
      <c r="H79" s="1109"/>
      <c r="I79" s="1109"/>
    </row>
    <row r="80" spans="1:14" s="1102" customFormat="1">
      <c r="A80" s="1092"/>
      <c r="B80" s="1092"/>
      <c r="C80" s="1092" t="s">
        <v>1143</v>
      </c>
      <c r="D80" s="1092"/>
      <c r="E80" s="1092"/>
      <c r="F80" s="1092"/>
      <c r="G80" s="1092"/>
      <c r="H80" s="1092"/>
      <c r="I80" s="1092"/>
    </row>
    <row r="81" spans="1:9" s="1102" customFormat="1">
      <c r="A81" s="1092"/>
      <c r="B81" s="1092"/>
      <c r="C81" s="2266" t="str">
        <f>"    ( "&amp;กรอกข้อมูล!B22&amp;" )"</f>
        <v xml:space="preserve">    ( นายวัชระ  คำแดง )</v>
      </c>
      <c r="D81" s="2266"/>
      <c r="E81" s="1092" t="str">
        <f>กรอกข้อมูล!D21</f>
        <v>ผู้อำนวยการกองช่าง</v>
      </c>
      <c r="F81" s="1092"/>
      <c r="G81" s="1092"/>
      <c r="H81" s="1092"/>
      <c r="I81" s="1092"/>
    </row>
    <row r="82" spans="1:9" s="1102" customFormat="1">
      <c r="A82" s="1092"/>
      <c r="B82" s="1092"/>
      <c r="C82" s="1092" t="s">
        <v>1144</v>
      </c>
      <c r="D82" s="1092"/>
      <c r="E82" s="1092"/>
      <c r="F82" s="1092"/>
      <c r="G82" s="1092"/>
      <c r="H82" s="1092"/>
      <c r="I82" s="1092"/>
    </row>
    <row r="83" spans="1:9" s="1102" customFormat="1">
      <c r="A83" s="1092"/>
      <c r="B83" s="1092"/>
      <c r="C83" s="2266" t="str">
        <f>"    ( "&amp;กรอกข้อมูล!B23&amp;" )"</f>
        <v xml:space="preserve">    ( นายปรีชา  กระจ่างโพธิ์ )</v>
      </c>
      <c r="D83" s="2266"/>
      <c r="E83" s="1092" t="str">
        <f>กรอกข้อมูล!D23</f>
        <v>ปลัดองค์การบริหารส่วนตำบลคลองเมือง</v>
      </c>
      <c r="F83" s="1092"/>
      <c r="G83" s="1092"/>
      <c r="H83" s="1092"/>
      <c r="I83" s="1092"/>
    </row>
    <row r="84" spans="1:9" s="1102" customFormat="1">
      <c r="A84" s="1092"/>
      <c r="B84" s="1092"/>
      <c r="C84" s="1092"/>
      <c r="D84" s="1092"/>
      <c r="E84" s="1092"/>
      <c r="F84" s="1092"/>
      <c r="G84" s="1092"/>
      <c r="H84" s="1092"/>
      <c r="I84" s="1092"/>
    </row>
    <row r="85" spans="1:9" s="1102" customFormat="1">
      <c r="A85" s="1092"/>
      <c r="B85" s="1092"/>
      <c r="C85" s="1092"/>
      <c r="D85" s="1092"/>
      <c r="E85" s="1092"/>
      <c r="F85" s="1092"/>
      <c r="G85" s="1092"/>
      <c r="H85" s="1092"/>
      <c r="I85" s="1092"/>
    </row>
    <row r="86" spans="1:9" s="1102" customFormat="1">
      <c r="A86" s="1092"/>
      <c r="B86" s="1092"/>
      <c r="C86" s="1092"/>
      <c r="D86" s="1092"/>
      <c r="E86" s="1092"/>
      <c r="F86" s="1092"/>
      <c r="G86" s="1092"/>
      <c r="H86" s="1092"/>
      <c r="I86" s="1092"/>
    </row>
  </sheetData>
  <mergeCells count="6">
    <mergeCell ref="A1:I1"/>
    <mergeCell ref="C79:D79"/>
    <mergeCell ref="C81:D81"/>
    <mergeCell ref="C83:D83"/>
    <mergeCell ref="B5:C5"/>
    <mergeCell ref="E5:F5"/>
  </mergeCells>
  <pageMargins left="0.39370078740157483" right="0.19685039370078741" top="0.39370078740157483" bottom="0.39370078740157483" header="0" footer="0"/>
  <pageSetup paperSize="9" scale="89" orientation="portrait" r:id="rId1"/>
  <headerFooter alignWithMargins="0">
    <oddHeader>&amp;Rหน้า&amp;P/&amp;N</oddHeader>
  </headerFooter>
  <rowBreaks count="1" manualBreakCount="1">
    <brk id="41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J86"/>
  <sheetViews>
    <sheetView view="pageBreakPreview" topLeftCell="A4" zoomScale="98" zoomScaleSheetLayoutView="98" workbookViewId="0">
      <selection activeCell="D76" sqref="D76"/>
    </sheetView>
  </sheetViews>
  <sheetFormatPr defaultColWidth="10.6640625" defaultRowHeight="21.75"/>
  <cols>
    <col min="1" max="1" width="19.33203125" style="1090" customWidth="1"/>
    <col min="2" max="2" width="10.6640625" style="1090" customWidth="1"/>
    <col min="3" max="3" width="16.6640625" style="1090" customWidth="1"/>
    <col min="4" max="4" width="12.6640625" style="1090" customWidth="1"/>
    <col min="5" max="5" width="22.6640625" style="1090" customWidth="1"/>
    <col min="6" max="6" width="21.6640625" style="1090" customWidth="1"/>
    <col min="7" max="7" width="9.33203125" style="1090" customWidth="1"/>
    <col min="8" max="8" width="8.6640625" style="1090" customWidth="1"/>
    <col min="9" max="9" width="10" style="1090" customWidth="1"/>
    <col min="10" max="16384" width="10.6640625" style="1090"/>
  </cols>
  <sheetData>
    <row r="1" spans="1:9" ht="23.25">
      <c r="A1" s="2265" t="s">
        <v>1127</v>
      </c>
      <c r="B1" s="2265"/>
      <c r="C1" s="2265"/>
      <c r="D1" s="2265"/>
      <c r="E1" s="2265"/>
      <c r="F1" s="2265"/>
      <c r="G1" s="2265"/>
      <c r="H1" s="2265"/>
      <c r="I1" s="2265"/>
    </row>
    <row r="2" spans="1:9">
      <c r="A2" s="1091" t="s">
        <v>468</v>
      </c>
      <c r="B2" s="1092" t="str">
        <f>'ปร.5 road'!C4</f>
        <v>ก่อสร้างถนนคอนกรีตเสริมเหล็ก</v>
      </c>
      <c r="C2" s="1092"/>
      <c r="D2" s="1092"/>
      <c r="E2" s="1093"/>
      <c r="F2" s="1092"/>
      <c r="G2" s="1092"/>
      <c r="H2" s="1092"/>
      <c r="I2" s="1092"/>
    </row>
    <row r="3" spans="1:9">
      <c r="A3" s="1089" t="s">
        <v>483</v>
      </c>
      <c r="B3" s="1112" t="str">
        <f>'ปร.5 road'!C5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D3" s="1094"/>
      <c r="E3" s="1092"/>
      <c r="F3" s="1092"/>
      <c r="G3" s="1092" t="s">
        <v>783</v>
      </c>
      <c r="H3" s="1095" t="str">
        <f>กรอกข้อมูล!B16</f>
        <v>1.400</v>
      </c>
      <c r="I3" s="1096" t="s">
        <v>418</v>
      </c>
    </row>
    <row r="4" spans="1:9">
      <c r="A4" s="1089" t="s">
        <v>1128</v>
      </c>
      <c r="B4" s="1093" t="s">
        <v>770</v>
      </c>
      <c r="C4" s="1092"/>
      <c r="D4" s="1096">
        <f>สรุปงวด!I3</f>
        <v>120</v>
      </c>
      <c r="E4" s="1092" t="s">
        <v>1129</v>
      </c>
      <c r="F4" s="1096"/>
      <c r="G4" s="1097"/>
      <c r="H4" s="1092"/>
      <c r="I4" s="1097"/>
    </row>
    <row r="5" spans="1:9">
      <c r="A5" s="1089" t="s">
        <v>1130</v>
      </c>
      <c r="B5" s="1098">
        <v>1</v>
      </c>
      <c r="C5" s="1092" t="s">
        <v>1131</v>
      </c>
      <c r="D5" s="1092"/>
      <c r="E5" s="1092"/>
      <c r="F5" s="1092" t="s">
        <v>1132</v>
      </c>
      <c r="H5" s="1092"/>
      <c r="I5" s="1092"/>
    </row>
    <row r="6" spans="1:9">
      <c r="A6" s="1092"/>
      <c r="B6" s="1092" t="s">
        <v>1133</v>
      </c>
      <c r="C6" s="1098"/>
      <c r="D6" s="1092"/>
      <c r="E6" s="1092"/>
      <c r="F6" s="1092"/>
      <c r="G6" s="1092"/>
      <c r="H6" s="1092"/>
      <c r="I6" s="1092"/>
    </row>
    <row r="7" spans="1:9">
      <c r="A7" s="1089" t="s">
        <v>771</v>
      </c>
      <c r="B7" s="1096">
        <v>7</v>
      </c>
      <c r="C7" s="1092" t="s">
        <v>772</v>
      </c>
      <c r="D7" s="1092"/>
      <c r="E7" s="1092"/>
      <c r="F7" s="1092"/>
      <c r="G7" s="1092"/>
      <c r="H7" s="1096"/>
      <c r="I7" s="1092"/>
    </row>
    <row r="8" spans="1:9">
      <c r="A8" s="1089" t="s">
        <v>1134</v>
      </c>
      <c r="B8" s="1092" t="s">
        <v>1135</v>
      </c>
      <c r="C8" s="1092"/>
      <c r="D8" s="1092"/>
      <c r="E8" s="1092"/>
      <c r="F8" s="1092"/>
      <c r="G8" s="1092"/>
      <c r="H8" s="1092"/>
      <c r="I8" s="1092"/>
    </row>
    <row r="9" spans="1:9">
      <c r="A9" s="1092"/>
      <c r="B9" s="1092" t="s">
        <v>1136</v>
      </c>
      <c r="C9" s="1092"/>
      <c r="D9" s="1092"/>
      <c r="E9" s="1092"/>
      <c r="F9" s="1092"/>
      <c r="G9" s="1092"/>
      <c r="H9" s="1092"/>
      <c r="I9" s="1092"/>
    </row>
    <row r="10" spans="1:9" s="1102" customFormat="1">
      <c r="A10" s="1099" t="s">
        <v>773</v>
      </c>
      <c r="B10" s="1092" t="s">
        <v>222</v>
      </c>
      <c r="C10" s="1100">
        <f>สรุปงวด!M37</f>
        <v>10.649999999999999</v>
      </c>
      <c r="D10" s="1092" t="s">
        <v>494</v>
      </c>
      <c r="E10" s="1092" t="s">
        <v>1137</v>
      </c>
      <c r="F10" s="1092"/>
      <c r="G10" s="1101"/>
      <c r="H10" s="1092"/>
      <c r="I10" s="1092"/>
    </row>
    <row r="11" spans="1:9" s="1102" customFormat="1">
      <c r="A11" s="1099"/>
      <c r="B11" s="1103" t="s">
        <v>768</v>
      </c>
      <c r="C11" s="1092"/>
      <c r="D11" s="1092"/>
      <c r="E11" s="1092"/>
      <c r="F11" s="1092"/>
      <c r="G11" s="1092"/>
      <c r="H11" s="1095"/>
      <c r="I11" s="1096"/>
    </row>
    <row r="12" spans="1:9" s="1102" customFormat="1">
      <c r="A12" s="1099"/>
      <c r="B12" s="1092" t="s">
        <v>222</v>
      </c>
      <c r="C12" s="1100">
        <f>สรุปงวด!M12+สรุปงวด!M13</f>
        <v>9.11</v>
      </c>
      <c r="D12" s="1092" t="s">
        <v>494</v>
      </c>
      <c r="E12" s="1092" t="s">
        <v>1137</v>
      </c>
      <c r="F12" s="1092"/>
      <c r="G12" s="1101"/>
      <c r="H12" s="1092"/>
      <c r="I12" s="1092"/>
    </row>
    <row r="13" spans="1:9" s="1102" customFormat="1">
      <c r="A13" s="1099"/>
      <c r="B13" s="1092" t="s">
        <v>1439</v>
      </c>
      <c r="C13" s="1092"/>
      <c r="D13" s="1092"/>
      <c r="E13" s="1092"/>
      <c r="F13" s="1092"/>
      <c r="G13" s="1092"/>
      <c r="H13" s="1092"/>
      <c r="I13" s="1092"/>
    </row>
    <row r="14" spans="1:9" s="1102" customFormat="1">
      <c r="A14" s="1096"/>
      <c r="B14" s="1092" t="s">
        <v>1231</v>
      </c>
      <c r="C14" s="1092"/>
      <c r="D14" s="1092"/>
      <c r="E14" s="1092"/>
      <c r="F14" s="1092"/>
      <c r="G14" s="1104">
        <f>สรุปงวด!K12</f>
        <v>1</v>
      </c>
      <c r="H14" s="1093" t="s">
        <v>418</v>
      </c>
    </row>
    <row r="15" spans="1:9" s="1102" customFormat="1">
      <c r="A15" s="1096"/>
      <c r="B15" s="1092" t="s">
        <v>1440</v>
      </c>
      <c r="C15" s="1092"/>
      <c r="D15" s="1092"/>
      <c r="E15" s="1092"/>
      <c r="F15" s="1092"/>
      <c r="G15" s="1104">
        <f>สรุปงวด!K13</f>
        <v>0.5</v>
      </c>
      <c r="H15" s="1092" t="s">
        <v>418</v>
      </c>
    </row>
    <row r="16" spans="1:9" s="1102" customFormat="1">
      <c r="A16" s="1096"/>
      <c r="B16" s="1105" t="s">
        <v>1149</v>
      </c>
      <c r="C16" s="1092"/>
      <c r="D16" s="1092"/>
      <c r="E16" s="1092"/>
      <c r="F16" s="1092"/>
      <c r="G16" s="1092"/>
      <c r="H16" s="1096"/>
      <c r="I16" s="1096"/>
    </row>
    <row r="17" spans="1:9" s="1102" customFormat="1">
      <c r="A17" s="1096"/>
      <c r="B17" s="1092" t="s">
        <v>222</v>
      </c>
      <c r="C17" s="1100">
        <f>สรุปงวด!M23</f>
        <v>1.54</v>
      </c>
      <c r="D17" s="1092" t="s">
        <v>494</v>
      </c>
      <c r="E17" s="1092" t="s">
        <v>1137</v>
      </c>
      <c r="F17" s="1106"/>
      <c r="G17" s="1096"/>
      <c r="H17" s="1096"/>
      <c r="I17" s="1092"/>
    </row>
    <row r="18" spans="1:9" s="1102" customFormat="1">
      <c r="A18" s="1096"/>
      <c r="B18" s="1092" t="s">
        <v>1441</v>
      </c>
      <c r="C18" s="1092"/>
      <c r="D18" s="1092"/>
      <c r="E18" s="1092"/>
      <c r="F18" s="1092"/>
      <c r="G18" s="1092"/>
      <c r="H18" s="1096"/>
      <c r="I18" s="1096"/>
    </row>
    <row r="19" spans="1:9" s="1102" customFormat="1">
      <c r="A19" s="1096"/>
      <c r="B19" s="1092" t="s">
        <v>774</v>
      </c>
      <c r="C19" s="1092"/>
      <c r="D19" s="1108">
        <f>สรุปงวด!M6</f>
        <v>45</v>
      </c>
      <c r="E19" s="1092" t="s">
        <v>775</v>
      </c>
      <c r="F19" s="1092"/>
      <c r="G19" s="1096"/>
      <c r="H19" s="1096"/>
    </row>
    <row r="20" spans="1:9" s="1102" customFormat="1">
      <c r="A20" s="1099" t="s">
        <v>776</v>
      </c>
      <c r="B20" s="1092" t="s">
        <v>222</v>
      </c>
      <c r="C20" s="1100">
        <f>สรุปงวด!P37</f>
        <v>40.19</v>
      </c>
      <c r="D20" s="1092" t="s">
        <v>494</v>
      </c>
      <c r="E20" s="1092" t="s">
        <v>1137</v>
      </c>
      <c r="F20" s="1092"/>
      <c r="G20" s="1101"/>
      <c r="H20" s="1092"/>
      <c r="I20" s="1092"/>
    </row>
    <row r="21" spans="1:9" s="1102" customFormat="1">
      <c r="A21" s="1099"/>
      <c r="B21" s="1103" t="s">
        <v>768</v>
      </c>
      <c r="C21" s="1092"/>
      <c r="D21" s="1092"/>
      <c r="E21" s="1092"/>
      <c r="F21" s="1092"/>
      <c r="G21" s="1092"/>
      <c r="H21" s="1095"/>
      <c r="I21" s="1096"/>
    </row>
    <row r="22" spans="1:9" s="1102" customFormat="1">
      <c r="A22" s="1096"/>
      <c r="B22" s="1092" t="s">
        <v>1440</v>
      </c>
      <c r="C22" s="1092"/>
      <c r="D22" s="1092"/>
      <c r="E22" s="1092"/>
      <c r="F22" s="1092"/>
      <c r="G22" s="1104">
        <f>สรุปงวด!N13</f>
        <v>0.5</v>
      </c>
      <c r="H22" s="1092" t="s">
        <v>418</v>
      </c>
    </row>
    <row r="23" spans="1:9" s="1102" customFormat="1">
      <c r="A23" s="1096"/>
      <c r="B23" s="1092" t="s">
        <v>1461</v>
      </c>
      <c r="C23" s="1092"/>
      <c r="D23" s="1092"/>
      <c r="E23" s="1092"/>
      <c r="F23" s="1092"/>
      <c r="G23" s="1104">
        <f>สรุปงวด!N14</f>
        <v>0.5</v>
      </c>
      <c r="H23" s="1093" t="s">
        <v>418</v>
      </c>
    </row>
    <row r="24" spans="1:9" s="1102" customFormat="1">
      <c r="A24" s="1096"/>
      <c r="B24" s="1092" t="s">
        <v>774</v>
      </c>
      <c r="C24" s="1092"/>
      <c r="D24" s="1108">
        <f>สรุปงวด!P6</f>
        <v>60</v>
      </c>
      <c r="E24" s="1092" t="s">
        <v>775</v>
      </c>
      <c r="F24" s="1092"/>
      <c r="G24" s="1096"/>
      <c r="H24" s="1096"/>
    </row>
    <row r="25" spans="1:9" s="1102" customFormat="1">
      <c r="A25" s="1099" t="s">
        <v>777</v>
      </c>
      <c r="B25" s="1092" t="s">
        <v>222</v>
      </c>
      <c r="C25" s="1100">
        <f>สรุปงวด!S37</f>
        <v>40.19</v>
      </c>
      <c r="D25" s="1092" t="s">
        <v>494</v>
      </c>
      <c r="E25" s="1092" t="s">
        <v>1137</v>
      </c>
      <c r="F25" s="1092"/>
      <c r="G25" s="1101"/>
      <c r="H25" s="1092"/>
      <c r="I25" s="1092"/>
    </row>
    <row r="26" spans="1:9" s="1102" customFormat="1">
      <c r="A26" s="1099"/>
      <c r="B26" s="1103" t="s">
        <v>768</v>
      </c>
      <c r="C26" s="1092"/>
      <c r="D26" s="1092"/>
      <c r="E26" s="1092"/>
      <c r="F26" s="1092"/>
      <c r="G26" s="1092"/>
      <c r="H26" s="1095"/>
      <c r="I26" s="1096"/>
    </row>
    <row r="27" spans="1:9" s="1102" customFormat="1">
      <c r="A27" s="1099"/>
      <c r="B27" s="1092" t="s">
        <v>222</v>
      </c>
      <c r="C27" s="1100">
        <f>สรุปงวด!S14</f>
        <v>40.19</v>
      </c>
      <c r="D27" s="1092" t="s">
        <v>494</v>
      </c>
      <c r="E27" s="1092" t="s">
        <v>1137</v>
      </c>
      <c r="F27" s="1092"/>
      <c r="G27" s="1092"/>
      <c r="H27" s="1095"/>
      <c r="I27" s="1096"/>
    </row>
    <row r="28" spans="1:9" s="1102" customFormat="1">
      <c r="A28" s="1099"/>
      <c r="B28" s="1092" t="s">
        <v>1461</v>
      </c>
      <c r="C28" s="1092"/>
      <c r="D28" s="1092"/>
      <c r="E28" s="1092"/>
      <c r="F28" s="1092"/>
      <c r="G28" s="1104">
        <f>สรุปงวด!Q14</f>
        <v>0.5</v>
      </c>
      <c r="H28" s="1093" t="s">
        <v>418</v>
      </c>
    </row>
    <row r="29" spans="1:9" s="1102" customFormat="1">
      <c r="A29" s="1099"/>
      <c r="B29" s="1103" t="s">
        <v>1138</v>
      </c>
      <c r="C29" s="1092"/>
      <c r="D29" s="1092"/>
      <c r="E29" s="1092"/>
      <c r="F29" s="1092"/>
      <c r="G29" s="1095"/>
      <c r="H29" s="1096"/>
    </row>
    <row r="30" spans="1:9" s="1102" customFormat="1">
      <c r="A30" s="1099"/>
      <c r="B30" s="1092" t="s">
        <v>222</v>
      </c>
      <c r="C30" s="1100">
        <f>สรุปงวด!S17</f>
        <v>0</v>
      </c>
      <c r="D30" s="1092" t="s">
        <v>494</v>
      </c>
      <c r="E30" s="1092" t="s">
        <v>1137</v>
      </c>
      <c r="F30" s="1092"/>
      <c r="G30" s="1092"/>
      <c r="H30" s="1092"/>
    </row>
    <row r="31" spans="1:9" s="1102" customFormat="1">
      <c r="A31" s="1099"/>
      <c r="B31" s="1092" t="s">
        <v>1465</v>
      </c>
      <c r="C31" s="1092"/>
      <c r="D31" s="1092"/>
      <c r="E31" s="1092"/>
      <c r="F31" s="1092"/>
      <c r="G31" s="1104">
        <f>สรุปงวด!Q17</f>
        <v>1</v>
      </c>
      <c r="H31" s="1092" t="s">
        <v>418</v>
      </c>
    </row>
    <row r="32" spans="1:9" s="1102" customFormat="1">
      <c r="A32" s="1096"/>
      <c r="B32" s="1092" t="s">
        <v>774</v>
      </c>
      <c r="C32" s="1092"/>
      <c r="D32" s="1108">
        <f>สรุปงวด!S6</f>
        <v>75</v>
      </c>
      <c r="E32" s="1092" t="s">
        <v>775</v>
      </c>
      <c r="F32" s="1092"/>
      <c r="G32" s="1096"/>
      <c r="H32" s="1096"/>
    </row>
    <row r="33" spans="1:9" s="1102" customFormat="1">
      <c r="A33" s="1099" t="s">
        <v>1150</v>
      </c>
      <c r="B33" s="1092" t="s">
        <v>222</v>
      </c>
      <c r="C33" s="1100">
        <f>สรุปงวด!V37</f>
        <v>0</v>
      </c>
      <c r="D33" s="1092" t="s">
        <v>494</v>
      </c>
      <c r="E33" s="1092" t="s">
        <v>1137</v>
      </c>
      <c r="F33" s="1092"/>
      <c r="G33" s="1101"/>
      <c r="H33" s="1092"/>
      <c r="I33" s="1092"/>
    </row>
    <row r="34" spans="1:9" s="1102" customFormat="1">
      <c r="A34" s="1099"/>
      <c r="B34" s="1103" t="s">
        <v>1139</v>
      </c>
      <c r="C34" s="1092"/>
      <c r="D34" s="1092"/>
      <c r="E34" s="1092"/>
      <c r="F34" s="1092"/>
      <c r="G34" s="1095"/>
      <c r="H34" s="1096"/>
    </row>
    <row r="35" spans="1:9" s="1102" customFormat="1">
      <c r="A35" s="1099"/>
      <c r="B35" s="1092" t="s">
        <v>1468</v>
      </c>
      <c r="C35" s="1092"/>
      <c r="D35" s="1092"/>
      <c r="E35" s="1092"/>
      <c r="F35" s="1092"/>
    </row>
    <row r="36" spans="1:9" s="1102" customFormat="1">
      <c r="A36" s="1099"/>
      <c r="B36" s="1092" t="s">
        <v>1466</v>
      </c>
      <c r="C36" s="1092"/>
      <c r="D36" s="1092"/>
      <c r="E36" s="1092"/>
      <c r="F36" s="1092"/>
      <c r="G36" s="1104">
        <f>สรุปงวด!T20</f>
        <v>1</v>
      </c>
      <c r="H36" s="1092" t="s">
        <v>418</v>
      </c>
    </row>
    <row r="37" spans="1:9" s="1102" customFormat="1">
      <c r="A37" s="1096"/>
      <c r="B37" s="1092" t="s">
        <v>774</v>
      </c>
      <c r="C37" s="1092"/>
      <c r="D37" s="1108">
        <f>สรุปงวด!V6</f>
        <v>85</v>
      </c>
      <c r="E37" s="1092" t="s">
        <v>775</v>
      </c>
      <c r="F37" s="1092"/>
      <c r="G37" s="1096"/>
      <c r="H37" s="1096"/>
    </row>
    <row r="38" spans="1:9" s="1102" customFormat="1">
      <c r="A38" s="1099" t="s">
        <v>1151</v>
      </c>
      <c r="B38" s="1092" t="s">
        <v>222</v>
      </c>
      <c r="C38" s="1100">
        <f>สรุปงวด!Y37</f>
        <v>0</v>
      </c>
      <c r="D38" s="1092" t="s">
        <v>494</v>
      </c>
      <c r="E38" s="1092" t="s">
        <v>1137</v>
      </c>
      <c r="F38" s="1092"/>
      <c r="G38" s="1101"/>
      <c r="H38" s="1092"/>
      <c r="I38" s="1092"/>
    </row>
    <row r="39" spans="1:9" s="1102" customFormat="1">
      <c r="A39" s="1099"/>
      <c r="B39" s="1103" t="s">
        <v>1138</v>
      </c>
      <c r="C39" s="1092"/>
      <c r="D39" s="1092"/>
      <c r="E39" s="1092"/>
      <c r="F39" s="1092"/>
      <c r="G39" s="1095"/>
      <c r="H39" s="1096"/>
    </row>
    <row r="40" spans="1:9" s="1102" customFormat="1">
      <c r="A40" s="1099"/>
      <c r="B40" s="1092" t="s">
        <v>222</v>
      </c>
      <c r="C40" s="1100">
        <f>สรุปงวด!Y18</f>
        <v>0</v>
      </c>
      <c r="D40" s="1092" t="s">
        <v>494</v>
      </c>
      <c r="E40" s="1092" t="s">
        <v>1137</v>
      </c>
      <c r="F40" s="1092"/>
      <c r="G40" s="1092"/>
      <c r="H40" s="1092"/>
    </row>
    <row r="41" spans="1:9" s="1102" customFormat="1">
      <c r="A41" s="1099"/>
      <c r="B41" s="1092" t="s">
        <v>1467</v>
      </c>
      <c r="C41" s="1092"/>
      <c r="D41" s="1092"/>
      <c r="E41" s="1092"/>
      <c r="F41" s="1092"/>
      <c r="G41" s="1104">
        <f>สรุปงวด!W18</f>
        <v>0.9</v>
      </c>
      <c r="H41" s="1092" t="s">
        <v>418</v>
      </c>
    </row>
    <row r="42" spans="1:9" s="1102" customFormat="1">
      <c r="A42" s="1099"/>
      <c r="B42" s="1103" t="s">
        <v>1139</v>
      </c>
      <c r="C42" s="1092"/>
      <c r="D42" s="1092"/>
      <c r="E42" s="1092"/>
      <c r="F42" s="1092"/>
      <c r="G42" s="1095"/>
      <c r="H42" s="1096"/>
    </row>
    <row r="43" spans="1:9" s="1102" customFormat="1">
      <c r="A43" s="1099"/>
      <c r="B43" s="1092" t="s">
        <v>222</v>
      </c>
      <c r="C43" s="1100">
        <f>สรุปงวด!Y21</f>
        <v>0</v>
      </c>
      <c r="D43" s="1092" t="s">
        <v>494</v>
      </c>
      <c r="E43" s="1092" t="s">
        <v>1137</v>
      </c>
      <c r="F43" s="1092"/>
      <c r="G43" s="1092"/>
      <c r="H43" s="1096"/>
    </row>
    <row r="44" spans="1:9" s="1102" customFormat="1">
      <c r="A44" s="1099"/>
      <c r="B44" s="1092" t="s">
        <v>1469</v>
      </c>
      <c r="C44" s="1092"/>
      <c r="D44" s="1092"/>
      <c r="E44" s="1092"/>
      <c r="F44" s="1092"/>
    </row>
    <row r="45" spans="1:9" s="1102" customFormat="1">
      <c r="A45" s="1099"/>
      <c r="B45" s="1092" t="s">
        <v>1466</v>
      </c>
      <c r="C45" s="1092"/>
      <c r="D45" s="1092"/>
      <c r="E45" s="1092"/>
      <c r="F45" s="1092"/>
      <c r="G45" s="1104">
        <f>สรุปงวด!W21</f>
        <v>0.9</v>
      </c>
      <c r="H45" s="1092" t="s">
        <v>418</v>
      </c>
    </row>
    <row r="46" spans="1:9" s="1102" customFormat="1">
      <c r="A46" s="1096"/>
      <c r="B46" s="1092" t="s">
        <v>774</v>
      </c>
      <c r="C46" s="1092"/>
      <c r="D46" s="1108">
        <f>สรุปงวด!AB6</f>
        <v>105</v>
      </c>
      <c r="E46" s="1092" t="s">
        <v>775</v>
      </c>
      <c r="F46" s="1092"/>
      <c r="G46" s="1096"/>
      <c r="H46" s="1096"/>
    </row>
    <row r="47" spans="1:9" s="1102" customFormat="1">
      <c r="A47" s="1099" t="s">
        <v>1223</v>
      </c>
      <c r="B47" s="1092" t="s">
        <v>222</v>
      </c>
      <c r="C47" s="1100">
        <f>สรุปงวด!AB37</f>
        <v>0</v>
      </c>
      <c r="D47" s="1092" t="s">
        <v>494</v>
      </c>
      <c r="E47" s="1092" t="s">
        <v>1137</v>
      </c>
      <c r="F47" s="1092"/>
      <c r="G47" s="1101"/>
      <c r="H47" s="1092"/>
      <c r="I47" s="1092"/>
    </row>
    <row r="48" spans="1:9" s="1102" customFormat="1">
      <c r="A48" s="1099"/>
      <c r="B48" s="1103" t="s">
        <v>1138</v>
      </c>
      <c r="C48" s="1092"/>
      <c r="D48" s="1092"/>
      <c r="E48" s="1092"/>
      <c r="F48" s="1092"/>
      <c r="G48" s="1095"/>
      <c r="H48" s="1096"/>
    </row>
    <row r="49" spans="1:10" s="1102" customFormat="1">
      <c r="A49" s="1099"/>
      <c r="B49" s="1092" t="s">
        <v>222</v>
      </c>
      <c r="C49" s="1100">
        <f>สรุปงวด!AB18</f>
        <v>0</v>
      </c>
      <c r="D49" s="1092" t="s">
        <v>494</v>
      </c>
      <c r="E49" s="1092" t="s">
        <v>1137</v>
      </c>
      <c r="F49" s="1092"/>
      <c r="G49" s="1092"/>
      <c r="H49" s="1092"/>
    </row>
    <row r="50" spans="1:10" s="1102" customFormat="1">
      <c r="A50" s="1099"/>
      <c r="B50" s="1092" t="s">
        <v>1467</v>
      </c>
      <c r="C50" s="1092"/>
      <c r="D50" s="1092"/>
      <c r="E50" s="1092"/>
      <c r="F50" s="1092"/>
      <c r="G50" s="1104">
        <f>สรุปงวด!Z18</f>
        <v>0.9</v>
      </c>
      <c r="H50" s="1092" t="s">
        <v>418</v>
      </c>
    </row>
    <row r="51" spans="1:10" s="1102" customFormat="1">
      <c r="A51" s="1099"/>
      <c r="B51" s="1103" t="s">
        <v>1139</v>
      </c>
      <c r="C51" s="1092"/>
      <c r="D51" s="1092"/>
      <c r="E51" s="1092"/>
      <c r="F51" s="1092"/>
      <c r="G51" s="1095"/>
      <c r="H51" s="1096"/>
    </row>
    <row r="52" spans="1:10" s="1102" customFormat="1">
      <c r="A52" s="1099"/>
      <c r="B52" s="1092" t="s">
        <v>222</v>
      </c>
      <c r="C52" s="1100">
        <f>สรุปงวด!AB21</f>
        <v>0</v>
      </c>
      <c r="D52" s="1092" t="s">
        <v>494</v>
      </c>
      <c r="E52" s="1092" t="s">
        <v>1137</v>
      </c>
      <c r="F52" s="1092"/>
      <c r="G52" s="1092"/>
      <c r="H52" s="1096"/>
    </row>
    <row r="53" spans="1:10" s="1102" customFormat="1">
      <c r="A53" s="1099"/>
      <c r="B53" s="1092" t="s">
        <v>1469</v>
      </c>
      <c r="C53" s="1092"/>
      <c r="D53" s="1092"/>
      <c r="E53" s="1092"/>
      <c r="F53" s="1092"/>
    </row>
    <row r="54" spans="1:10" s="1102" customFormat="1">
      <c r="A54" s="1099"/>
      <c r="B54" s="1092" t="s">
        <v>1466</v>
      </c>
      <c r="C54" s="1092"/>
      <c r="D54" s="1092"/>
      <c r="E54" s="1092"/>
      <c r="F54" s="1092"/>
      <c r="G54" s="1104">
        <f>สรุปงวด!Z21</f>
        <v>0.9</v>
      </c>
      <c r="H54" s="1092" t="s">
        <v>418</v>
      </c>
    </row>
    <row r="55" spans="1:10" s="1102" customFormat="1">
      <c r="A55" s="1096"/>
      <c r="B55" s="1092" t="s">
        <v>774</v>
      </c>
      <c r="C55" s="1092"/>
      <c r="D55" s="1108">
        <f>สรุปงวด!AB6</f>
        <v>105</v>
      </c>
      <c r="E55" s="1092" t="s">
        <v>775</v>
      </c>
      <c r="F55" s="1092"/>
      <c r="G55" s="1096"/>
      <c r="H55" s="1096"/>
      <c r="J55" s="1110">
        <f>C56+C54+C38+C33+C25+C20+C10</f>
        <v>100</v>
      </c>
    </row>
    <row r="56" spans="1:10" s="1102" customFormat="1">
      <c r="A56" s="1099" t="s">
        <v>1462</v>
      </c>
      <c r="B56" s="1092" t="s">
        <v>222</v>
      </c>
      <c r="C56" s="1101">
        <f>สรุปงวด!BX37</f>
        <v>8.9700000000000006</v>
      </c>
      <c r="D56" s="1092" t="s">
        <v>494</v>
      </c>
      <c r="E56" s="1092" t="s">
        <v>1137</v>
      </c>
      <c r="F56" s="1092"/>
      <c r="G56" s="1101"/>
      <c r="H56" s="1092"/>
      <c r="I56" s="1092"/>
      <c r="J56" s="1111">
        <f>C58+C63+C67+C71</f>
        <v>8.9700000000000006</v>
      </c>
    </row>
    <row r="57" spans="1:10" s="1102" customFormat="1">
      <c r="A57" s="1099"/>
      <c r="B57" s="1103" t="s">
        <v>768</v>
      </c>
      <c r="C57" s="1092"/>
      <c r="D57" s="1092"/>
      <c r="E57" s="1092"/>
      <c r="F57" s="1092"/>
      <c r="G57" s="1092"/>
      <c r="H57" s="1095"/>
      <c r="I57" s="1096"/>
    </row>
    <row r="58" spans="1:10" s="1102" customFormat="1">
      <c r="A58" s="1099"/>
      <c r="B58" s="1092" t="s">
        <v>222</v>
      </c>
      <c r="C58" s="1100">
        <f>SUM(สรุปงวด!BX12:BX14)</f>
        <v>8.9694441955813531</v>
      </c>
      <c r="D58" s="1092" t="s">
        <v>494</v>
      </c>
      <c r="E58" s="1092" t="s">
        <v>1137</v>
      </c>
      <c r="F58" s="1092"/>
      <c r="G58" s="1101"/>
      <c r="H58" s="1092"/>
      <c r="I58" s="1092"/>
    </row>
    <row r="59" spans="1:10" s="1102" customFormat="1">
      <c r="A59" s="1099"/>
      <c r="B59" s="1092" t="s">
        <v>1470</v>
      </c>
      <c r="C59" s="1092"/>
      <c r="D59" s="1092"/>
      <c r="E59" s="1092"/>
      <c r="F59" s="1092"/>
      <c r="G59" s="1095"/>
      <c r="H59" s="1095"/>
      <c r="I59" s="1092"/>
    </row>
    <row r="60" spans="1:10" s="1102" customFormat="1">
      <c r="A60" s="1099"/>
      <c r="B60" s="1092" t="s">
        <v>1222</v>
      </c>
      <c r="C60" s="1092"/>
      <c r="D60" s="1092"/>
      <c r="E60" s="1092"/>
      <c r="F60" s="1092"/>
      <c r="G60" s="1095"/>
      <c r="H60" s="1095"/>
      <c r="I60" s="1096"/>
    </row>
    <row r="61" spans="1:10" s="1102" customFormat="1">
      <c r="A61" s="1099"/>
      <c r="B61" s="1092" t="s">
        <v>1221</v>
      </c>
      <c r="C61" s="1092"/>
      <c r="D61" s="1092"/>
      <c r="E61" s="1092"/>
      <c r="F61" s="1092"/>
      <c r="G61" s="1095"/>
      <c r="H61" s="1095"/>
      <c r="I61" s="1096"/>
    </row>
    <row r="62" spans="1:10" s="1102" customFormat="1">
      <c r="A62" s="1096"/>
      <c r="B62" s="1103" t="s">
        <v>1140</v>
      </c>
      <c r="C62" s="1092"/>
      <c r="D62" s="1092"/>
      <c r="E62" s="1092"/>
      <c r="F62" s="1092"/>
      <c r="G62" s="1092"/>
      <c r="H62" s="1096"/>
      <c r="I62" s="1096"/>
    </row>
    <row r="63" spans="1:10" s="1102" customFormat="1">
      <c r="A63" s="1096"/>
      <c r="B63" s="1092" t="s">
        <v>222</v>
      </c>
      <c r="C63" s="1100">
        <f>SUM(สรุปงวด!BX17:BX18)</f>
        <v>0</v>
      </c>
      <c r="D63" s="1092" t="s">
        <v>494</v>
      </c>
      <c r="E63" s="1092" t="s">
        <v>1137</v>
      </c>
      <c r="F63" s="1106"/>
      <c r="G63" s="1096"/>
      <c r="H63" s="1096"/>
      <c r="I63" s="1092"/>
    </row>
    <row r="64" spans="1:10" s="1102" customFormat="1">
      <c r="A64" s="1096"/>
      <c r="B64" s="1092" t="s">
        <v>1471</v>
      </c>
      <c r="C64" s="1092"/>
      <c r="D64" s="1092"/>
      <c r="E64" s="1092"/>
      <c r="F64" s="1092"/>
      <c r="G64" s="1092"/>
      <c r="H64" s="1096"/>
      <c r="I64" s="1096"/>
    </row>
    <row r="65" spans="1:9" s="1102" customFormat="1">
      <c r="A65" s="1096"/>
      <c r="B65" s="1092" t="s">
        <v>1141</v>
      </c>
      <c r="C65" s="1092"/>
      <c r="D65" s="1092"/>
      <c r="E65" s="1092"/>
      <c r="F65" s="1092"/>
      <c r="G65" s="1092"/>
      <c r="H65" s="1096"/>
      <c r="I65" s="1096"/>
    </row>
    <row r="66" spans="1:9" s="1102" customFormat="1">
      <c r="A66" s="1096"/>
      <c r="B66" s="1103" t="s">
        <v>1139</v>
      </c>
      <c r="C66" s="1092"/>
      <c r="D66" s="1092"/>
      <c r="E66" s="1092"/>
      <c r="F66" s="1092"/>
      <c r="G66" s="1092"/>
      <c r="H66" s="1096"/>
      <c r="I66" s="1096"/>
    </row>
    <row r="67" spans="1:9" s="1102" customFormat="1">
      <c r="A67" s="1096"/>
      <c r="B67" s="1092" t="s">
        <v>222</v>
      </c>
      <c r="C67" s="1100">
        <f>SUM(สรุปงวด!BX20:BX21)</f>
        <v>0</v>
      </c>
      <c r="D67" s="1092" t="s">
        <v>494</v>
      </c>
      <c r="E67" s="1092" t="s">
        <v>1137</v>
      </c>
      <c r="F67" s="1092"/>
      <c r="G67" s="1096"/>
      <c r="H67" s="1096"/>
      <c r="I67" s="1092"/>
    </row>
    <row r="68" spans="1:9" s="1102" customFormat="1">
      <c r="A68" s="1096"/>
      <c r="B68" s="1092" t="s">
        <v>1472</v>
      </c>
      <c r="C68" s="1092"/>
      <c r="D68" s="1092"/>
      <c r="E68" s="1092"/>
      <c r="F68" s="1092"/>
      <c r="G68" s="1092"/>
      <c r="H68" s="1096"/>
      <c r="I68" s="1096"/>
    </row>
    <row r="69" spans="1:9" s="1102" customFormat="1">
      <c r="A69" s="1096"/>
      <c r="B69" s="1092" t="s">
        <v>1141</v>
      </c>
      <c r="C69" s="1092"/>
      <c r="D69" s="1092"/>
      <c r="E69" s="1092"/>
      <c r="F69" s="1092"/>
      <c r="G69" s="1092"/>
      <c r="H69" s="1096"/>
      <c r="I69" s="1096"/>
    </row>
    <row r="70" spans="1:9" s="1102" customFormat="1">
      <c r="A70" s="1096"/>
      <c r="B70" s="1103" t="s">
        <v>1438</v>
      </c>
      <c r="C70" s="1092"/>
      <c r="D70" s="1092"/>
      <c r="E70" s="1092"/>
      <c r="F70" s="1092"/>
      <c r="G70" s="1092"/>
      <c r="H70" s="1096"/>
      <c r="I70" s="1096"/>
    </row>
    <row r="71" spans="1:9" s="1102" customFormat="1">
      <c r="A71" s="1096"/>
      <c r="B71" s="1092" t="s">
        <v>222</v>
      </c>
      <c r="C71" s="1100">
        <f>C56-C58-C63-C67</f>
        <v>5.5580441864755414E-4</v>
      </c>
      <c r="D71" s="1092" t="s">
        <v>494</v>
      </c>
      <c r="E71" s="1092" t="s">
        <v>1137</v>
      </c>
      <c r="F71" s="1106"/>
      <c r="G71" s="1096"/>
      <c r="H71" s="1096"/>
      <c r="I71" s="1092"/>
    </row>
    <row r="72" spans="1:9" s="1102" customFormat="1">
      <c r="A72" s="1096"/>
      <c r="B72" s="1107" t="s">
        <v>1473</v>
      </c>
      <c r="C72" s="1107"/>
      <c r="D72" s="1107"/>
      <c r="E72" s="1107"/>
      <c r="F72" s="1107"/>
      <c r="G72" s="1107"/>
      <c r="H72" s="1107"/>
      <c r="I72" s="1107"/>
    </row>
    <row r="73" spans="1:9" s="1102" customFormat="1">
      <c r="A73" s="1096"/>
      <c r="B73" s="1107" t="s">
        <v>1463</v>
      </c>
      <c r="C73" s="1107"/>
      <c r="D73" s="1107"/>
      <c r="E73" s="1107"/>
      <c r="F73" s="1107"/>
      <c r="G73" s="1107"/>
      <c r="H73" s="1107"/>
      <c r="I73" s="1107"/>
    </row>
    <row r="74" spans="1:9" s="1102" customFormat="1">
      <c r="A74" s="1096"/>
      <c r="B74" s="1092" t="s">
        <v>1464</v>
      </c>
      <c r="C74" s="1092"/>
      <c r="D74" s="1092"/>
      <c r="E74" s="1092"/>
      <c r="F74" s="1092"/>
      <c r="G74" s="1092"/>
      <c r="H74" s="1096"/>
      <c r="I74" s="1096"/>
    </row>
    <row r="75" spans="1:9" s="1102" customFormat="1">
      <c r="A75" s="1096"/>
      <c r="B75" s="1092" t="s">
        <v>1442</v>
      </c>
      <c r="C75" s="1092"/>
      <c r="D75" s="1092"/>
      <c r="E75" s="1092"/>
      <c r="F75" s="1092"/>
      <c r="G75" s="1092"/>
      <c r="H75" s="1096"/>
      <c r="I75" s="1096"/>
    </row>
    <row r="76" spans="1:9" s="1102" customFormat="1">
      <c r="A76" s="1096"/>
      <c r="B76" s="1092" t="s">
        <v>1443</v>
      </c>
      <c r="C76" s="1092"/>
      <c r="D76" s="1092"/>
      <c r="E76" s="1092"/>
      <c r="F76" s="1092"/>
      <c r="G76" s="1092"/>
      <c r="H76" s="1096"/>
      <c r="I76" s="1096"/>
    </row>
    <row r="77" spans="1:9" s="1102" customFormat="1">
      <c r="A77" s="1092"/>
      <c r="B77" s="1092" t="s">
        <v>774</v>
      </c>
      <c r="C77" s="1092"/>
      <c r="D77" s="1108">
        <f>สรุปงวด!AE6</f>
        <v>120</v>
      </c>
      <c r="E77" s="1092" t="s">
        <v>775</v>
      </c>
      <c r="F77" s="1092"/>
      <c r="G77" s="1092"/>
      <c r="H77" s="1096"/>
      <c r="I77" s="1096"/>
    </row>
    <row r="78" spans="1:9" s="1102" customFormat="1">
      <c r="A78" s="1092"/>
      <c r="B78" s="1092"/>
      <c r="C78" s="1092" t="s">
        <v>1142</v>
      </c>
      <c r="D78" s="1092"/>
      <c r="E78" s="1092"/>
      <c r="F78" s="1092"/>
      <c r="G78" s="1092"/>
      <c r="H78" s="1092"/>
      <c r="I78" s="1092"/>
    </row>
    <row r="79" spans="1:9" s="1102" customFormat="1">
      <c r="A79" s="1092"/>
      <c r="B79" s="1092"/>
      <c r="C79" s="2266" t="str">
        <f>"    ( "&amp;กรอกข้อมูล!B20&amp;" )"</f>
        <v xml:space="preserve">    ( นายวัชระ  คำแดง )</v>
      </c>
      <c r="D79" s="2266"/>
      <c r="E79" s="1092" t="str">
        <f>กรอกข้อมูล!D20</f>
        <v>ผู้อำนวยการกองช่าง</v>
      </c>
      <c r="F79" s="1092"/>
      <c r="G79" s="1092"/>
      <c r="H79" s="1109"/>
      <c r="I79" s="1109"/>
    </row>
    <row r="80" spans="1:9" s="1102" customFormat="1">
      <c r="A80" s="1092"/>
      <c r="B80" s="1092"/>
      <c r="C80" s="1092" t="s">
        <v>1143</v>
      </c>
      <c r="D80" s="1092"/>
      <c r="E80" s="1092"/>
      <c r="F80" s="1092"/>
      <c r="G80" s="1092"/>
      <c r="H80" s="1092"/>
      <c r="I80" s="1092"/>
    </row>
    <row r="81" spans="1:9" s="1102" customFormat="1">
      <c r="A81" s="1092"/>
      <c r="B81" s="1092"/>
      <c r="C81" s="2266" t="str">
        <f>"    ( "&amp;กรอกข้อมูล!B22&amp;" )"</f>
        <v xml:space="preserve">    ( นายวัชระ  คำแดง )</v>
      </c>
      <c r="D81" s="2266"/>
      <c r="E81" s="1092" t="str">
        <f>กรอกข้อมูล!D21</f>
        <v>ผู้อำนวยการกองช่าง</v>
      </c>
      <c r="F81" s="1092"/>
      <c r="G81" s="1092"/>
      <c r="H81" s="1092"/>
      <c r="I81" s="1092"/>
    </row>
    <row r="82" spans="1:9" s="1102" customFormat="1">
      <c r="A82" s="1092"/>
      <c r="B82" s="1092"/>
      <c r="C82" s="1092" t="s">
        <v>1144</v>
      </c>
      <c r="D82" s="1092"/>
      <c r="E82" s="1092"/>
      <c r="F82" s="1092"/>
      <c r="G82" s="1092"/>
      <c r="H82" s="1092"/>
      <c r="I82" s="1092"/>
    </row>
    <row r="83" spans="1:9" s="1102" customFormat="1">
      <c r="A83" s="1092"/>
      <c r="B83" s="1092"/>
      <c r="C83" s="2266" t="str">
        <f>"    ( "&amp;กรอกข้อมูล!B23&amp;" )"</f>
        <v xml:space="preserve">    ( นายปรีชา  กระจ่างโพธิ์ )</v>
      </c>
      <c r="D83" s="2266"/>
      <c r="E83" s="1092" t="str">
        <f>กรอกข้อมูล!D23</f>
        <v>ปลัดองค์การบริหารส่วนตำบลคลองเมือง</v>
      </c>
      <c r="F83" s="1092"/>
      <c r="G83" s="1092"/>
      <c r="H83" s="1092"/>
      <c r="I83" s="1092"/>
    </row>
    <row r="84" spans="1:9" s="1102" customFormat="1">
      <c r="A84" s="1092"/>
      <c r="B84" s="1092"/>
      <c r="C84" s="1092"/>
      <c r="D84" s="1092"/>
      <c r="E84" s="1092"/>
      <c r="F84" s="1092"/>
      <c r="G84" s="1092"/>
      <c r="H84" s="1092"/>
      <c r="I84" s="1092"/>
    </row>
    <row r="85" spans="1:9" s="1102" customFormat="1">
      <c r="A85" s="1092"/>
      <c r="B85" s="1092"/>
      <c r="C85" s="1092"/>
      <c r="D85" s="1092"/>
      <c r="E85" s="1092"/>
      <c r="F85" s="1092"/>
      <c r="G85" s="1092"/>
      <c r="H85" s="1092"/>
      <c r="I85" s="1092"/>
    </row>
    <row r="86" spans="1:9" s="1102" customFormat="1">
      <c r="A86" s="1092"/>
      <c r="B86" s="1092"/>
      <c r="C86" s="1092"/>
      <c r="D86" s="1092"/>
      <c r="E86" s="1092"/>
      <c r="F86" s="1092"/>
      <c r="G86" s="1092"/>
      <c r="H86" s="1092"/>
      <c r="I86" s="1092"/>
    </row>
  </sheetData>
  <mergeCells count="4">
    <mergeCell ref="A1:I1"/>
    <mergeCell ref="C79:D79"/>
    <mergeCell ref="C81:D81"/>
    <mergeCell ref="C83:D83"/>
  </mergeCells>
  <pageMargins left="0.39370078740157483" right="0.19685039370078741" top="0.39370078740157483" bottom="0.39370078740157483" header="0" footer="0"/>
  <pageSetup paperSize="9" scale="89" orientation="portrait" r:id="rId1"/>
  <headerFooter alignWithMargins="0">
    <oddHeader>&amp;Rหน้า&amp;P/&amp;N</oddHeader>
  </headerFooter>
  <rowBreaks count="1" manualBreakCount="1">
    <brk id="4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FF0000"/>
  </sheetPr>
  <dimension ref="A1:CY46"/>
  <sheetViews>
    <sheetView view="pageBreakPreview" zoomScale="57" zoomScaleSheetLayoutView="57" workbookViewId="0">
      <pane xSplit="4" ySplit="7" topLeftCell="E11" activePane="bottomRight" state="frozen"/>
      <selection pane="topRight" activeCell="E1" sqref="E1"/>
      <selection pane="bottomLeft" activeCell="A8" sqref="A8"/>
      <selection pane="bottomRight" activeCell="Q29" sqref="Q29"/>
    </sheetView>
  </sheetViews>
  <sheetFormatPr defaultColWidth="9.33203125" defaultRowHeight="21"/>
  <cols>
    <col min="1" max="1" width="4.1640625" style="638" customWidth="1"/>
    <col min="2" max="2" width="4.5" style="638" customWidth="1"/>
    <col min="3" max="3" width="9.33203125" style="638"/>
    <col min="4" max="4" width="34.33203125" style="638" customWidth="1"/>
    <col min="5" max="5" width="15.6640625" style="638" customWidth="1"/>
    <col min="6" max="6" width="15.33203125" style="638" customWidth="1"/>
    <col min="7" max="7" width="16" style="638" customWidth="1"/>
    <col min="8" max="8" width="10.6640625" style="638" customWidth="1"/>
    <col min="9" max="9" width="11.5" style="638" customWidth="1"/>
    <col min="10" max="10" width="9.33203125" style="638"/>
    <col min="11" max="11" width="19.1640625" style="638" customWidth="1"/>
    <col min="12" max="12" width="15.5" style="638" customWidth="1"/>
    <col min="13" max="13" width="12" style="638" customWidth="1"/>
    <col min="14" max="14" width="13" style="638" customWidth="1"/>
    <col min="15" max="15" width="16.5" style="638" customWidth="1"/>
    <col min="16" max="16" width="10.5" style="638" customWidth="1"/>
    <col min="17" max="17" width="9.33203125" style="638"/>
    <col min="18" max="18" width="15.6640625" style="638" customWidth="1"/>
    <col min="19" max="19" width="11" style="638" customWidth="1"/>
    <col min="20" max="20" width="10.6640625" style="638" customWidth="1"/>
    <col min="21" max="21" width="16.83203125" style="638" customWidth="1"/>
    <col min="22" max="23" width="10.6640625" style="638" customWidth="1"/>
    <col min="24" max="24" width="17.5" style="638" customWidth="1"/>
    <col min="25" max="26" width="10.6640625" style="638" customWidth="1"/>
    <col min="27" max="27" width="14.83203125" style="638" customWidth="1"/>
    <col min="28" max="29" width="10.6640625" style="638" customWidth="1"/>
    <col min="30" max="30" width="14.83203125" style="638" customWidth="1"/>
    <col min="31" max="32" width="10.6640625" style="638" customWidth="1"/>
    <col min="33" max="33" width="14.83203125" style="638" customWidth="1"/>
    <col min="34" max="35" width="10.6640625" style="638" customWidth="1"/>
    <col min="36" max="36" width="14.83203125" style="638" customWidth="1"/>
    <col min="37" max="38" width="10.6640625" style="638" customWidth="1"/>
    <col min="39" max="39" width="14.83203125" style="638" customWidth="1"/>
    <col min="40" max="41" width="10.6640625" style="638" customWidth="1"/>
    <col min="42" max="42" width="14.83203125" style="638" customWidth="1"/>
    <col min="43" max="44" width="10.6640625" style="638" customWidth="1"/>
    <col min="45" max="45" width="13.1640625" style="638" customWidth="1"/>
    <col min="46" max="47" width="10.6640625" style="638" customWidth="1"/>
    <col min="48" max="48" width="13" style="638" customWidth="1"/>
    <col min="49" max="50" width="10.6640625" style="638" customWidth="1"/>
    <col min="51" max="51" width="13.5" style="638" customWidth="1"/>
    <col min="52" max="53" width="10.6640625" style="638" customWidth="1"/>
    <col min="54" max="54" width="13.6640625" style="638" customWidth="1"/>
    <col min="55" max="56" width="10.6640625" style="638" customWidth="1"/>
    <col min="57" max="57" width="14.83203125" style="638" customWidth="1"/>
    <col min="58" max="59" width="10.6640625" style="638" customWidth="1"/>
    <col min="60" max="60" width="14.83203125" style="638" customWidth="1"/>
    <col min="61" max="62" width="10.6640625" style="638" customWidth="1"/>
    <col min="63" max="63" width="14.83203125" style="638" customWidth="1"/>
    <col min="64" max="65" width="10.6640625" style="638" customWidth="1"/>
    <col min="66" max="66" width="14.83203125" style="638" customWidth="1"/>
    <col min="67" max="68" width="10.6640625" style="638" customWidth="1"/>
    <col min="69" max="69" width="14.83203125" style="638" customWidth="1"/>
    <col min="70" max="71" width="10.6640625" style="638" customWidth="1"/>
    <col min="72" max="72" width="14.83203125" style="638" customWidth="1"/>
    <col min="73" max="73" width="10.6640625" style="638" customWidth="1"/>
    <col min="74" max="74" width="16.6640625" style="638" customWidth="1"/>
    <col min="75" max="75" width="22.33203125" style="638" customWidth="1"/>
    <col min="76" max="76" width="17.83203125" style="638" customWidth="1"/>
    <col min="77" max="77" width="24.6640625" style="638" customWidth="1"/>
    <col min="78" max="78" width="10.83203125" style="638" customWidth="1"/>
    <col min="79" max="79" width="18.1640625" style="638" customWidth="1"/>
    <col min="80" max="80" width="10.6640625" style="638" customWidth="1"/>
    <col min="81" max="16384" width="9.33203125" style="638"/>
  </cols>
  <sheetData>
    <row r="1" spans="1:81">
      <c r="A1" s="2279"/>
      <c r="B1" s="2279"/>
      <c r="C1" s="2279"/>
      <c r="D1" s="2279"/>
      <c r="E1" s="2279"/>
      <c r="F1" s="2279"/>
      <c r="G1" s="2279"/>
      <c r="H1" s="2279"/>
      <c r="I1" s="2279"/>
      <c r="J1" s="2279"/>
      <c r="K1" s="2279"/>
      <c r="L1" s="637"/>
      <c r="M1" s="637"/>
      <c r="N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  <c r="AV1" s="637"/>
      <c r="AW1" s="637"/>
      <c r="AX1" s="637"/>
      <c r="AY1" s="637"/>
      <c r="AZ1" s="637"/>
      <c r="BA1" s="637"/>
      <c r="BB1" s="637"/>
      <c r="BC1" s="637"/>
      <c r="BD1" s="637"/>
      <c r="BE1" s="637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7"/>
      <c r="BR1" s="637"/>
      <c r="BS1" s="637"/>
      <c r="BT1" s="637"/>
      <c r="BU1" s="637"/>
      <c r="BV1" s="637"/>
      <c r="BW1" s="637"/>
      <c r="BX1" s="637"/>
      <c r="BY1" s="637"/>
      <c r="BZ1" s="637"/>
      <c r="CA1" s="637"/>
      <c r="CB1" s="637"/>
      <c r="CC1" s="637"/>
    </row>
    <row r="2" spans="1:81" ht="21.75" thickBot="1">
      <c r="A2" s="638" t="s">
        <v>422</v>
      </c>
      <c r="C2" s="638" t="str">
        <f>'ปร.5 road'!C4</f>
        <v>ก่อสร้างถนนคอนกรีตเสริมเหล็ก</v>
      </c>
      <c r="F2" s="639" t="s">
        <v>1113</v>
      </c>
      <c r="G2" s="640">
        <v>2559</v>
      </c>
      <c r="K2" s="638" t="s">
        <v>1187</v>
      </c>
      <c r="L2" s="651">
        <f>L4-L3</f>
        <v>1.4</v>
      </c>
      <c r="M2" s="762"/>
      <c r="O2" s="638">
        <f>1.525*3+1</f>
        <v>5.5749999999999993</v>
      </c>
      <c r="BV2" s="641"/>
      <c r="BZ2" s="642"/>
    </row>
    <row r="3" spans="1:81" ht="27" thickBot="1">
      <c r="A3" s="638" t="s">
        <v>483</v>
      </c>
      <c r="C3" s="643" t="str">
        <f>'ปร.5 road'!C5</f>
        <v>ก่อสร้างถนนหินคลุก บ้านหนองขามน้อย หมู่ที่ 4 และบ้านโคกไม้งาม หมู่ที่ 11 ตำบลคลองเมือง อำเภอจักราช จังหวัดนครราชสีมา ขนาดผิวจราจรกว้าง 6.00 เมตร ระยะทางไม่น้อยกว่า 1,400.00 เมตร หนา 0.15 เมตร  อำเภอจักราช  จังหวัดนครราชสีมา</v>
      </c>
      <c r="D3" s="644"/>
      <c r="E3" s="641"/>
      <c r="F3" s="641"/>
      <c r="G3" s="2280" t="s">
        <v>759</v>
      </c>
      <c r="H3" s="2281"/>
      <c r="I3" s="749">
        <v>120</v>
      </c>
      <c r="J3" s="752" t="s">
        <v>760</v>
      </c>
      <c r="K3" s="645" t="s">
        <v>1188</v>
      </c>
      <c r="L3" s="753">
        <v>0</v>
      </c>
      <c r="N3" s="743"/>
      <c r="O3" s="754">
        <v>30</v>
      </c>
      <c r="P3" s="754">
        <f t="shared" ref="P3:AE3" si="0">O3+P4</f>
        <v>45</v>
      </c>
      <c r="Q3" s="754">
        <f t="shared" si="0"/>
        <v>60</v>
      </c>
      <c r="R3" s="754">
        <f t="shared" si="0"/>
        <v>70</v>
      </c>
      <c r="S3" s="754">
        <f t="shared" si="0"/>
        <v>80</v>
      </c>
      <c r="T3" s="754">
        <f t="shared" si="0"/>
        <v>90</v>
      </c>
      <c r="U3" s="754">
        <f t="shared" si="0"/>
        <v>90</v>
      </c>
      <c r="V3" s="754">
        <f t="shared" si="0"/>
        <v>90</v>
      </c>
      <c r="W3" s="754">
        <f t="shared" si="0"/>
        <v>90</v>
      </c>
      <c r="X3" s="754">
        <f t="shared" si="0"/>
        <v>90</v>
      </c>
      <c r="Y3" s="754">
        <f t="shared" si="0"/>
        <v>90</v>
      </c>
      <c r="Z3" s="754">
        <f t="shared" si="0"/>
        <v>90</v>
      </c>
      <c r="AA3" s="754">
        <f t="shared" si="0"/>
        <v>90</v>
      </c>
      <c r="AB3" s="754">
        <f>AA3+AB4</f>
        <v>90</v>
      </c>
      <c r="AC3" s="754">
        <f t="shared" si="0"/>
        <v>90</v>
      </c>
      <c r="AD3" s="754">
        <f t="shared" si="0"/>
        <v>90</v>
      </c>
      <c r="AE3" s="754">
        <f t="shared" si="0"/>
        <v>90</v>
      </c>
      <c r="AF3" s="754">
        <v>300</v>
      </c>
      <c r="AG3" s="646"/>
      <c r="AH3" s="646"/>
      <c r="AI3" s="646"/>
      <c r="AJ3" s="646"/>
      <c r="AK3" s="646"/>
      <c r="AL3" s="646"/>
      <c r="AM3" s="646"/>
      <c r="AN3" s="646"/>
      <c r="AO3" s="646"/>
      <c r="AP3" s="646"/>
      <c r="AQ3" s="646"/>
      <c r="AR3" s="646"/>
      <c r="AS3" s="646"/>
      <c r="AT3" s="646"/>
      <c r="AU3" s="646"/>
      <c r="AV3" s="646"/>
      <c r="AW3" s="646"/>
      <c r="AX3" s="646"/>
      <c r="AY3" s="646"/>
      <c r="AZ3" s="646"/>
      <c r="BA3" s="646"/>
      <c r="BB3" s="646"/>
      <c r="BC3" s="646"/>
      <c r="BD3" s="646"/>
      <c r="BE3" s="646"/>
      <c r="BF3" s="646"/>
      <c r="BG3" s="646"/>
      <c r="BH3" s="646"/>
      <c r="BI3" s="646"/>
      <c r="BJ3" s="646"/>
      <c r="BK3" s="646"/>
      <c r="BL3" s="646"/>
      <c r="BM3" s="646"/>
      <c r="BN3" s="646"/>
      <c r="BO3" s="646"/>
      <c r="BP3" s="646"/>
      <c r="BQ3" s="646"/>
      <c r="BR3" s="646"/>
      <c r="BS3" s="646"/>
      <c r="BT3" s="646"/>
      <c r="BU3" s="646"/>
      <c r="BV3" s="647"/>
      <c r="BW3" s="647"/>
      <c r="BX3" s="647"/>
      <c r="BY3" s="641"/>
      <c r="BZ3" s="641"/>
      <c r="CA3" s="647"/>
      <c r="CB3" s="641"/>
    </row>
    <row r="4" spans="1:81" ht="21.75">
      <c r="A4" s="648" t="s">
        <v>783</v>
      </c>
      <c r="C4" s="649" t="str">
        <f>'ปร.5 road'!D20</f>
        <v>1.400</v>
      </c>
      <c r="E4" s="650" t="str">
        <f>กรอกข้อมูล!D16</f>
        <v>0+000</v>
      </c>
      <c r="F4" s="647" t="s">
        <v>1115</v>
      </c>
      <c r="G4" s="650" t="str">
        <f>กรอกข้อมูล!D17</f>
        <v>1+400</v>
      </c>
      <c r="I4" s="650"/>
      <c r="J4" s="647"/>
      <c r="K4" s="640" t="s">
        <v>1116</v>
      </c>
      <c r="L4" s="651">
        <f>H5-L5</f>
        <v>1.4</v>
      </c>
      <c r="M4" s="650" t="s">
        <v>784</v>
      </c>
      <c r="N4" s="743">
        <v>10</v>
      </c>
      <c r="O4" s="754">
        <v>0</v>
      </c>
      <c r="P4" s="754">
        <v>15</v>
      </c>
      <c r="Q4" s="754">
        <v>15</v>
      </c>
      <c r="R4" s="754">
        <v>10</v>
      </c>
      <c r="S4" s="754">
        <v>10</v>
      </c>
      <c r="T4" s="754">
        <v>10</v>
      </c>
      <c r="U4" s="754"/>
      <c r="V4" s="754"/>
      <c r="W4" s="754"/>
      <c r="X4" s="754"/>
      <c r="Y4" s="754"/>
      <c r="Z4" s="754"/>
      <c r="AA4" s="754"/>
      <c r="AB4" s="754"/>
      <c r="AC4" s="754"/>
      <c r="AD4" s="754"/>
      <c r="AE4" s="754"/>
      <c r="AF4" s="754">
        <v>10</v>
      </c>
      <c r="BW4" s="647"/>
      <c r="BX4" s="647"/>
      <c r="BY4" s="652"/>
      <c r="BZ4" s="652"/>
      <c r="CA4" s="647"/>
      <c r="CB4" s="652"/>
    </row>
    <row r="5" spans="1:81" ht="21.75">
      <c r="A5" s="653" t="s">
        <v>488</v>
      </c>
      <c r="B5" s="654"/>
      <c r="C5" s="655"/>
      <c r="D5" s="654" t="s">
        <v>1114</v>
      </c>
      <c r="E5" s="656"/>
      <c r="F5" s="650"/>
      <c r="G5" s="638" t="s">
        <v>941</v>
      </c>
      <c r="H5" s="657">
        <f>C4+C5</f>
        <v>1.4</v>
      </c>
      <c r="I5" s="650" t="s">
        <v>784</v>
      </c>
      <c r="K5" s="640" t="s">
        <v>1117</v>
      </c>
      <c r="L5" s="753">
        <v>0</v>
      </c>
      <c r="M5" s="650" t="s">
        <v>784</v>
      </c>
      <c r="N5" s="755" t="s">
        <v>1189</v>
      </c>
      <c r="O5" s="756">
        <v>1</v>
      </c>
      <c r="P5" s="757">
        <v>2</v>
      </c>
      <c r="Q5" s="758">
        <v>3</v>
      </c>
      <c r="R5" s="758">
        <v>4</v>
      </c>
      <c r="S5" s="758">
        <v>5</v>
      </c>
      <c r="T5" s="759">
        <v>6</v>
      </c>
      <c r="U5" s="758">
        <v>7</v>
      </c>
      <c r="V5" s="758">
        <v>8</v>
      </c>
      <c r="W5" s="760">
        <v>9</v>
      </c>
      <c r="X5" s="758">
        <v>10</v>
      </c>
      <c r="Y5" s="758">
        <v>11</v>
      </c>
      <c r="Z5" s="758">
        <v>12</v>
      </c>
      <c r="AA5" s="758">
        <v>13</v>
      </c>
      <c r="AB5" s="758">
        <v>14</v>
      </c>
      <c r="AC5" s="758">
        <v>15</v>
      </c>
      <c r="AD5" s="760">
        <v>16</v>
      </c>
      <c r="AE5" s="758">
        <v>17</v>
      </c>
      <c r="AF5" s="758">
        <v>18</v>
      </c>
      <c r="BW5" s="647"/>
      <c r="BX5" s="647"/>
      <c r="BY5" s="652"/>
      <c r="BZ5" s="652"/>
      <c r="CA5" s="647"/>
      <c r="CB5" s="652"/>
    </row>
    <row r="6" spans="1:81">
      <c r="A6" s="2277" t="s">
        <v>195</v>
      </c>
      <c r="B6" s="2278"/>
      <c r="C6" s="2277" t="s">
        <v>182</v>
      </c>
      <c r="D6" s="2282"/>
      <c r="E6" s="658" t="s">
        <v>767</v>
      </c>
      <c r="F6" s="658" t="s">
        <v>393</v>
      </c>
      <c r="G6" s="658" t="s">
        <v>393</v>
      </c>
      <c r="H6" s="658" t="s">
        <v>761</v>
      </c>
      <c r="I6" s="658" t="s">
        <v>751</v>
      </c>
      <c r="J6" s="658" t="s">
        <v>184</v>
      </c>
      <c r="K6" s="2274" t="s">
        <v>762</v>
      </c>
      <c r="L6" s="2275"/>
      <c r="M6" s="659">
        <v>45</v>
      </c>
      <c r="N6" s="2274" t="s">
        <v>763</v>
      </c>
      <c r="O6" s="2275"/>
      <c r="P6" s="659">
        <v>60</v>
      </c>
      <c r="Q6" s="2274" t="s">
        <v>764</v>
      </c>
      <c r="R6" s="2275"/>
      <c r="S6" s="659">
        <v>75</v>
      </c>
      <c r="T6" s="2274" t="s">
        <v>765</v>
      </c>
      <c r="U6" s="2275"/>
      <c r="V6" s="659">
        <v>85</v>
      </c>
      <c r="W6" s="2274" t="s">
        <v>766</v>
      </c>
      <c r="X6" s="2275"/>
      <c r="Y6" s="659">
        <v>95</v>
      </c>
      <c r="Z6" s="2274" t="s">
        <v>1190</v>
      </c>
      <c r="AA6" s="2275"/>
      <c r="AB6" s="659">
        <v>105</v>
      </c>
      <c r="AC6" s="2274" t="s">
        <v>1191</v>
      </c>
      <c r="AD6" s="2275"/>
      <c r="AE6" s="659">
        <v>120</v>
      </c>
      <c r="AF6" s="2274" t="s">
        <v>1192</v>
      </c>
      <c r="AG6" s="2275"/>
      <c r="AH6" s="659">
        <f>AE6+$N$4</f>
        <v>130</v>
      </c>
      <c r="AI6" s="2274" t="s">
        <v>1193</v>
      </c>
      <c r="AJ6" s="2275"/>
      <c r="AK6" s="659">
        <f>AH6+$N$4</f>
        <v>140</v>
      </c>
      <c r="AL6" s="2274" t="s">
        <v>1194</v>
      </c>
      <c r="AM6" s="2275"/>
      <c r="AN6" s="659">
        <f>AK6+$N$4</f>
        <v>150</v>
      </c>
      <c r="AO6" s="2274" t="s">
        <v>1195</v>
      </c>
      <c r="AP6" s="2275"/>
      <c r="AQ6" s="659">
        <f>AN6+$N$4</f>
        <v>160</v>
      </c>
      <c r="AR6" s="1006" t="s">
        <v>1196</v>
      </c>
      <c r="AS6" s="1007"/>
      <c r="AT6" s="659">
        <f>AQ6+$N$4</f>
        <v>170</v>
      </c>
      <c r="AU6" s="2274" t="s">
        <v>1197</v>
      </c>
      <c r="AV6" s="2275"/>
      <c r="AW6" s="659">
        <f>AT6+$N$4</f>
        <v>180</v>
      </c>
      <c r="AX6" s="2274" t="s">
        <v>1198</v>
      </c>
      <c r="AY6" s="2275"/>
      <c r="AZ6" s="659">
        <f>AW6+$N$4</f>
        <v>190</v>
      </c>
      <c r="BA6" s="2274" t="s">
        <v>1199</v>
      </c>
      <c r="BB6" s="2275"/>
      <c r="BC6" s="659">
        <f>AZ6+$N$4</f>
        <v>200</v>
      </c>
      <c r="BD6" s="2274" t="s">
        <v>1200</v>
      </c>
      <c r="BE6" s="2275"/>
      <c r="BF6" s="659">
        <f>BC6+$N$4</f>
        <v>210</v>
      </c>
      <c r="BG6" s="2274" t="s">
        <v>1207</v>
      </c>
      <c r="BH6" s="2275"/>
      <c r="BI6" s="659">
        <f>BF6+$N$4</f>
        <v>220</v>
      </c>
      <c r="BJ6" s="2274" t="s">
        <v>1433</v>
      </c>
      <c r="BK6" s="2275"/>
      <c r="BL6" s="659">
        <f>BI6+$N$4+5</f>
        <v>235</v>
      </c>
      <c r="BM6" s="2274" t="s">
        <v>1434</v>
      </c>
      <c r="BN6" s="2275"/>
      <c r="BO6" s="659">
        <f>BL6+$N$4+5</f>
        <v>250</v>
      </c>
      <c r="BP6" s="2274" t="s">
        <v>1435</v>
      </c>
      <c r="BQ6" s="2275"/>
      <c r="BR6" s="659">
        <f>BO6+$N$4+5</f>
        <v>265</v>
      </c>
      <c r="BS6" s="2274" t="s">
        <v>1436</v>
      </c>
      <c r="BT6" s="2275"/>
      <c r="BU6" s="659">
        <f>BR6+$N$4+5</f>
        <v>280</v>
      </c>
      <c r="BV6" s="2274" t="s">
        <v>1437</v>
      </c>
      <c r="BW6" s="2275"/>
      <c r="BX6" s="659">
        <f>AF3</f>
        <v>300</v>
      </c>
      <c r="BY6" s="658" t="s">
        <v>186</v>
      </c>
      <c r="BZ6" s="658" t="s">
        <v>895</v>
      </c>
    </row>
    <row r="7" spans="1:81">
      <c r="A7" s="660"/>
      <c r="B7" s="661"/>
      <c r="C7" s="2283"/>
      <c r="D7" s="2284"/>
      <c r="E7" s="662" t="s">
        <v>327</v>
      </c>
      <c r="F7" s="662" t="s">
        <v>327</v>
      </c>
      <c r="G7" s="662" t="s">
        <v>327</v>
      </c>
      <c r="H7" s="663"/>
      <c r="I7" s="662" t="s">
        <v>1118</v>
      </c>
      <c r="J7" s="662"/>
      <c r="K7" s="664" t="s">
        <v>783</v>
      </c>
      <c r="L7" s="664" t="s">
        <v>222</v>
      </c>
      <c r="M7" s="665" t="s">
        <v>494</v>
      </c>
      <c r="N7" s="664" t="s">
        <v>783</v>
      </c>
      <c r="O7" s="664" t="s">
        <v>222</v>
      </c>
      <c r="P7" s="665" t="s">
        <v>494</v>
      </c>
      <c r="Q7" s="664" t="s">
        <v>783</v>
      </c>
      <c r="R7" s="664" t="s">
        <v>222</v>
      </c>
      <c r="S7" s="665" t="s">
        <v>494</v>
      </c>
      <c r="T7" s="664" t="s">
        <v>783</v>
      </c>
      <c r="U7" s="664" t="s">
        <v>222</v>
      </c>
      <c r="V7" s="665" t="s">
        <v>494</v>
      </c>
      <c r="W7" s="664" t="s">
        <v>783</v>
      </c>
      <c r="X7" s="664" t="s">
        <v>222</v>
      </c>
      <c r="Y7" s="665" t="s">
        <v>494</v>
      </c>
      <c r="Z7" s="664" t="s">
        <v>783</v>
      </c>
      <c r="AA7" s="664" t="s">
        <v>222</v>
      </c>
      <c r="AB7" s="665" t="s">
        <v>494</v>
      </c>
      <c r="AC7" s="664" t="s">
        <v>783</v>
      </c>
      <c r="AD7" s="664" t="s">
        <v>222</v>
      </c>
      <c r="AE7" s="665" t="s">
        <v>494</v>
      </c>
      <c r="AF7" s="664" t="s">
        <v>783</v>
      </c>
      <c r="AG7" s="664" t="s">
        <v>222</v>
      </c>
      <c r="AH7" s="665" t="s">
        <v>494</v>
      </c>
      <c r="AI7" s="664" t="s">
        <v>783</v>
      </c>
      <c r="AJ7" s="664" t="s">
        <v>222</v>
      </c>
      <c r="AK7" s="665" t="s">
        <v>494</v>
      </c>
      <c r="AL7" s="664" t="s">
        <v>783</v>
      </c>
      <c r="AM7" s="664" t="s">
        <v>222</v>
      </c>
      <c r="AN7" s="665" t="s">
        <v>494</v>
      </c>
      <c r="AO7" s="664" t="s">
        <v>783</v>
      </c>
      <c r="AP7" s="664" t="s">
        <v>222</v>
      </c>
      <c r="AQ7" s="665" t="s">
        <v>494</v>
      </c>
      <c r="AR7" s="664" t="s">
        <v>783</v>
      </c>
      <c r="AS7" s="664" t="s">
        <v>222</v>
      </c>
      <c r="AT7" s="665" t="s">
        <v>494</v>
      </c>
      <c r="AU7" s="664" t="s">
        <v>783</v>
      </c>
      <c r="AV7" s="664" t="s">
        <v>222</v>
      </c>
      <c r="AW7" s="665" t="s">
        <v>494</v>
      </c>
      <c r="AX7" s="664" t="s">
        <v>783</v>
      </c>
      <c r="AY7" s="664" t="s">
        <v>222</v>
      </c>
      <c r="AZ7" s="665" t="s">
        <v>494</v>
      </c>
      <c r="BA7" s="664" t="s">
        <v>783</v>
      </c>
      <c r="BB7" s="664" t="s">
        <v>222</v>
      </c>
      <c r="BC7" s="665" t="s">
        <v>494</v>
      </c>
      <c r="BD7" s="664" t="s">
        <v>783</v>
      </c>
      <c r="BE7" s="664" t="s">
        <v>222</v>
      </c>
      <c r="BF7" s="665" t="s">
        <v>494</v>
      </c>
      <c r="BG7" s="664" t="s">
        <v>783</v>
      </c>
      <c r="BH7" s="664" t="s">
        <v>222</v>
      </c>
      <c r="BI7" s="665" t="s">
        <v>494</v>
      </c>
      <c r="BJ7" s="664" t="s">
        <v>783</v>
      </c>
      <c r="BK7" s="664" t="s">
        <v>222</v>
      </c>
      <c r="BL7" s="665" t="s">
        <v>494</v>
      </c>
      <c r="BM7" s="664" t="s">
        <v>783</v>
      </c>
      <c r="BN7" s="664" t="s">
        <v>222</v>
      </c>
      <c r="BO7" s="665" t="s">
        <v>494</v>
      </c>
      <c r="BP7" s="664" t="s">
        <v>783</v>
      </c>
      <c r="BQ7" s="664" t="s">
        <v>222</v>
      </c>
      <c r="BR7" s="665" t="s">
        <v>494</v>
      </c>
      <c r="BS7" s="664" t="s">
        <v>783</v>
      </c>
      <c r="BT7" s="664" t="s">
        <v>222</v>
      </c>
      <c r="BU7" s="665" t="s">
        <v>494</v>
      </c>
      <c r="BV7" s="664" t="s">
        <v>783</v>
      </c>
      <c r="BW7" s="664" t="s">
        <v>222</v>
      </c>
      <c r="BX7" s="665" t="s">
        <v>494</v>
      </c>
      <c r="BY7" s="663"/>
      <c r="BZ7" s="666" t="s">
        <v>494</v>
      </c>
    </row>
    <row r="8" spans="1:81">
      <c r="A8" s="2277">
        <v>1</v>
      </c>
      <c r="B8" s="2278"/>
      <c r="C8" s="667" t="s">
        <v>768</v>
      </c>
      <c r="D8" s="667"/>
      <c r="E8" s="668"/>
      <c r="F8" s="669"/>
      <c r="G8" s="670"/>
      <c r="H8" s="671"/>
      <c r="I8" s="672"/>
      <c r="J8" s="673"/>
      <c r="K8" s="647"/>
      <c r="L8" s="673"/>
      <c r="M8" s="674"/>
      <c r="N8" s="673"/>
      <c r="O8" s="658"/>
      <c r="P8" s="674"/>
      <c r="Q8" s="673"/>
      <c r="R8" s="673"/>
      <c r="S8" s="674"/>
      <c r="T8" s="673"/>
      <c r="U8" s="658"/>
      <c r="V8" s="674"/>
      <c r="W8" s="674"/>
      <c r="X8" s="674"/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4"/>
      <c r="AJ8" s="674"/>
      <c r="AK8" s="674"/>
      <c r="AL8" s="674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4"/>
      <c r="AX8" s="674"/>
      <c r="AY8" s="674"/>
      <c r="AZ8" s="674"/>
      <c r="BA8" s="674"/>
      <c r="BB8" s="674"/>
      <c r="BC8" s="674"/>
      <c r="BD8" s="674"/>
      <c r="BE8" s="674"/>
      <c r="BF8" s="674"/>
      <c r="BG8" s="674"/>
      <c r="BH8" s="674"/>
      <c r="BI8" s="674"/>
      <c r="BJ8" s="674"/>
      <c r="BK8" s="674"/>
      <c r="BL8" s="674"/>
      <c r="BM8" s="674"/>
      <c r="BN8" s="674"/>
      <c r="BO8" s="674"/>
      <c r="BP8" s="674"/>
      <c r="BQ8" s="674"/>
      <c r="BR8" s="674"/>
      <c r="BS8" s="674"/>
      <c r="BT8" s="674"/>
      <c r="BU8" s="674"/>
      <c r="BV8" s="673"/>
      <c r="BW8" s="673"/>
      <c r="BX8" s="675"/>
      <c r="BY8" s="673"/>
      <c r="BZ8" s="674"/>
      <c r="CA8" s="676"/>
    </row>
    <row r="9" spans="1:81">
      <c r="A9" s="750"/>
      <c r="B9" s="751"/>
      <c r="C9" s="677" t="s">
        <v>1201</v>
      </c>
      <c r="D9" s="667"/>
      <c r="E9" s="678"/>
      <c r="F9" s="679"/>
      <c r="G9" s="680"/>
      <c r="H9" s="681"/>
      <c r="I9" s="692"/>
      <c r="J9" s="683"/>
      <c r="K9" s="684"/>
      <c r="L9" s="683"/>
      <c r="M9" s="685"/>
      <c r="N9" s="686"/>
      <c r="O9" s="683"/>
      <c r="P9" s="685"/>
      <c r="Q9" s="686"/>
      <c r="R9" s="683"/>
      <c r="S9" s="685"/>
      <c r="T9" s="686"/>
      <c r="U9" s="683"/>
      <c r="V9" s="685"/>
      <c r="W9" s="686"/>
      <c r="X9" s="683"/>
      <c r="Y9" s="685"/>
      <c r="Z9" s="686"/>
      <c r="AA9" s="683"/>
      <c r="AB9" s="685"/>
      <c r="AC9" s="686"/>
      <c r="AD9" s="683"/>
      <c r="AE9" s="685"/>
      <c r="AF9" s="686"/>
      <c r="AG9" s="683"/>
      <c r="AH9" s="685"/>
      <c r="AI9" s="686"/>
      <c r="AJ9" s="683"/>
      <c r="AK9" s="685"/>
      <c r="AL9" s="686"/>
      <c r="AM9" s="683"/>
      <c r="AN9" s="685"/>
      <c r="AO9" s="686"/>
      <c r="AP9" s="683"/>
      <c r="AQ9" s="685"/>
      <c r="AR9" s="686"/>
      <c r="AS9" s="683"/>
      <c r="AT9" s="685"/>
      <c r="AU9" s="686"/>
      <c r="AV9" s="683"/>
      <c r="AW9" s="685"/>
      <c r="AX9" s="686"/>
      <c r="AY9" s="683"/>
      <c r="AZ9" s="685"/>
      <c r="BA9" s="686"/>
      <c r="BB9" s="683"/>
      <c r="BC9" s="685"/>
      <c r="BD9" s="686"/>
      <c r="BE9" s="683"/>
      <c r="BF9" s="685"/>
      <c r="BG9" s="686"/>
      <c r="BH9" s="683"/>
      <c r="BI9" s="685"/>
      <c r="BJ9" s="686"/>
      <c r="BK9" s="683"/>
      <c r="BL9" s="685"/>
      <c r="BM9" s="686"/>
      <c r="BN9" s="683"/>
      <c r="BO9" s="685"/>
      <c r="BP9" s="686"/>
      <c r="BQ9" s="683"/>
      <c r="BR9" s="685"/>
      <c r="BS9" s="686"/>
      <c r="BT9" s="683"/>
      <c r="BU9" s="685"/>
      <c r="BV9" s="686"/>
      <c r="BW9" s="687">
        <f>INT((G9-L9-O9-R9-U9-X9-AA9-AD9-AG9-AJ9-AM9-AP9-BE9-BH9-BK9-BN9-BQ9-BT9-BB9-AY9-AV9-AS9)/10)*10</f>
        <v>0</v>
      </c>
      <c r="BX9" s="688"/>
      <c r="BY9" s="683">
        <f>L9+O9+R9+U9++X9+AA9+AD9+AG9+AJ9+AM9+AP9+BE9+BH9+BK9+BN9+BQ9+BW9+BT9+BB9+AY9+AV9+AS9</f>
        <v>0</v>
      </c>
      <c r="BZ9" s="689"/>
      <c r="CA9" s="676"/>
      <c r="CB9" s="676"/>
    </row>
    <row r="10" spans="1:81">
      <c r="A10" s="750"/>
      <c r="B10" s="751"/>
      <c r="C10" s="690" t="s">
        <v>1202</v>
      </c>
      <c r="E10" s="678"/>
      <c r="F10" s="679"/>
      <c r="G10" s="680"/>
      <c r="H10" s="681"/>
      <c r="I10" s="692"/>
      <c r="J10" s="683"/>
      <c r="K10" s="684"/>
      <c r="L10" s="683"/>
      <c r="M10" s="685"/>
      <c r="N10" s="686"/>
      <c r="O10" s="683"/>
      <c r="P10" s="685"/>
      <c r="Q10" s="686"/>
      <c r="R10" s="683"/>
      <c r="S10" s="685"/>
      <c r="T10" s="686"/>
      <c r="U10" s="683"/>
      <c r="V10" s="685"/>
      <c r="W10" s="686"/>
      <c r="X10" s="683"/>
      <c r="Y10" s="685"/>
      <c r="Z10" s="686"/>
      <c r="AA10" s="683"/>
      <c r="AB10" s="685"/>
      <c r="AC10" s="686"/>
      <c r="AD10" s="683"/>
      <c r="AE10" s="685"/>
      <c r="AF10" s="686"/>
      <c r="AG10" s="683"/>
      <c r="AH10" s="685"/>
      <c r="AI10" s="686"/>
      <c r="AJ10" s="683"/>
      <c r="AK10" s="685"/>
      <c r="AL10" s="686"/>
      <c r="AM10" s="683"/>
      <c r="AN10" s="685"/>
      <c r="AO10" s="686"/>
      <c r="AP10" s="683"/>
      <c r="AQ10" s="685"/>
      <c r="AR10" s="686"/>
      <c r="AS10" s="683"/>
      <c r="AT10" s="685"/>
      <c r="AU10" s="686"/>
      <c r="AV10" s="683"/>
      <c r="AW10" s="685"/>
      <c r="AX10" s="686"/>
      <c r="AY10" s="683"/>
      <c r="AZ10" s="685"/>
      <c r="BA10" s="686"/>
      <c r="BB10" s="683"/>
      <c r="BC10" s="685"/>
      <c r="BD10" s="686"/>
      <c r="BE10" s="683"/>
      <c r="BF10" s="685"/>
      <c r="BG10" s="686"/>
      <c r="BH10" s="683"/>
      <c r="BI10" s="685"/>
      <c r="BJ10" s="686"/>
      <c r="BK10" s="683"/>
      <c r="BL10" s="685"/>
      <c r="BM10" s="686"/>
      <c r="BN10" s="683"/>
      <c r="BO10" s="685"/>
      <c r="BP10" s="686"/>
      <c r="BQ10" s="683"/>
      <c r="BR10" s="685"/>
      <c r="BS10" s="686"/>
      <c r="BT10" s="683"/>
      <c r="BU10" s="685"/>
      <c r="BV10" s="686"/>
      <c r="BW10" s="687">
        <f t="shared" ref="BW10:BW35" si="1">INT((G10-L10-O10-R10-U10-X10-AA10-AD10-AG10-AJ10-AM10-AP10-BE10-BH10-BK10-BN10-BQ10-BT10-BB10-AY10-AV10-AS10)/10)*10</f>
        <v>0</v>
      </c>
      <c r="BX10" s="688"/>
      <c r="BY10" s="683">
        <f t="shared" ref="BY10:BY35" si="2">L10+O10+R10+U10++X10+AA10+AD10+AG10+AJ10+AM10+AP10+BE10+BH10+BK10+BN10+BQ10+BW10+BT10+BB10+AY10+AV10+AS10</f>
        <v>0</v>
      </c>
      <c r="BZ10" s="693"/>
      <c r="CA10" s="676"/>
    </row>
    <row r="11" spans="1:81">
      <c r="A11" s="750"/>
      <c r="B11" s="751"/>
      <c r="C11" s="677" t="s">
        <v>1203</v>
      </c>
      <c r="D11" s="667"/>
      <c r="E11" s="678"/>
      <c r="F11" s="679"/>
      <c r="G11" s="680"/>
      <c r="H11" s="681"/>
      <c r="I11" s="682"/>
      <c r="J11" s="683"/>
      <c r="K11" s="684"/>
      <c r="L11" s="683"/>
      <c r="M11" s="685"/>
      <c r="N11" s="686"/>
      <c r="O11" s="683"/>
      <c r="P11" s="685"/>
      <c r="Q11" s="686"/>
      <c r="R11" s="683"/>
      <c r="S11" s="685"/>
      <c r="T11" s="686"/>
      <c r="U11" s="683"/>
      <c r="V11" s="685"/>
      <c r="W11" s="686"/>
      <c r="X11" s="683"/>
      <c r="Y11" s="685"/>
      <c r="Z11" s="686"/>
      <c r="AA11" s="683"/>
      <c r="AB11" s="685"/>
      <c r="AC11" s="686"/>
      <c r="AD11" s="683"/>
      <c r="AE11" s="685"/>
      <c r="AF11" s="686"/>
      <c r="AG11" s="683"/>
      <c r="AH11" s="685"/>
      <c r="AI11" s="686"/>
      <c r="AJ11" s="683"/>
      <c r="AK11" s="685"/>
      <c r="AL11" s="686"/>
      <c r="AM11" s="683"/>
      <c r="AN11" s="685"/>
      <c r="AO11" s="686"/>
      <c r="AP11" s="683"/>
      <c r="AQ11" s="685"/>
      <c r="AR11" s="686"/>
      <c r="AS11" s="683"/>
      <c r="AT11" s="685"/>
      <c r="AU11" s="686"/>
      <c r="AV11" s="683"/>
      <c r="AW11" s="685"/>
      <c r="AX11" s="686"/>
      <c r="AY11" s="683"/>
      <c r="AZ11" s="685"/>
      <c r="BA11" s="686"/>
      <c r="BB11" s="683"/>
      <c r="BC11" s="685"/>
      <c r="BD11" s="686"/>
      <c r="BE11" s="683"/>
      <c r="BF11" s="685"/>
      <c r="BG11" s="686"/>
      <c r="BH11" s="683"/>
      <c r="BI11" s="685"/>
      <c r="BJ11" s="686"/>
      <c r="BK11" s="683"/>
      <c r="BL11" s="685"/>
      <c r="BM11" s="686"/>
      <c r="BN11" s="683"/>
      <c r="BO11" s="685"/>
      <c r="BP11" s="686"/>
      <c r="BQ11" s="683"/>
      <c r="BR11" s="685"/>
      <c r="BS11" s="686"/>
      <c r="BT11" s="683"/>
      <c r="BU11" s="685"/>
      <c r="BV11" s="686"/>
      <c r="BW11" s="687">
        <f t="shared" si="1"/>
        <v>0</v>
      </c>
      <c r="BX11" s="688"/>
      <c r="BY11" s="683">
        <f t="shared" si="2"/>
        <v>0</v>
      </c>
      <c r="BZ11" s="689"/>
      <c r="CA11" s="676"/>
    </row>
    <row r="12" spans="1:81">
      <c r="A12" s="750"/>
      <c r="B12" s="751"/>
      <c r="C12" s="690" t="s">
        <v>1208</v>
      </c>
      <c r="E12" s="691"/>
      <c r="F12" s="679">
        <f>SUM('ปร.4 road'!K8:K18)</f>
        <v>154088.16</v>
      </c>
      <c r="G12" s="680">
        <f>F12</f>
        <v>154088.16</v>
      </c>
      <c r="H12" s="681">
        <f>((G12*100)/$G$37)</f>
        <v>10.026195562456572</v>
      </c>
      <c r="I12" s="682">
        <v>1.1000000000000001</v>
      </c>
      <c r="J12" s="683" t="s">
        <v>784</v>
      </c>
      <c r="K12" s="684">
        <v>1</v>
      </c>
      <c r="L12" s="683">
        <f t="shared" ref="L12" si="3">INT((($G12/$I12)*K12)/100)*100</f>
        <v>140000</v>
      </c>
      <c r="M12" s="685">
        <f>ROUND((((L12/$E$37)*100)/0.01)*0.01,2)</f>
        <v>9.11</v>
      </c>
      <c r="N12" s="684">
        <v>0</v>
      </c>
      <c r="O12" s="683">
        <f t="shared" ref="O12" si="4">INT((($G12/$I12)*N12)/100)*100</f>
        <v>0</v>
      </c>
      <c r="P12" s="685">
        <f>ROUND((((O12/$E$37)*100)/0.01)*0.01,2)</f>
        <v>0</v>
      </c>
      <c r="Q12" s="684">
        <v>0</v>
      </c>
      <c r="R12" s="683">
        <f t="shared" ref="R12" si="5">INT((($G12/$I12)*Q12)/100)*100</f>
        <v>0</v>
      </c>
      <c r="S12" s="685">
        <f>ROUND((((R12/$E$37)*100)/0.01)*0.01,2)</f>
        <v>0</v>
      </c>
      <c r="T12" s="684">
        <v>0</v>
      </c>
      <c r="U12" s="683">
        <f t="shared" ref="U12" si="6">INT((($G12/$I12)*T12)/100)*100</f>
        <v>0</v>
      </c>
      <c r="V12" s="685">
        <f>ROUND((((U12/$E$37)*100)/0.01)*0.01,2)</f>
        <v>0</v>
      </c>
      <c r="W12" s="684">
        <v>0</v>
      </c>
      <c r="X12" s="683">
        <f t="shared" ref="X12" si="7">INT((($G12/$I12)*W12)/100)*100</f>
        <v>0</v>
      </c>
      <c r="Y12" s="685">
        <f>ROUND((((X12/$E$37)*100)/0.01)*0.01,2)</f>
        <v>0</v>
      </c>
      <c r="Z12" s="686">
        <v>0</v>
      </c>
      <c r="AA12" s="683">
        <f t="shared" ref="AA12" si="8">INT((($G12/$I12)*Z12)/100)*100</f>
        <v>0</v>
      </c>
      <c r="AB12" s="685">
        <f>ROUND((((AA12/$E$37)*100)/0.01)*0.01,2)</f>
        <v>0</v>
      </c>
      <c r="AC12" s="686">
        <v>0</v>
      </c>
      <c r="AD12" s="683">
        <f t="shared" ref="AD12" si="9">INT((($G12/$I12)*AC12)/100)*100</f>
        <v>0</v>
      </c>
      <c r="AE12" s="685">
        <f>ROUND((((AD12/$E$37)*100)/0.01)*0.01,2)</f>
        <v>0</v>
      </c>
      <c r="AF12" s="686">
        <v>0</v>
      </c>
      <c r="AG12" s="683">
        <f t="shared" ref="AG12" si="10">INT((($G12/$I12)*AF12)/100)*100</f>
        <v>0</v>
      </c>
      <c r="AH12" s="685">
        <f>ROUND((((AG12/$E$37)*100)/0.01)*0.01,2)</f>
        <v>0</v>
      </c>
      <c r="AI12" s="686">
        <v>0</v>
      </c>
      <c r="AJ12" s="683">
        <f t="shared" ref="AJ12" si="11">INT((($G12/$I12)*AI12)/100)*100</f>
        <v>0</v>
      </c>
      <c r="AK12" s="685">
        <f>ROUND((((AJ12/$E$37)*100)/0.01)*0.01,2)</f>
        <v>0</v>
      </c>
      <c r="AL12" s="686">
        <v>0</v>
      </c>
      <c r="AM12" s="683">
        <f t="shared" ref="AM12" si="12">INT((($G12/$I12)*AL12)/100)*100</f>
        <v>0</v>
      </c>
      <c r="AN12" s="685">
        <f>ROUND((((AM12/$E$37)*100)/0.01)*0.01,2)</f>
        <v>0</v>
      </c>
      <c r="AO12" s="686">
        <v>0</v>
      </c>
      <c r="AP12" s="683">
        <f t="shared" ref="AP12" si="13">INT((($G12/$I12)*AO12)/100)*100</f>
        <v>0</v>
      </c>
      <c r="AQ12" s="685">
        <f>ROUND((((AP12/$E$37)*100)/0.01)*0.01,2)</f>
        <v>0</v>
      </c>
      <c r="AR12" s="686">
        <v>0</v>
      </c>
      <c r="AS12" s="683">
        <f t="shared" ref="AS12:AS14" si="14">INT((($G12/$I12)*AR12)/100)*100</f>
        <v>0</v>
      </c>
      <c r="AT12" s="685">
        <f>ROUND((((AS12/$E$37)*100)/0.01)*0.01,2)</f>
        <v>0</v>
      </c>
      <c r="AU12" s="686">
        <v>0</v>
      </c>
      <c r="AV12" s="683">
        <f t="shared" ref="AV12:AV14" si="15">INT((($G12/$I12)*AU12)/100)*100</f>
        <v>0</v>
      </c>
      <c r="AW12" s="685">
        <f>ROUND((((AV12/$E$37)*100)/0.01)*0.01,2)</f>
        <v>0</v>
      </c>
      <c r="AX12" s="686">
        <v>0</v>
      </c>
      <c r="AY12" s="683">
        <f t="shared" ref="AY12:AY14" si="16">INT((($G12/$I12)*AX12)/100)*100</f>
        <v>0</v>
      </c>
      <c r="AZ12" s="685">
        <f>ROUND((((AY12/$E$37)*100)/0.01)*0.01,2)</f>
        <v>0</v>
      </c>
      <c r="BA12" s="686">
        <v>0</v>
      </c>
      <c r="BB12" s="683">
        <f t="shared" ref="BB12:BB14" si="17">INT((($G12/$I12)*BA12)/100)*100</f>
        <v>0</v>
      </c>
      <c r="BC12" s="685">
        <f>ROUND((((BB12/$E$37)*100)/0.01)*0.01,2)</f>
        <v>0</v>
      </c>
      <c r="BD12" s="686">
        <v>0</v>
      </c>
      <c r="BE12" s="683">
        <f t="shared" ref="BE12:BE14" si="18">INT((($G12/$I12)*BD12)/100)*100</f>
        <v>0</v>
      </c>
      <c r="BF12" s="685">
        <f>ROUND((((BE12/$E$37)*100)/0.01)*0.01,2)</f>
        <v>0</v>
      </c>
      <c r="BG12" s="686">
        <v>0</v>
      </c>
      <c r="BH12" s="683">
        <f t="shared" ref="BH12" si="19">INT((($G12/$I12)*BG12)/100)*100</f>
        <v>0</v>
      </c>
      <c r="BI12" s="685">
        <f>ROUND((((BH12/$E$37)*100)/0.01)*0.01,2)</f>
        <v>0</v>
      </c>
      <c r="BJ12" s="686">
        <v>0</v>
      </c>
      <c r="BK12" s="683">
        <f t="shared" ref="BK12" si="20">INT((($G12/$I12)*BJ12)/100)*100</f>
        <v>0</v>
      </c>
      <c r="BL12" s="685">
        <f>ROUND((((BK12/$E$37)*100)/0.01)*0.01,2)</f>
        <v>0</v>
      </c>
      <c r="BM12" s="686">
        <v>0</v>
      </c>
      <c r="BN12" s="683">
        <f t="shared" ref="BN12" si="21">INT((($G12/$I12)*BM12)/100)*100</f>
        <v>0</v>
      </c>
      <c r="BO12" s="685">
        <f>ROUND((((BN12/$E$37)*100)/0.01)*0.01,2)</f>
        <v>0</v>
      </c>
      <c r="BP12" s="686">
        <v>0</v>
      </c>
      <c r="BQ12" s="683">
        <f t="shared" ref="BQ12" si="22">INT((($G12/$I12)*BP12)/100)*100</f>
        <v>0</v>
      </c>
      <c r="BR12" s="685">
        <f>ROUND((((BQ12/$E$37)*100)/0.01)*0.01,2)</f>
        <v>0</v>
      </c>
      <c r="BS12" s="686">
        <v>0</v>
      </c>
      <c r="BT12" s="683">
        <f t="shared" ref="BT12" si="23">INT((($G12/$I12)*BS12)/100)*100</f>
        <v>0</v>
      </c>
      <c r="BU12" s="685">
        <f>ROUND((((BT12/$E$37)*100)/0.01)*0.01,2)</f>
        <v>0</v>
      </c>
      <c r="BV12" s="686">
        <f>I12-K12-N12-Q12-T12-W12-Z12-AC12-AF12-AI12-AL12-AO12-BD12-BG12-BJ12-BM12-BP12-BS12</f>
        <v>0.10000000000000009</v>
      </c>
      <c r="BW12" s="687">
        <f t="shared" si="1"/>
        <v>14080</v>
      </c>
      <c r="BX12" s="688">
        <f>H12-M12-P12-S12-V12-Y12-AB12-AE12-AH12-AK12-AN12-AQ12-BF12-BI12-BL12-BO12-BR12-BU12-BC12-AZ12-AW12-AT12</f>
        <v>0.91619556245657208</v>
      </c>
      <c r="BY12" s="683">
        <f t="shared" si="2"/>
        <v>154080</v>
      </c>
      <c r="BZ12" s="693"/>
      <c r="CA12" s="676"/>
    </row>
    <row r="13" spans="1:81">
      <c r="A13" s="750"/>
      <c r="B13" s="751"/>
      <c r="C13" s="690" t="s">
        <v>1209</v>
      </c>
      <c r="E13" s="691"/>
      <c r="F13" s="679">
        <f>SUM('ปร.4 road'!K23)</f>
        <v>0</v>
      </c>
      <c r="G13" s="680">
        <f t="shared" ref="G13:G14" si="24">F13</f>
        <v>0</v>
      </c>
      <c r="H13" s="681">
        <f>((G13*100)/$G$37)</f>
        <v>0</v>
      </c>
      <c r="I13" s="682">
        <v>1.1000000000000001</v>
      </c>
      <c r="J13" s="683" t="s">
        <v>784</v>
      </c>
      <c r="K13" s="684">
        <v>0.5</v>
      </c>
      <c r="L13" s="683">
        <f t="shared" ref="L13:L14" si="25">INT((($G13/$I13)*K13)/100)*100</f>
        <v>0</v>
      </c>
      <c r="M13" s="685">
        <f>ROUND((((L13/$E$37)*100)/0.01)*0.01,2)</f>
        <v>0</v>
      </c>
      <c r="N13" s="684">
        <v>0.5</v>
      </c>
      <c r="O13" s="683">
        <f t="shared" ref="O13:O14" si="26">INT((($G13/$I13)*N13)/100)*100</f>
        <v>0</v>
      </c>
      <c r="P13" s="685">
        <f>ROUND((((O13/$E$37)*100)/0.01)*0.01,2)</f>
        <v>0</v>
      </c>
      <c r="Q13" s="684">
        <v>0</v>
      </c>
      <c r="R13" s="683">
        <f t="shared" ref="R13:R14" si="27">INT((($G13/$I13)*Q13)/100)*100</f>
        <v>0</v>
      </c>
      <c r="S13" s="685">
        <f>ROUND((((R13/$E$37)*100)/0.01)*0.01,2)</f>
        <v>0</v>
      </c>
      <c r="T13" s="684">
        <v>0</v>
      </c>
      <c r="U13" s="683">
        <f t="shared" ref="U13:U14" si="28">INT((($G13/$I13)*T13)/100)*100</f>
        <v>0</v>
      </c>
      <c r="V13" s="685">
        <f>ROUND((((U13/$E$37)*100)/0.01)*0.01,2)</f>
        <v>0</v>
      </c>
      <c r="W13" s="684">
        <v>0</v>
      </c>
      <c r="X13" s="683">
        <f t="shared" ref="X13:X14" si="29">INT((($G13/$I13)*W13)/100)*100</f>
        <v>0</v>
      </c>
      <c r="Y13" s="685">
        <f>ROUND((((X13/$E$37)*100)/0.01)*0.01,2)</f>
        <v>0</v>
      </c>
      <c r="Z13" s="686">
        <v>0</v>
      </c>
      <c r="AA13" s="683">
        <f t="shared" ref="AA13:AA14" si="30">INT((($G13/$I13)*Z13)/100)*100</f>
        <v>0</v>
      </c>
      <c r="AB13" s="685">
        <f>ROUND((((AA13/$E$37)*100)/0.01)*0.01,2)</f>
        <v>0</v>
      </c>
      <c r="AC13" s="686">
        <v>0</v>
      </c>
      <c r="AD13" s="683">
        <f t="shared" ref="AD13:AD14" si="31">INT((($G13/$I13)*AC13)/100)*100</f>
        <v>0</v>
      </c>
      <c r="AE13" s="685">
        <f>ROUND((((AD13/$E$37)*100)/0.01)*0.01,2)</f>
        <v>0</v>
      </c>
      <c r="AF13" s="686">
        <v>0</v>
      </c>
      <c r="AG13" s="683">
        <f t="shared" ref="AG13:AG14" si="32">INT((($G13/$I13)*AF13)/100)*100</f>
        <v>0</v>
      </c>
      <c r="AH13" s="685">
        <f>ROUND((((AG13/$E$37)*100)/0.01)*0.01,2)</f>
        <v>0</v>
      </c>
      <c r="AI13" s="686">
        <v>0</v>
      </c>
      <c r="AJ13" s="683">
        <f t="shared" ref="AJ13:AJ14" si="33">INT((($G13/$I13)*AI13)/100)*100</f>
        <v>0</v>
      </c>
      <c r="AK13" s="685">
        <f>ROUND((((AJ13/$E$37)*100)/0.01)*0.01,2)</f>
        <v>0</v>
      </c>
      <c r="AL13" s="686">
        <v>0</v>
      </c>
      <c r="AM13" s="683">
        <f t="shared" ref="AM13:AM14" si="34">INT((($G13/$I13)*AL13)/100)*100</f>
        <v>0</v>
      </c>
      <c r="AN13" s="685">
        <f>ROUND((((AM13/$E$37)*100)/0.01)*0.01,2)</f>
        <v>0</v>
      </c>
      <c r="AO13" s="686">
        <v>0</v>
      </c>
      <c r="AP13" s="683">
        <f t="shared" ref="AP13:AP14" si="35">INT((($G13/$I13)*AO13)/100)*100</f>
        <v>0</v>
      </c>
      <c r="AQ13" s="685">
        <f>ROUND((((AP13/$E$37)*100)/0.01)*0.01,2)</f>
        <v>0</v>
      </c>
      <c r="AR13" s="686">
        <v>0</v>
      </c>
      <c r="AS13" s="683">
        <f t="shared" si="14"/>
        <v>0</v>
      </c>
      <c r="AT13" s="685">
        <f>ROUND((((AS13/$E$37)*100)/0.01)*0.01,2)</f>
        <v>0</v>
      </c>
      <c r="AU13" s="686">
        <v>0</v>
      </c>
      <c r="AV13" s="683">
        <f t="shared" si="15"/>
        <v>0</v>
      </c>
      <c r="AW13" s="685">
        <f>ROUND((((AV13/$E$37)*100)/0.01)*0.01,2)</f>
        <v>0</v>
      </c>
      <c r="AX13" s="686">
        <v>0</v>
      </c>
      <c r="AY13" s="683">
        <f t="shared" si="16"/>
        <v>0</v>
      </c>
      <c r="AZ13" s="685">
        <f>ROUND((((AY13/$E$37)*100)/0.01)*0.01,2)</f>
        <v>0</v>
      </c>
      <c r="BA13" s="686">
        <v>0</v>
      </c>
      <c r="BB13" s="683">
        <f t="shared" si="17"/>
        <v>0</v>
      </c>
      <c r="BC13" s="685">
        <f>ROUND((((BB13/$E$37)*100)/0.01)*0.01,2)</f>
        <v>0</v>
      </c>
      <c r="BD13" s="686">
        <v>0</v>
      </c>
      <c r="BE13" s="683">
        <f t="shared" si="18"/>
        <v>0</v>
      </c>
      <c r="BF13" s="685">
        <f>ROUND((((BE13/$E$37)*100)/0.01)*0.01,2)</f>
        <v>0</v>
      </c>
      <c r="BG13" s="686">
        <v>0</v>
      </c>
      <c r="BH13" s="683">
        <f t="shared" ref="BH13:BH14" si="36">INT((($G13/$I13)*BG13)/100)*100</f>
        <v>0</v>
      </c>
      <c r="BI13" s="685">
        <f>ROUND((((BH13/$E$37)*100)/0.01)*0.01,2)</f>
        <v>0</v>
      </c>
      <c r="BJ13" s="686">
        <v>0</v>
      </c>
      <c r="BK13" s="683">
        <f t="shared" ref="BK13:BK14" si="37">INT((($G13/$I13)*BJ13)/100)*100</f>
        <v>0</v>
      </c>
      <c r="BL13" s="685">
        <f>ROUND((((BK13/$E$37)*100)/0.01)*0.01,2)</f>
        <v>0</v>
      </c>
      <c r="BM13" s="686">
        <v>0</v>
      </c>
      <c r="BN13" s="683">
        <f t="shared" ref="BN13:BN14" si="38">INT((($G13/$I13)*BM13)/100)*100</f>
        <v>0</v>
      </c>
      <c r="BO13" s="685">
        <f>ROUND((((BN13/$E$37)*100)/0.01)*0.01,2)</f>
        <v>0</v>
      </c>
      <c r="BP13" s="686">
        <v>0</v>
      </c>
      <c r="BQ13" s="683">
        <f t="shared" ref="BQ13:BQ14" si="39">INT((($G13/$I13)*BP13)/100)*100</f>
        <v>0</v>
      </c>
      <c r="BR13" s="685">
        <f>ROUND((((BQ13/$E$37)*100)/0.01)*0.01,2)</f>
        <v>0</v>
      </c>
      <c r="BS13" s="686">
        <v>0</v>
      </c>
      <c r="BT13" s="683">
        <f t="shared" ref="BT13:BT14" si="40">INT((($G13/$I13)*BS13)/100)*100</f>
        <v>0</v>
      </c>
      <c r="BU13" s="685">
        <f>ROUND((((BT13/$E$37)*100)/0.01)*0.01,2)</f>
        <v>0</v>
      </c>
      <c r="BV13" s="686">
        <f>I13-K13-N13-Q13-T13-W13-Z13-AC13-AF13-AI13-AL13-AO13-BD13-BG13-BJ13-BM13-BP13-BS13</f>
        <v>0.10000000000000009</v>
      </c>
      <c r="BW13" s="687">
        <f t="shared" si="1"/>
        <v>0</v>
      </c>
      <c r="BX13" s="688">
        <f t="shared" ref="BX13:BX35" si="41">H13-M13-P13-S13-V13-Y13-AB13-AE13-AH13-AK13-AN13-AQ13-BF13-BI13-BL13-BO13-BR13-BU13-BC13-AZ13-AW13-AT13</f>
        <v>0</v>
      </c>
      <c r="BY13" s="683">
        <f t="shared" si="2"/>
        <v>0</v>
      </c>
      <c r="BZ13" s="693"/>
      <c r="CA13" s="676"/>
    </row>
    <row r="14" spans="1:81">
      <c r="A14" s="750"/>
      <c r="B14" s="751"/>
      <c r="C14" s="690" t="s">
        <v>1210</v>
      </c>
      <c r="E14" s="691"/>
      <c r="F14" s="679">
        <f>SUM('ปร.4 road'!K28)</f>
        <v>1359091.44</v>
      </c>
      <c r="G14" s="680">
        <f t="shared" si="24"/>
        <v>1359091.44</v>
      </c>
      <c r="H14" s="681">
        <f>((G14*100)/$G$37)</f>
        <v>88.433248633124776</v>
      </c>
      <c r="I14" s="682">
        <v>1.1000000000000001</v>
      </c>
      <c r="J14" s="683" t="s">
        <v>784</v>
      </c>
      <c r="K14" s="684">
        <v>0</v>
      </c>
      <c r="L14" s="683">
        <f t="shared" si="25"/>
        <v>0</v>
      </c>
      <c r="M14" s="685">
        <f>ROUND((((L14/$E$37)*100)/0.01)*0.01,2)</f>
        <v>0</v>
      </c>
      <c r="N14" s="684">
        <v>0.5</v>
      </c>
      <c r="O14" s="683">
        <f t="shared" si="26"/>
        <v>617700</v>
      </c>
      <c r="P14" s="685">
        <f>ROUND((((O14/$E$37)*100)/0.01)*0.01,2)</f>
        <v>40.19</v>
      </c>
      <c r="Q14" s="684">
        <v>0.5</v>
      </c>
      <c r="R14" s="683">
        <f t="shared" si="27"/>
        <v>617700</v>
      </c>
      <c r="S14" s="685">
        <f>ROUND((((R14/$E$37)*100)/0.01)*0.01,2)</f>
        <v>40.19</v>
      </c>
      <c r="T14" s="684">
        <v>0</v>
      </c>
      <c r="U14" s="683">
        <f t="shared" si="28"/>
        <v>0</v>
      </c>
      <c r="V14" s="685">
        <f>ROUND((((U14/$E$37)*100)/0.01)*0.01,2)</f>
        <v>0</v>
      </c>
      <c r="W14" s="684">
        <v>0</v>
      </c>
      <c r="X14" s="683">
        <f t="shared" si="29"/>
        <v>0</v>
      </c>
      <c r="Y14" s="685">
        <f>ROUND((((X14/$E$37)*100)/0.01)*0.01,2)</f>
        <v>0</v>
      </c>
      <c r="Z14" s="686">
        <v>0</v>
      </c>
      <c r="AA14" s="683">
        <f t="shared" si="30"/>
        <v>0</v>
      </c>
      <c r="AB14" s="685">
        <f>ROUND((((AA14/$E$37)*100)/0.01)*0.01,2)</f>
        <v>0</v>
      </c>
      <c r="AC14" s="686">
        <v>0</v>
      </c>
      <c r="AD14" s="683">
        <f t="shared" si="31"/>
        <v>0</v>
      </c>
      <c r="AE14" s="685">
        <f>ROUND((((AD14/$E$37)*100)/0.01)*0.01,2)</f>
        <v>0</v>
      </c>
      <c r="AF14" s="686">
        <v>0</v>
      </c>
      <c r="AG14" s="683">
        <f t="shared" si="32"/>
        <v>0</v>
      </c>
      <c r="AH14" s="685">
        <f>ROUND((((AG14/$E$37)*100)/0.01)*0.01,2)</f>
        <v>0</v>
      </c>
      <c r="AI14" s="686">
        <v>0</v>
      </c>
      <c r="AJ14" s="683">
        <f t="shared" si="33"/>
        <v>0</v>
      </c>
      <c r="AK14" s="685">
        <f>ROUND((((AJ14/$E$37)*100)/0.01)*0.01,2)</f>
        <v>0</v>
      </c>
      <c r="AL14" s="686">
        <v>0</v>
      </c>
      <c r="AM14" s="683">
        <f t="shared" si="34"/>
        <v>0</v>
      </c>
      <c r="AN14" s="685">
        <f>ROUND((((AM14/$E$37)*100)/0.01)*0.01,2)</f>
        <v>0</v>
      </c>
      <c r="AO14" s="686">
        <v>0</v>
      </c>
      <c r="AP14" s="683">
        <f t="shared" si="35"/>
        <v>0</v>
      </c>
      <c r="AQ14" s="685">
        <f>ROUND((((AP14/$E$37)*100)/0.01)*0.01,2)</f>
        <v>0</v>
      </c>
      <c r="AR14" s="686">
        <v>0</v>
      </c>
      <c r="AS14" s="683">
        <f t="shared" si="14"/>
        <v>0</v>
      </c>
      <c r="AT14" s="685">
        <f>ROUND((((AS14/$E$37)*100)/0.01)*0.01,2)</f>
        <v>0</v>
      </c>
      <c r="AU14" s="686">
        <v>0</v>
      </c>
      <c r="AV14" s="683">
        <f t="shared" si="15"/>
        <v>0</v>
      </c>
      <c r="AW14" s="685">
        <f>ROUND((((AV14/$E$37)*100)/0.01)*0.01,2)</f>
        <v>0</v>
      </c>
      <c r="AX14" s="686">
        <v>0</v>
      </c>
      <c r="AY14" s="683">
        <f t="shared" si="16"/>
        <v>0</v>
      </c>
      <c r="AZ14" s="685">
        <f>ROUND((((AY14/$E$37)*100)/0.01)*0.01,2)</f>
        <v>0</v>
      </c>
      <c r="BA14" s="686">
        <v>0</v>
      </c>
      <c r="BB14" s="683">
        <f t="shared" si="17"/>
        <v>0</v>
      </c>
      <c r="BC14" s="685">
        <f>ROUND((((BB14/$E$37)*100)/0.01)*0.01,2)</f>
        <v>0</v>
      </c>
      <c r="BD14" s="686">
        <v>0</v>
      </c>
      <c r="BE14" s="683">
        <f t="shared" si="18"/>
        <v>0</v>
      </c>
      <c r="BF14" s="685">
        <f>ROUND((((BE14/$E$37)*100)/0.01)*0.01,2)</f>
        <v>0</v>
      </c>
      <c r="BG14" s="686">
        <v>0</v>
      </c>
      <c r="BH14" s="683">
        <f t="shared" si="36"/>
        <v>0</v>
      </c>
      <c r="BI14" s="685">
        <f>ROUND((((BH14/$E$37)*100)/0.01)*0.01,2)</f>
        <v>0</v>
      </c>
      <c r="BJ14" s="686">
        <v>0</v>
      </c>
      <c r="BK14" s="683">
        <f t="shared" si="37"/>
        <v>0</v>
      </c>
      <c r="BL14" s="685">
        <f>ROUND((((BK14/$E$37)*100)/0.01)*0.01,2)</f>
        <v>0</v>
      </c>
      <c r="BM14" s="686">
        <v>0</v>
      </c>
      <c r="BN14" s="683">
        <f t="shared" si="38"/>
        <v>0</v>
      </c>
      <c r="BO14" s="685">
        <f>ROUND((((BN14/$E$37)*100)/0.01)*0.01,2)</f>
        <v>0</v>
      </c>
      <c r="BP14" s="686">
        <v>0</v>
      </c>
      <c r="BQ14" s="683">
        <f t="shared" si="39"/>
        <v>0</v>
      </c>
      <c r="BR14" s="685">
        <f>ROUND((((BQ14/$E$37)*100)/0.01)*0.01,2)</f>
        <v>0</v>
      </c>
      <c r="BS14" s="686">
        <v>0</v>
      </c>
      <c r="BT14" s="683">
        <f t="shared" si="40"/>
        <v>0</v>
      </c>
      <c r="BU14" s="685">
        <f>ROUND((((BT14/$E$37)*100)/0.01)*0.01,2)</f>
        <v>0</v>
      </c>
      <c r="BV14" s="686">
        <f>I14-K14-N14-Q14-T14-W14-Z14-AC14-AF14-AI14-AL14-AO14-BD14-BG14-BJ14-BM14-BP14-BS14</f>
        <v>0.10000000000000009</v>
      </c>
      <c r="BW14" s="687">
        <f t="shared" si="1"/>
        <v>123690</v>
      </c>
      <c r="BX14" s="688">
        <f t="shared" si="41"/>
        <v>8.053248633124781</v>
      </c>
      <c r="BY14" s="683">
        <f t="shared" si="2"/>
        <v>1359090</v>
      </c>
      <c r="BZ14" s="693"/>
      <c r="CA14" s="676"/>
    </row>
    <row r="15" spans="1:81">
      <c r="A15" s="750"/>
      <c r="B15" s="751"/>
      <c r="C15" s="690" t="s">
        <v>1204</v>
      </c>
      <c r="E15" s="691"/>
      <c r="F15" s="679"/>
      <c r="G15" s="680"/>
      <c r="H15" s="681"/>
      <c r="I15" s="692"/>
      <c r="J15" s="683"/>
      <c r="K15" s="684"/>
      <c r="L15" s="683"/>
      <c r="M15" s="685"/>
      <c r="N15" s="686"/>
      <c r="O15" s="683"/>
      <c r="P15" s="685"/>
      <c r="Q15" s="686"/>
      <c r="R15" s="683"/>
      <c r="S15" s="685"/>
      <c r="T15" s="686"/>
      <c r="U15" s="683"/>
      <c r="V15" s="685"/>
      <c r="W15" s="686"/>
      <c r="X15" s="683"/>
      <c r="Y15" s="685"/>
      <c r="Z15" s="686"/>
      <c r="AA15" s="683"/>
      <c r="AB15" s="685"/>
      <c r="AC15" s="686"/>
      <c r="AD15" s="683"/>
      <c r="AE15" s="685"/>
      <c r="AF15" s="686"/>
      <c r="AG15" s="683"/>
      <c r="AH15" s="685"/>
      <c r="AI15" s="686"/>
      <c r="AJ15" s="683"/>
      <c r="AK15" s="685"/>
      <c r="AL15" s="686"/>
      <c r="AM15" s="683"/>
      <c r="AN15" s="685"/>
      <c r="AO15" s="686"/>
      <c r="AP15" s="683"/>
      <c r="AQ15" s="685"/>
      <c r="AR15" s="686"/>
      <c r="AS15" s="683"/>
      <c r="AT15" s="685"/>
      <c r="AU15" s="686"/>
      <c r="AV15" s="683"/>
      <c r="AW15" s="685"/>
      <c r="AX15" s="686"/>
      <c r="AY15" s="683"/>
      <c r="AZ15" s="685"/>
      <c r="BA15" s="686"/>
      <c r="BB15" s="683"/>
      <c r="BC15" s="685"/>
      <c r="BD15" s="686"/>
      <c r="BE15" s="683"/>
      <c r="BF15" s="685"/>
      <c r="BG15" s="686"/>
      <c r="BH15" s="683"/>
      <c r="BI15" s="685"/>
      <c r="BJ15" s="686"/>
      <c r="BK15" s="683"/>
      <c r="BL15" s="685"/>
      <c r="BM15" s="686"/>
      <c r="BN15" s="683"/>
      <c r="BO15" s="685"/>
      <c r="BP15" s="686"/>
      <c r="BQ15" s="683"/>
      <c r="BR15" s="685"/>
      <c r="BS15" s="686"/>
      <c r="BT15" s="683"/>
      <c r="BU15" s="685"/>
      <c r="BV15" s="686"/>
      <c r="BW15" s="687">
        <f t="shared" si="1"/>
        <v>0</v>
      </c>
      <c r="BX15" s="688">
        <f t="shared" si="41"/>
        <v>0</v>
      </c>
      <c r="BY15" s="683">
        <f t="shared" si="2"/>
        <v>0</v>
      </c>
      <c r="BZ15" s="693"/>
      <c r="CA15" s="676"/>
    </row>
    <row r="16" spans="1:81">
      <c r="A16" s="2271">
        <v>2</v>
      </c>
      <c r="B16" s="2276"/>
      <c r="C16" s="667" t="s">
        <v>1119</v>
      </c>
      <c r="D16" s="667"/>
      <c r="E16" s="694"/>
      <c r="F16" s="679">
        <v>0</v>
      </c>
      <c r="G16" s="680">
        <f t="shared" ref="G16:G21" si="42">F16</f>
        <v>0</v>
      </c>
      <c r="H16" s="681">
        <f t="shared" ref="H16:H21" si="43">((G16*100)/$G$37)</f>
        <v>0</v>
      </c>
      <c r="I16" s="682"/>
      <c r="J16" s="689"/>
      <c r="K16" s="684"/>
      <c r="L16" s="683"/>
      <c r="M16" s="685">
        <f t="shared" ref="M16:M21" si="44">ROUND((((L16/$E$37)*100)/0.01)*0.01,2)</f>
        <v>0</v>
      </c>
      <c r="N16" s="686"/>
      <c r="O16" s="683"/>
      <c r="P16" s="685">
        <f t="shared" ref="P16:P21" si="45">ROUND((((O16/$E$37)*100)/0.01)*0.01,2)</f>
        <v>0</v>
      </c>
      <c r="Q16" s="686"/>
      <c r="R16" s="683"/>
      <c r="S16" s="685">
        <f t="shared" ref="S16:S21" si="46">ROUND((((R16/$E$37)*100)/0.01)*0.01,2)</f>
        <v>0</v>
      </c>
      <c r="T16" s="686"/>
      <c r="U16" s="683"/>
      <c r="V16" s="685">
        <f t="shared" ref="V16:V21" si="47">ROUND((((U16/$E$37)*100)/0.01)*0.01,2)</f>
        <v>0</v>
      </c>
      <c r="W16" s="686"/>
      <c r="X16" s="683"/>
      <c r="Y16" s="685">
        <f t="shared" ref="Y16:Y21" si="48">ROUND((((X16/$E$37)*100)/0.01)*0.01,2)</f>
        <v>0</v>
      </c>
      <c r="Z16" s="686"/>
      <c r="AA16" s="683"/>
      <c r="AB16" s="685">
        <f t="shared" ref="AB16:AB21" si="49">ROUND((((AA16/$E$37)*100)/0.01)*0.01,2)</f>
        <v>0</v>
      </c>
      <c r="AC16" s="686"/>
      <c r="AD16" s="683"/>
      <c r="AE16" s="685">
        <f t="shared" ref="AE16:AE21" si="50">ROUND((((AD16/$E$37)*100)/0.01)*0.01,2)</f>
        <v>0</v>
      </c>
      <c r="AF16" s="686"/>
      <c r="AG16" s="683"/>
      <c r="AH16" s="685">
        <f t="shared" ref="AH16:AH21" si="51">ROUND((((AG16/$E$37)*100)/0.01)*0.01,2)</f>
        <v>0</v>
      </c>
      <c r="AI16" s="686"/>
      <c r="AJ16" s="683"/>
      <c r="AK16" s="685">
        <f t="shared" ref="AK16:AK21" si="52">ROUND((((AJ16/$E$37)*100)/0.01)*0.01,2)</f>
        <v>0</v>
      </c>
      <c r="AL16" s="686"/>
      <c r="AM16" s="683"/>
      <c r="AN16" s="685">
        <f t="shared" ref="AN16:AN21" si="53">ROUND((((AM16/$E$37)*100)/0.01)*0.01,2)</f>
        <v>0</v>
      </c>
      <c r="AO16" s="686"/>
      <c r="AP16" s="683"/>
      <c r="AQ16" s="685">
        <f t="shared" ref="AQ16:AQ21" si="54">ROUND((((AP16/$E$37)*100)/0.01)*0.01,2)</f>
        <v>0</v>
      </c>
      <c r="AR16" s="686"/>
      <c r="AS16" s="683"/>
      <c r="AT16" s="685">
        <f t="shared" ref="AT16:AT21" si="55">ROUND((((AS16/$E$37)*100)/0.01)*0.01,2)</f>
        <v>0</v>
      </c>
      <c r="AU16" s="686"/>
      <c r="AV16" s="683"/>
      <c r="AW16" s="685">
        <f t="shared" ref="AW16:AW21" si="56">ROUND((((AV16/$E$37)*100)/0.01)*0.01,2)</f>
        <v>0</v>
      </c>
      <c r="AX16" s="686"/>
      <c r="AY16" s="683"/>
      <c r="AZ16" s="685">
        <f t="shared" ref="AZ16:AZ21" si="57">ROUND((((AY16/$E$37)*100)/0.01)*0.01,2)</f>
        <v>0</v>
      </c>
      <c r="BA16" s="686"/>
      <c r="BB16" s="683"/>
      <c r="BC16" s="685">
        <f t="shared" ref="BC16:BC21" si="58">ROUND((((BB16/$E$37)*100)/0.01)*0.01,2)</f>
        <v>0</v>
      </c>
      <c r="BD16" s="686"/>
      <c r="BE16" s="683"/>
      <c r="BF16" s="685">
        <f t="shared" ref="BF16:BF21" si="59">ROUND((((BE16/$E$37)*100)/0.01)*0.01,2)</f>
        <v>0</v>
      </c>
      <c r="BG16" s="686"/>
      <c r="BH16" s="683"/>
      <c r="BI16" s="685">
        <f t="shared" ref="BI16:BI21" si="60">ROUND((((BH16/$E$37)*100)/0.01)*0.01,2)</f>
        <v>0</v>
      </c>
      <c r="BJ16" s="686"/>
      <c r="BK16" s="683"/>
      <c r="BL16" s="685">
        <f t="shared" ref="BL16:BL21" si="61">ROUND((((BK16/$E$37)*100)/0.01)*0.01,2)</f>
        <v>0</v>
      </c>
      <c r="BM16" s="686"/>
      <c r="BN16" s="683"/>
      <c r="BO16" s="685">
        <f t="shared" ref="BO16:BO21" si="62">ROUND((((BN16/$E$37)*100)/0.01)*0.01,2)</f>
        <v>0</v>
      </c>
      <c r="BP16" s="686"/>
      <c r="BQ16" s="683"/>
      <c r="BR16" s="685">
        <f t="shared" ref="BR16:BR21" si="63">ROUND((((BQ16/$E$37)*100)/0.01)*0.01,2)</f>
        <v>0</v>
      </c>
      <c r="BS16" s="686"/>
      <c r="BT16" s="683"/>
      <c r="BU16" s="685">
        <f t="shared" ref="BU16:BU21" si="64">ROUND((((BT16/$E$37)*100)/0.01)*0.01,2)</f>
        <v>0</v>
      </c>
      <c r="BV16" s="686">
        <f t="shared" ref="BV16:BV34" si="65">I16-K16-N16-Q16-T16-W16-Z16-AC16-AF16-AI16-AL16-AO16-BD16-BG16-BJ16-BM16-BP16-BS16</f>
        <v>0</v>
      </c>
      <c r="BW16" s="687">
        <f t="shared" si="1"/>
        <v>0</v>
      </c>
      <c r="BX16" s="688">
        <f t="shared" si="41"/>
        <v>0</v>
      </c>
      <c r="BY16" s="683">
        <f t="shared" si="2"/>
        <v>0</v>
      </c>
      <c r="BZ16" s="693"/>
      <c r="CA16" s="676"/>
    </row>
    <row r="17" spans="1:103">
      <c r="A17" s="2271"/>
      <c r="B17" s="2276"/>
      <c r="C17" s="695" t="s">
        <v>1120</v>
      </c>
      <c r="D17" s="640"/>
      <c r="E17" s="696"/>
      <c r="F17" s="679">
        <f>SUM('ปร.4 road'!K29)</f>
        <v>0</v>
      </c>
      <c r="G17" s="680">
        <f t="shared" si="42"/>
        <v>0</v>
      </c>
      <c r="H17" s="681">
        <f t="shared" si="43"/>
        <v>0</v>
      </c>
      <c r="I17" s="682">
        <v>1.1000000000000001</v>
      </c>
      <c r="J17" s="683" t="s">
        <v>784</v>
      </c>
      <c r="K17" s="684">
        <v>0</v>
      </c>
      <c r="L17" s="683">
        <f>INT((($G17/$I17)*K17)/100)*100</f>
        <v>0</v>
      </c>
      <c r="M17" s="685">
        <f t="shared" si="44"/>
        <v>0</v>
      </c>
      <c r="N17" s="686">
        <v>0</v>
      </c>
      <c r="O17" s="683">
        <f>INT((($G17/$I17)*N17)/100)*100</f>
        <v>0</v>
      </c>
      <c r="P17" s="685">
        <f t="shared" si="45"/>
        <v>0</v>
      </c>
      <c r="Q17" s="686">
        <v>1</v>
      </c>
      <c r="R17" s="683">
        <f>INT((($G17/$I17)*Q17)/100)*100</f>
        <v>0</v>
      </c>
      <c r="S17" s="685">
        <f t="shared" si="46"/>
        <v>0</v>
      </c>
      <c r="T17" s="686">
        <v>0</v>
      </c>
      <c r="U17" s="683">
        <f>INT((($G17/$I17)*T17)/100)*100</f>
        <v>0</v>
      </c>
      <c r="V17" s="685">
        <f t="shared" si="47"/>
        <v>0</v>
      </c>
      <c r="W17" s="686">
        <v>0</v>
      </c>
      <c r="X17" s="683">
        <f>INT((($G17/$I17)*W17)/100)*100</f>
        <v>0</v>
      </c>
      <c r="Y17" s="685">
        <f t="shared" si="48"/>
        <v>0</v>
      </c>
      <c r="Z17" s="686">
        <v>0</v>
      </c>
      <c r="AA17" s="683">
        <f>INT((($G17/$I17)*Z17)/100)*100</f>
        <v>0</v>
      </c>
      <c r="AB17" s="685">
        <f t="shared" si="49"/>
        <v>0</v>
      </c>
      <c r="AC17" s="686">
        <v>0</v>
      </c>
      <c r="AD17" s="683">
        <f>INT((($G17/$I17)*AC17)/100)*100</f>
        <v>0</v>
      </c>
      <c r="AE17" s="685">
        <f t="shared" si="50"/>
        <v>0</v>
      </c>
      <c r="AF17" s="686">
        <v>0</v>
      </c>
      <c r="AG17" s="683">
        <f>INT((($G17/$I17)*AF17)/100)*100</f>
        <v>0</v>
      </c>
      <c r="AH17" s="685">
        <f t="shared" si="51"/>
        <v>0</v>
      </c>
      <c r="AI17" s="686">
        <v>0</v>
      </c>
      <c r="AJ17" s="683">
        <f>INT((($G17/$I17)*AI17)/100)*100</f>
        <v>0</v>
      </c>
      <c r="AK17" s="685">
        <f t="shared" si="52"/>
        <v>0</v>
      </c>
      <c r="AL17" s="686">
        <v>0</v>
      </c>
      <c r="AM17" s="683">
        <f>INT((($G17/$I17)*AL17)/100)*100</f>
        <v>0</v>
      </c>
      <c r="AN17" s="685">
        <f t="shared" si="53"/>
        <v>0</v>
      </c>
      <c r="AO17" s="686">
        <v>0</v>
      </c>
      <c r="AP17" s="683">
        <f>INT((($G17/$I17)*AO17)/100)*100</f>
        <v>0</v>
      </c>
      <c r="AQ17" s="685">
        <f t="shared" si="54"/>
        <v>0</v>
      </c>
      <c r="AR17" s="686">
        <v>0</v>
      </c>
      <c r="AS17" s="683">
        <f>INT((($G17/$I17)*AR17)/100)*100</f>
        <v>0</v>
      </c>
      <c r="AT17" s="685">
        <f t="shared" si="55"/>
        <v>0</v>
      </c>
      <c r="AU17" s="686">
        <v>0</v>
      </c>
      <c r="AV17" s="683">
        <f>INT((($G17/$I17)*AU17)/100)*100</f>
        <v>0</v>
      </c>
      <c r="AW17" s="685">
        <f t="shared" si="56"/>
        <v>0</v>
      </c>
      <c r="AX17" s="686">
        <v>0</v>
      </c>
      <c r="AY17" s="683">
        <f>INT((($G17/$I17)*AX17)/100)*100</f>
        <v>0</v>
      </c>
      <c r="AZ17" s="685">
        <f t="shared" si="57"/>
        <v>0</v>
      </c>
      <c r="BA17" s="686">
        <v>0</v>
      </c>
      <c r="BB17" s="683">
        <f>INT((($G17/$I17)*BA17)/100)*100</f>
        <v>0</v>
      </c>
      <c r="BC17" s="685">
        <f t="shared" si="58"/>
        <v>0</v>
      </c>
      <c r="BD17" s="686">
        <v>0</v>
      </c>
      <c r="BE17" s="683">
        <f>INT((($G17/$I17)*BD17)/100)*100</f>
        <v>0</v>
      </c>
      <c r="BF17" s="685">
        <f t="shared" si="59"/>
        <v>0</v>
      </c>
      <c r="BG17" s="686">
        <v>0</v>
      </c>
      <c r="BH17" s="683">
        <f>INT((($G17/$I17)*BG17)/100)*100</f>
        <v>0</v>
      </c>
      <c r="BI17" s="685">
        <f t="shared" si="60"/>
        <v>0</v>
      </c>
      <c r="BJ17" s="686">
        <v>0</v>
      </c>
      <c r="BK17" s="683">
        <f>INT((($G17/$I17)*BJ17)/100)*100</f>
        <v>0</v>
      </c>
      <c r="BL17" s="685">
        <f t="shared" si="61"/>
        <v>0</v>
      </c>
      <c r="BM17" s="686">
        <v>0</v>
      </c>
      <c r="BN17" s="683">
        <f>INT((($G17/$I17)*BM17)/100)*100</f>
        <v>0</v>
      </c>
      <c r="BO17" s="685">
        <f t="shared" si="62"/>
        <v>0</v>
      </c>
      <c r="BP17" s="686">
        <v>0</v>
      </c>
      <c r="BQ17" s="683">
        <f>INT((($G17/$I17)*BP17)/100)*100</f>
        <v>0</v>
      </c>
      <c r="BR17" s="685">
        <f t="shared" si="63"/>
        <v>0</v>
      </c>
      <c r="BS17" s="686">
        <v>0</v>
      </c>
      <c r="BT17" s="683">
        <f>INT((($G17/$I17)*BS17)/100)*100</f>
        <v>0</v>
      </c>
      <c r="BU17" s="685">
        <f t="shared" si="64"/>
        <v>0</v>
      </c>
      <c r="BV17" s="686">
        <f t="shared" si="65"/>
        <v>0.10000000000000009</v>
      </c>
      <c r="BW17" s="687">
        <f t="shared" si="1"/>
        <v>0</v>
      </c>
      <c r="BX17" s="688">
        <f t="shared" si="41"/>
        <v>0</v>
      </c>
      <c r="BY17" s="683">
        <f t="shared" si="2"/>
        <v>0</v>
      </c>
      <c r="BZ17" s="693"/>
      <c r="CA17" s="676"/>
    </row>
    <row r="18" spans="1:103">
      <c r="A18" s="2271"/>
      <c r="B18" s="2276"/>
      <c r="C18" s="695" t="s">
        <v>1121</v>
      </c>
      <c r="D18" s="640"/>
      <c r="E18" s="696"/>
      <c r="F18" s="679">
        <f>'ปร.4 road'!K31</f>
        <v>0</v>
      </c>
      <c r="G18" s="680">
        <f t="shared" si="42"/>
        <v>0</v>
      </c>
      <c r="H18" s="681">
        <f t="shared" si="43"/>
        <v>0</v>
      </c>
      <c r="I18" s="682">
        <v>2</v>
      </c>
      <c r="J18" s="683" t="s">
        <v>784</v>
      </c>
      <c r="K18" s="684">
        <v>0</v>
      </c>
      <c r="L18" s="683">
        <f>INT((($G18/$I18)*K18)/100)*100</f>
        <v>0</v>
      </c>
      <c r="M18" s="685">
        <f t="shared" si="44"/>
        <v>0</v>
      </c>
      <c r="N18" s="697">
        <v>0</v>
      </c>
      <c r="O18" s="683">
        <f>INT((($G18/$I18)*N18)/100)*100</f>
        <v>0</v>
      </c>
      <c r="P18" s="685">
        <f t="shared" si="45"/>
        <v>0</v>
      </c>
      <c r="Q18" s="686">
        <v>0</v>
      </c>
      <c r="R18" s="683">
        <f>INT((($G18/$I18)*Q18)/100)*100</f>
        <v>0</v>
      </c>
      <c r="S18" s="685">
        <f t="shared" si="46"/>
        <v>0</v>
      </c>
      <c r="T18" s="686">
        <v>0</v>
      </c>
      <c r="U18" s="683">
        <f>INT((($G18/$I18)*T18)/100)*100</f>
        <v>0</v>
      </c>
      <c r="V18" s="685">
        <f t="shared" si="47"/>
        <v>0</v>
      </c>
      <c r="W18" s="686">
        <v>0.9</v>
      </c>
      <c r="X18" s="683">
        <f>INT((($G18/$I18)*W18)/100)*100</f>
        <v>0</v>
      </c>
      <c r="Y18" s="685">
        <f t="shared" si="48"/>
        <v>0</v>
      </c>
      <c r="Z18" s="686">
        <v>0.9</v>
      </c>
      <c r="AA18" s="683">
        <f>INT((($G18/$I18)*Z18)/100)*100</f>
        <v>0</v>
      </c>
      <c r="AB18" s="685">
        <f t="shared" si="49"/>
        <v>0</v>
      </c>
      <c r="AC18" s="686">
        <v>0</v>
      </c>
      <c r="AD18" s="683">
        <f>INT((($G18/$I18)*AC18)/100)*100</f>
        <v>0</v>
      </c>
      <c r="AE18" s="685">
        <f t="shared" si="50"/>
        <v>0</v>
      </c>
      <c r="AF18" s="686">
        <v>0</v>
      </c>
      <c r="AG18" s="683">
        <f>INT((($G18/$I18)*AF18)/100)*100</f>
        <v>0</v>
      </c>
      <c r="AH18" s="685">
        <f t="shared" si="51"/>
        <v>0</v>
      </c>
      <c r="AI18" s="686">
        <v>0</v>
      </c>
      <c r="AJ18" s="683">
        <f>INT((($G18/$I18)*AI18)/100)*100</f>
        <v>0</v>
      </c>
      <c r="AK18" s="685">
        <f t="shared" si="52"/>
        <v>0</v>
      </c>
      <c r="AL18" s="686">
        <v>0</v>
      </c>
      <c r="AM18" s="683">
        <f>INT((($G18/$I18)*AL18)/100)*100</f>
        <v>0</v>
      </c>
      <c r="AN18" s="685">
        <f t="shared" si="53"/>
        <v>0</v>
      </c>
      <c r="AO18" s="686">
        <v>0</v>
      </c>
      <c r="AP18" s="683">
        <f>INT((($G18/$I18)*AO18)/100)*100</f>
        <v>0</v>
      </c>
      <c r="AQ18" s="685">
        <f t="shared" si="54"/>
        <v>0</v>
      </c>
      <c r="AR18" s="686">
        <v>0</v>
      </c>
      <c r="AS18" s="683">
        <f>INT((($G18/$I18)*AR18)/100)*100</f>
        <v>0</v>
      </c>
      <c r="AT18" s="685">
        <f t="shared" si="55"/>
        <v>0</v>
      </c>
      <c r="AU18" s="686">
        <v>0</v>
      </c>
      <c r="AV18" s="683">
        <f>INT((($G18/$I18)*AU18)/100)*100</f>
        <v>0</v>
      </c>
      <c r="AW18" s="685">
        <f t="shared" si="56"/>
        <v>0</v>
      </c>
      <c r="AX18" s="686">
        <v>0</v>
      </c>
      <c r="AY18" s="683">
        <f>INT((($G18/$I18)*AX18)/100)*100</f>
        <v>0</v>
      </c>
      <c r="AZ18" s="685">
        <f t="shared" si="57"/>
        <v>0</v>
      </c>
      <c r="BA18" s="686">
        <v>0</v>
      </c>
      <c r="BB18" s="683">
        <f>INT((($G18/$I18)*BA18)/100)*100</f>
        <v>0</v>
      </c>
      <c r="BC18" s="685">
        <f t="shared" si="58"/>
        <v>0</v>
      </c>
      <c r="BD18" s="686">
        <v>0</v>
      </c>
      <c r="BE18" s="683">
        <f>INT((($G18/$I18)*BD18)/100)*100</f>
        <v>0</v>
      </c>
      <c r="BF18" s="685">
        <f t="shared" si="59"/>
        <v>0</v>
      </c>
      <c r="BG18" s="686">
        <v>0</v>
      </c>
      <c r="BH18" s="683">
        <f>INT((($G18/$I18)*BG18)/100)*100</f>
        <v>0</v>
      </c>
      <c r="BI18" s="685">
        <f t="shared" si="60"/>
        <v>0</v>
      </c>
      <c r="BJ18" s="686">
        <v>0</v>
      </c>
      <c r="BK18" s="683">
        <f>INT((($G18/$I18)*BJ18)/100)*100</f>
        <v>0</v>
      </c>
      <c r="BL18" s="685">
        <f t="shared" si="61"/>
        <v>0</v>
      </c>
      <c r="BM18" s="686">
        <v>0</v>
      </c>
      <c r="BN18" s="683">
        <f>INT((($G18/$I18)*BM18)/100)*100</f>
        <v>0</v>
      </c>
      <c r="BO18" s="685">
        <f t="shared" si="62"/>
        <v>0</v>
      </c>
      <c r="BP18" s="686">
        <v>0</v>
      </c>
      <c r="BQ18" s="683">
        <f>INT((($G18/$I18)*BP18)/100)*100</f>
        <v>0</v>
      </c>
      <c r="BR18" s="685">
        <f t="shared" si="63"/>
        <v>0</v>
      </c>
      <c r="BS18" s="686">
        <v>0</v>
      </c>
      <c r="BT18" s="683">
        <f>INT((($G18/$I18)*BS18)/100)*100</f>
        <v>0</v>
      </c>
      <c r="BU18" s="685">
        <f t="shared" si="64"/>
        <v>0</v>
      </c>
      <c r="BV18" s="686">
        <f t="shared" si="65"/>
        <v>0.20000000000000007</v>
      </c>
      <c r="BW18" s="687">
        <f t="shared" si="1"/>
        <v>0</v>
      </c>
      <c r="BX18" s="688">
        <f t="shared" si="41"/>
        <v>0</v>
      </c>
      <c r="BY18" s="683">
        <f t="shared" si="2"/>
        <v>0</v>
      </c>
      <c r="BZ18" s="693"/>
      <c r="CA18" s="676"/>
    </row>
    <row r="19" spans="1:103">
      <c r="A19" s="2271">
        <v>3</v>
      </c>
      <c r="B19" s="2276"/>
      <c r="C19" s="667" t="s">
        <v>1122</v>
      </c>
      <c r="D19" s="667"/>
      <c r="E19" s="698"/>
      <c r="F19" s="679">
        <v>0</v>
      </c>
      <c r="G19" s="680">
        <f t="shared" si="42"/>
        <v>0</v>
      </c>
      <c r="H19" s="681">
        <f t="shared" si="43"/>
        <v>0</v>
      </c>
      <c r="I19" s="682"/>
      <c r="J19" s="683"/>
      <c r="K19" s="684"/>
      <c r="L19" s="683"/>
      <c r="M19" s="685">
        <f t="shared" si="44"/>
        <v>0</v>
      </c>
      <c r="N19" s="686"/>
      <c r="O19" s="683"/>
      <c r="P19" s="685">
        <f t="shared" si="45"/>
        <v>0</v>
      </c>
      <c r="Q19" s="686"/>
      <c r="R19" s="683"/>
      <c r="S19" s="685">
        <f t="shared" si="46"/>
        <v>0</v>
      </c>
      <c r="T19" s="686"/>
      <c r="U19" s="683"/>
      <c r="V19" s="685">
        <f t="shared" si="47"/>
        <v>0</v>
      </c>
      <c r="W19" s="686"/>
      <c r="X19" s="683"/>
      <c r="Y19" s="685">
        <f t="shared" si="48"/>
        <v>0</v>
      </c>
      <c r="Z19" s="686"/>
      <c r="AA19" s="683"/>
      <c r="AB19" s="685">
        <f t="shared" si="49"/>
        <v>0</v>
      </c>
      <c r="AC19" s="686"/>
      <c r="AD19" s="683"/>
      <c r="AE19" s="685">
        <f t="shared" si="50"/>
        <v>0</v>
      </c>
      <c r="AF19" s="686"/>
      <c r="AG19" s="683"/>
      <c r="AH19" s="685">
        <f t="shared" si="51"/>
        <v>0</v>
      </c>
      <c r="AI19" s="686"/>
      <c r="AJ19" s="683"/>
      <c r="AK19" s="685">
        <f t="shared" si="52"/>
        <v>0</v>
      </c>
      <c r="AL19" s="686"/>
      <c r="AM19" s="683"/>
      <c r="AN19" s="685">
        <f t="shared" si="53"/>
        <v>0</v>
      </c>
      <c r="AO19" s="686"/>
      <c r="AP19" s="683"/>
      <c r="AQ19" s="685">
        <f t="shared" si="54"/>
        <v>0</v>
      </c>
      <c r="AR19" s="686"/>
      <c r="AS19" s="683"/>
      <c r="AT19" s="685">
        <f t="shared" si="55"/>
        <v>0</v>
      </c>
      <c r="AU19" s="686"/>
      <c r="AV19" s="683"/>
      <c r="AW19" s="685">
        <f t="shared" si="56"/>
        <v>0</v>
      </c>
      <c r="AX19" s="686"/>
      <c r="AY19" s="683"/>
      <c r="AZ19" s="685">
        <f t="shared" si="57"/>
        <v>0</v>
      </c>
      <c r="BA19" s="686"/>
      <c r="BB19" s="683"/>
      <c r="BC19" s="685">
        <f t="shared" si="58"/>
        <v>0</v>
      </c>
      <c r="BD19" s="686"/>
      <c r="BE19" s="683"/>
      <c r="BF19" s="685">
        <f t="shared" si="59"/>
        <v>0</v>
      </c>
      <c r="BG19" s="686"/>
      <c r="BH19" s="683"/>
      <c r="BI19" s="685">
        <f t="shared" si="60"/>
        <v>0</v>
      </c>
      <c r="BJ19" s="686"/>
      <c r="BK19" s="683"/>
      <c r="BL19" s="685">
        <f t="shared" si="61"/>
        <v>0</v>
      </c>
      <c r="BM19" s="686"/>
      <c r="BN19" s="683"/>
      <c r="BO19" s="685">
        <f t="shared" si="62"/>
        <v>0</v>
      </c>
      <c r="BP19" s="686"/>
      <c r="BQ19" s="683"/>
      <c r="BR19" s="685">
        <f t="shared" si="63"/>
        <v>0</v>
      </c>
      <c r="BS19" s="686"/>
      <c r="BT19" s="683"/>
      <c r="BU19" s="685">
        <f t="shared" si="64"/>
        <v>0</v>
      </c>
      <c r="BV19" s="686">
        <f t="shared" si="65"/>
        <v>0</v>
      </c>
      <c r="BW19" s="687">
        <f t="shared" si="1"/>
        <v>0</v>
      </c>
      <c r="BX19" s="688">
        <f t="shared" si="41"/>
        <v>0</v>
      </c>
      <c r="BY19" s="683">
        <f t="shared" si="2"/>
        <v>0</v>
      </c>
      <c r="BZ19" s="693"/>
      <c r="CA19" s="676"/>
      <c r="CD19" s="699"/>
      <c r="CE19" s="699"/>
      <c r="CF19" s="699"/>
      <c r="CG19" s="699"/>
      <c r="CH19" s="699"/>
      <c r="CI19" s="700"/>
      <c r="CJ19" s="701"/>
      <c r="CK19" s="651"/>
      <c r="CL19" s="702"/>
      <c r="CM19" s="647"/>
      <c r="CN19" s="684"/>
      <c r="CO19" s="703"/>
      <c r="CP19" s="684"/>
      <c r="CQ19" s="703"/>
      <c r="CR19" s="684"/>
      <c r="CS19" s="703"/>
      <c r="CT19" s="684"/>
      <c r="CU19" s="703"/>
      <c r="CV19" s="684"/>
      <c r="CW19" s="703"/>
      <c r="CX19" s="703"/>
      <c r="CY19" s="704"/>
    </row>
    <row r="20" spans="1:103">
      <c r="A20" s="750"/>
      <c r="B20" s="751"/>
      <c r="C20" s="638" t="s">
        <v>1205</v>
      </c>
      <c r="E20" s="696"/>
      <c r="F20" s="679">
        <f>SUM('ปร.4 road'!K34:K35)</f>
        <v>0</v>
      </c>
      <c r="G20" s="680">
        <f t="shared" si="42"/>
        <v>0</v>
      </c>
      <c r="H20" s="681">
        <f t="shared" si="43"/>
        <v>0</v>
      </c>
      <c r="I20" s="682">
        <v>1.1000000000000001</v>
      </c>
      <c r="J20" s="683" t="s">
        <v>784</v>
      </c>
      <c r="K20" s="684">
        <v>0</v>
      </c>
      <c r="L20" s="683">
        <f>INT((($G20/$I20)*K20)/100)*100</f>
        <v>0</v>
      </c>
      <c r="M20" s="685">
        <f t="shared" si="44"/>
        <v>0</v>
      </c>
      <c r="N20" s="686">
        <v>0</v>
      </c>
      <c r="O20" s="683">
        <f>INT((($G20/$I20)*N20)/100)*100</f>
        <v>0</v>
      </c>
      <c r="P20" s="685">
        <f t="shared" si="45"/>
        <v>0</v>
      </c>
      <c r="Q20" s="697">
        <v>0</v>
      </c>
      <c r="R20" s="683">
        <f>INT((($G20/$I20)*Q20)/100)*100</f>
        <v>0</v>
      </c>
      <c r="S20" s="705">
        <f t="shared" si="46"/>
        <v>0</v>
      </c>
      <c r="T20" s="686">
        <v>1</v>
      </c>
      <c r="U20" s="683">
        <f>INT((($G20/$I20)*T20)/100)*100</f>
        <v>0</v>
      </c>
      <c r="V20" s="685">
        <f t="shared" si="47"/>
        <v>0</v>
      </c>
      <c r="W20" s="686">
        <v>0</v>
      </c>
      <c r="X20" s="683">
        <f>INT((($G20/$I20)*W20)/100)*100</f>
        <v>0</v>
      </c>
      <c r="Y20" s="685">
        <f t="shared" si="48"/>
        <v>0</v>
      </c>
      <c r="Z20" s="686">
        <v>0</v>
      </c>
      <c r="AA20" s="683">
        <f>INT((($G20/$I20)*Z20)/100)*100</f>
        <v>0</v>
      </c>
      <c r="AB20" s="685">
        <f t="shared" si="49"/>
        <v>0</v>
      </c>
      <c r="AC20" s="686">
        <v>0</v>
      </c>
      <c r="AD20" s="683">
        <f>INT((($G20/$I20)*AC20)/100)*100</f>
        <v>0</v>
      </c>
      <c r="AE20" s="685">
        <f t="shared" si="50"/>
        <v>0</v>
      </c>
      <c r="AF20" s="686">
        <v>0</v>
      </c>
      <c r="AG20" s="683">
        <f>INT((($G20/$I20)*AF20)/100)*100</f>
        <v>0</v>
      </c>
      <c r="AH20" s="685">
        <f t="shared" si="51"/>
        <v>0</v>
      </c>
      <c r="AI20" s="686">
        <v>0</v>
      </c>
      <c r="AJ20" s="683">
        <f>INT((($G20/$I20)*AI20)/100)*100</f>
        <v>0</v>
      </c>
      <c r="AK20" s="685">
        <f t="shared" si="52"/>
        <v>0</v>
      </c>
      <c r="AL20" s="686">
        <v>0</v>
      </c>
      <c r="AM20" s="683">
        <f>INT((($G20/$I20)*AL20)/100)*100</f>
        <v>0</v>
      </c>
      <c r="AN20" s="685">
        <f t="shared" si="53"/>
        <v>0</v>
      </c>
      <c r="AO20" s="686">
        <v>0</v>
      </c>
      <c r="AP20" s="683">
        <f>INT((($G20/$I20)*AO20)/100)*100</f>
        <v>0</v>
      </c>
      <c r="AQ20" s="685">
        <f t="shared" si="54"/>
        <v>0</v>
      </c>
      <c r="AR20" s="686">
        <v>0</v>
      </c>
      <c r="AS20" s="683">
        <f>INT((($G20/$I20)*AR20)/100)*100</f>
        <v>0</v>
      </c>
      <c r="AT20" s="685">
        <f t="shared" si="55"/>
        <v>0</v>
      </c>
      <c r="AU20" s="686">
        <v>0</v>
      </c>
      <c r="AV20" s="683">
        <f>INT((($G20/$I20)*AU20)/100)*100</f>
        <v>0</v>
      </c>
      <c r="AW20" s="685">
        <f t="shared" si="56"/>
        <v>0</v>
      </c>
      <c r="AX20" s="686">
        <v>0</v>
      </c>
      <c r="AY20" s="683">
        <f>INT((($G20/$I20)*AX20)/100)*100</f>
        <v>0</v>
      </c>
      <c r="AZ20" s="685">
        <f t="shared" si="57"/>
        <v>0</v>
      </c>
      <c r="BA20" s="686">
        <v>0</v>
      </c>
      <c r="BB20" s="683">
        <f>INT((($G20/$I20)*BA20)/100)*100</f>
        <v>0</v>
      </c>
      <c r="BC20" s="685">
        <f t="shared" si="58"/>
        <v>0</v>
      </c>
      <c r="BD20" s="686">
        <v>0</v>
      </c>
      <c r="BE20" s="683">
        <f>INT((($G20/$I20)*BD20)/100)*100</f>
        <v>0</v>
      </c>
      <c r="BF20" s="685">
        <f t="shared" si="59"/>
        <v>0</v>
      </c>
      <c r="BG20" s="686">
        <v>0</v>
      </c>
      <c r="BH20" s="683">
        <f>INT((($G20/$I20)*BG20)/100)*100</f>
        <v>0</v>
      </c>
      <c r="BI20" s="685">
        <f t="shared" si="60"/>
        <v>0</v>
      </c>
      <c r="BJ20" s="686">
        <v>0</v>
      </c>
      <c r="BK20" s="683">
        <f>INT((($G20/$I20)*BJ20)/100)*100</f>
        <v>0</v>
      </c>
      <c r="BL20" s="685">
        <f t="shared" si="61"/>
        <v>0</v>
      </c>
      <c r="BM20" s="686">
        <v>0</v>
      </c>
      <c r="BN20" s="683">
        <f>INT((($G20/$I20)*BM20)/100)*100</f>
        <v>0</v>
      </c>
      <c r="BO20" s="685">
        <f t="shared" si="62"/>
        <v>0</v>
      </c>
      <c r="BP20" s="686">
        <v>0</v>
      </c>
      <c r="BQ20" s="683">
        <f>INT((($G20/$I20)*BP20)/100)*100</f>
        <v>0</v>
      </c>
      <c r="BR20" s="685">
        <f t="shared" si="63"/>
        <v>0</v>
      </c>
      <c r="BS20" s="686">
        <v>0</v>
      </c>
      <c r="BT20" s="683">
        <f>INT((($G20/$I20)*BS20)/100)*100</f>
        <v>0</v>
      </c>
      <c r="BU20" s="685">
        <f t="shared" si="64"/>
        <v>0</v>
      </c>
      <c r="BV20" s="686">
        <f t="shared" si="65"/>
        <v>0.10000000000000009</v>
      </c>
      <c r="BW20" s="687">
        <f t="shared" si="1"/>
        <v>0</v>
      </c>
      <c r="BX20" s="688">
        <f t="shared" si="41"/>
        <v>0</v>
      </c>
      <c r="BY20" s="683">
        <f t="shared" si="2"/>
        <v>0</v>
      </c>
      <c r="BZ20" s="693"/>
      <c r="CA20" s="676"/>
    </row>
    <row r="21" spans="1:103">
      <c r="A21" s="750"/>
      <c r="B21" s="751"/>
      <c r="C21" s="638" t="s">
        <v>1206</v>
      </c>
      <c r="E21" s="696"/>
      <c r="F21" s="679">
        <f>SUM('ปร.4 road'!K38:K39)</f>
        <v>0</v>
      </c>
      <c r="G21" s="680">
        <f t="shared" si="42"/>
        <v>0</v>
      </c>
      <c r="H21" s="681">
        <f t="shared" si="43"/>
        <v>0</v>
      </c>
      <c r="I21" s="682">
        <v>2</v>
      </c>
      <c r="J21" s="683" t="s">
        <v>784</v>
      </c>
      <c r="K21" s="684">
        <v>0</v>
      </c>
      <c r="L21" s="683">
        <f>INT((($G21/$I21)*K21)/100)*100</f>
        <v>0</v>
      </c>
      <c r="M21" s="685">
        <f t="shared" si="44"/>
        <v>0</v>
      </c>
      <c r="N21" s="686">
        <v>0</v>
      </c>
      <c r="O21" s="683">
        <f>INT((($G21/$I21)*N21)/100)*100</f>
        <v>0</v>
      </c>
      <c r="P21" s="685">
        <f t="shared" si="45"/>
        <v>0</v>
      </c>
      <c r="Q21" s="697">
        <v>0</v>
      </c>
      <c r="R21" s="683">
        <f>INT((($G21/$I21)*Q21)/100)*100</f>
        <v>0</v>
      </c>
      <c r="S21" s="685">
        <f t="shared" si="46"/>
        <v>0</v>
      </c>
      <c r="T21" s="686">
        <v>0</v>
      </c>
      <c r="U21" s="683">
        <f>INT((($G21/$I21)*T21)/100)*100</f>
        <v>0</v>
      </c>
      <c r="V21" s="685">
        <f t="shared" si="47"/>
        <v>0</v>
      </c>
      <c r="W21" s="686">
        <v>0.9</v>
      </c>
      <c r="X21" s="683">
        <f>INT((($G21/$I21)*W21)/100)*100</f>
        <v>0</v>
      </c>
      <c r="Y21" s="685">
        <f t="shared" si="48"/>
        <v>0</v>
      </c>
      <c r="Z21" s="686">
        <v>0.9</v>
      </c>
      <c r="AA21" s="683">
        <f>INT((($G21/$I21)*Z21)/100)*100</f>
        <v>0</v>
      </c>
      <c r="AB21" s="685">
        <f t="shared" si="49"/>
        <v>0</v>
      </c>
      <c r="AC21" s="686"/>
      <c r="AD21" s="683">
        <f>INT((($G21/$I21)*AC21)/100)*100</f>
        <v>0</v>
      </c>
      <c r="AE21" s="685">
        <f t="shared" si="50"/>
        <v>0</v>
      </c>
      <c r="AF21" s="686"/>
      <c r="AG21" s="683">
        <f>INT((($G21/$I21)*AF21)/100)*100</f>
        <v>0</v>
      </c>
      <c r="AH21" s="685">
        <f t="shared" si="51"/>
        <v>0</v>
      </c>
      <c r="AI21" s="686"/>
      <c r="AJ21" s="683">
        <f>INT((($G21/$I21)*AI21)/100)*100</f>
        <v>0</v>
      </c>
      <c r="AK21" s="685">
        <f t="shared" si="52"/>
        <v>0</v>
      </c>
      <c r="AL21" s="686"/>
      <c r="AM21" s="683">
        <f>INT((($G21/$I21)*AL21)/100)*100</f>
        <v>0</v>
      </c>
      <c r="AN21" s="685">
        <f t="shared" si="53"/>
        <v>0</v>
      </c>
      <c r="AO21" s="686"/>
      <c r="AP21" s="683">
        <f>INT((($G21/$I21)*AO21)/100)*100</f>
        <v>0</v>
      </c>
      <c r="AQ21" s="685">
        <f t="shared" si="54"/>
        <v>0</v>
      </c>
      <c r="AR21" s="686"/>
      <c r="AS21" s="683">
        <f>INT((($G21/$I21)*AR21)/100)*100</f>
        <v>0</v>
      </c>
      <c r="AT21" s="685">
        <f t="shared" si="55"/>
        <v>0</v>
      </c>
      <c r="AU21" s="686"/>
      <c r="AV21" s="683">
        <f>INT((($G21/$I21)*AU21)/100)*100</f>
        <v>0</v>
      </c>
      <c r="AW21" s="685">
        <f t="shared" si="56"/>
        <v>0</v>
      </c>
      <c r="AX21" s="686"/>
      <c r="AY21" s="683">
        <f>INT((($G21/$I21)*AX21)/100)*100</f>
        <v>0</v>
      </c>
      <c r="AZ21" s="685">
        <f t="shared" si="57"/>
        <v>0</v>
      </c>
      <c r="BA21" s="686"/>
      <c r="BB21" s="683">
        <f>INT((($G21/$I21)*BA21)/100)*100</f>
        <v>0</v>
      </c>
      <c r="BC21" s="685">
        <f t="shared" si="58"/>
        <v>0</v>
      </c>
      <c r="BD21" s="686"/>
      <c r="BE21" s="683">
        <f>INT((($G21/$I21)*BD21)/100)*100</f>
        <v>0</v>
      </c>
      <c r="BF21" s="685">
        <f t="shared" si="59"/>
        <v>0</v>
      </c>
      <c r="BG21" s="686"/>
      <c r="BH21" s="683">
        <f>INT((($G21/$I21)*BG21)/100)*100</f>
        <v>0</v>
      </c>
      <c r="BI21" s="685">
        <f t="shared" si="60"/>
        <v>0</v>
      </c>
      <c r="BJ21" s="686"/>
      <c r="BK21" s="683">
        <f>INT((($G21/$I21)*BJ21)/100)*100</f>
        <v>0</v>
      </c>
      <c r="BL21" s="685">
        <f t="shared" si="61"/>
        <v>0</v>
      </c>
      <c r="BM21" s="686"/>
      <c r="BN21" s="683">
        <f>INT((($G21/$I21)*BM21)/100)*100</f>
        <v>0</v>
      </c>
      <c r="BO21" s="685">
        <f t="shared" si="62"/>
        <v>0</v>
      </c>
      <c r="BP21" s="686"/>
      <c r="BQ21" s="683">
        <f>INT((($G21/$I21)*BP21)/100)*100</f>
        <v>0</v>
      </c>
      <c r="BR21" s="685">
        <f t="shared" si="63"/>
        <v>0</v>
      </c>
      <c r="BS21" s="686"/>
      <c r="BT21" s="683">
        <f>INT((($G21/$I21)*BS21)/100)*100</f>
        <v>0</v>
      </c>
      <c r="BU21" s="685">
        <f t="shared" si="64"/>
        <v>0</v>
      </c>
      <c r="BV21" s="686">
        <f t="shared" si="65"/>
        <v>0.20000000000000007</v>
      </c>
      <c r="BW21" s="687">
        <f t="shared" si="1"/>
        <v>0</v>
      </c>
      <c r="BX21" s="688">
        <f t="shared" si="41"/>
        <v>0</v>
      </c>
      <c r="BY21" s="683">
        <f t="shared" si="2"/>
        <v>0</v>
      </c>
      <c r="BZ21" s="693"/>
      <c r="CA21" s="676"/>
    </row>
    <row r="22" spans="1:103">
      <c r="A22" s="2271">
        <v>4</v>
      </c>
      <c r="B22" s="2276"/>
      <c r="C22" s="747" t="s">
        <v>1145</v>
      </c>
      <c r="D22" s="667"/>
      <c r="E22" s="698"/>
      <c r="F22" s="679"/>
      <c r="G22" s="680"/>
      <c r="H22" s="681"/>
      <c r="I22" s="682"/>
      <c r="J22" s="683"/>
      <c r="K22" s="684"/>
      <c r="L22" s="683"/>
      <c r="M22" s="685"/>
      <c r="N22" s="686"/>
      <c r="O22" s="683"/>
      <c r="P22" s="685"/>
      <c r="Q22" s="686"/>
      <c r="R22" s="683"/>
      <c r="S22" s="685"/>
      <c r="T22" s="686"/>
      <c r="U22" s="683"/>
      <c r="V22" s="685"/>
      <c r="W22" s="686"/>
      <c r="X22" s="683"/>
      <c r="Y22" s="685"/>
      <c r="Z22" s="686"/>
      <c r="AA22" s="683"/>
      <c r="AB22" s="685"/>
      <c r="AC22" s="686"/>
      <c r="AD22" s="683"/>
      <c r="AE22" s="685"/>
      <c r="AF22" s="686"/>
      <c r="AG22" s="683"/>
      <c r="AH22" s="685"/>
      <c r="AI22" s="686"/>
      <c r="AJ22" s="683"/>
      <c r="AK22" s="685"/>
      <c r="AL22" s="686"/>
      <c r="AM22" s="683"/>
      <c r="AN22" s="685"/>
      <c r="AO22" s="686"/>
      <c r="AP22" s="683"/>
      <c r="AQ22" s="685"/>
      <c r="AR22" s="686"/>
      <c r="AS22" s="683"/>
      <c r="AT22" s="685"/>
      <c r="AU22" s="686"/>
      <c r="AV22" s="683"/>
      <c r="AW22" s="685"/>
      <c r="AX22" s="686"/>
      <c r="AY22" s="683"/>
      <c r="AZ22" s="685"/>
      <c r="BA22" s="686"/>
      <c r="BB22" s="683"/>
      <c r="BC22" s="685"/>
      <c r="BD22" s="686"/>
      <c r="BE22" s="683"/>
      <c r="BF22" s="685"/>
      <c r="BG22" s="686"/>
      <c r="BH22" s="683"/>
      <c r="BI22" s="685"/>
      <c r="BJ22" s="686"/>
      <c r="BK22" s="683"/>
      <c r="BL22" s="685"/>
      <c r="BM22" s="686"/>
      <c r="BN22" s="683"/>
      <c r="BO22" s="685"/>
      <c r="BP22" s="686"/>
      <c r="BQ22" s="683"/>
      <c r="BR22" s="685"/>
      <c r="BS22" s="686"/>
      <c r="BT22" s="683"/>
      <c r="BU22" s="685"/>
      <c r="BV22" s="686">
        <f t="shared" si="65"/>
        <v>0</v>
      </c>
      <c r="BW22" s="687">
        <f t="shared" si="1"/>
        <v>0</v>
      </c>
      <c r="BX22" s="688">
        <f t="shared" si="41"/>
        <v>0</v>
      </c>
      <c r="BY22" s="683">
        <f t="shared" si="2"/>
        <v>0</v>
      </c>
      <c r="BZ22" s="693"/>
      <c r="CA22" s="676"/>
    </row>
    <row r="23" spans="1:103" ht="21.75">
      <c r="A23" s="750"/>
      <c r="B23" s="751"/>
      <c r="C23" s="748" t="s">
        <v>1146</v>
      </c>
      <c r="E23" s="696"/>
      <c r="F23" s="679">
        <f>SUM('ปร.4 road'!K54:K57)</f>
        <v>23676.12</v>
      </c>
      <c r="G23" s="680">
        <f>F23</f>
        <v>23676.12</v>
      </c>
      <c r="H23" s="681">
        <f>((G23*100)/$G$37)</f>
        <v>1.5405558044186478</v>
      </c>
      <c r="I23" s="682">
        <v>1</v>
      </c>
      <c r="J23" s="683" t="s">
        <v>784</v>
      </c>
      <c r="K23" s="684">
        <v>1</v>
      </c>
      <c r="L23" s="683">
        <f t="shared" ref="L23" si="66">INT((($G23/$I23)*K23)/100)*100</f>
        <v>23600</v>
      </c>
      <c r="M23" s="685">
        <f>ROUND((((L23/$E$37)*100)/0.01)*0.01,2)</f>
        <v>1.54</v>
      </c>
      <c r="N23" s="686">
        <v>0</v>
      </c>
      <c r="O23" s="683">
        <f t="shared" ref="O23" si="67">INT((($G23/$I23)*N23)/100)*100</f>
        <v>0</v>
      </c>
      <c r="P23" s="685">
        <f>ROUND((((O23/$E$37)*100)/0.01)*0.01,2)</f>
        <v>0</v>
      </c>
      <c r="Q23" s="686">
        <v>0</v>
      </c>
      <c r="R23" s="683">
        <f t="shared" ref="R23" si="68">INT((($G23/$I23)*Q23)/100)*100</f>
        <v>0</v>
      </c>
      <c r="S23" s="685">
        <f>ROUND((((R23/$E$37)*100)/0.01)*0.01,2)</f>
        <v>0</v>
      </c>
      <c r="T23" s="686">
        <v>0</v>
      </c>
      <c r="U23" s="683">
        <f t="shared" ref="U23" si="69">INT((($G23/$I23)*T23)/100)*100</f>
        <v>0</v>
      </c>
      <c r="V23" s="685">
        <f>ROUND((((U23/$E$37)*100)/0.01)*0.01,2)</f>
        <v>0</v>
      </c>
      <c r="W23" s="686">
        <v>0</v>
      </c>
      <c r="X23" s="683">
        <f t="shared" ref="X23" si="70">INT((($G23/$I23)*W23)/100)*100</f>
        <v>0</v>
      </c>
      <c r="Y23" s="685">
        <f>ROUND((((X23/$E$37)*100)/0.01)*0.01,2)</f>
        <v>0</v>
      </c>
      <c r="Z23" s="686">
        <v>0</v>
      </c>
      <c r="AA23" s="683">
        <f t="shared" ref="AA23" si="71">INT((($G23/$I23)*Z23)/100)*100</f>
        <v>0</v>
      </c>
      <c r="AB23" s="685">
        <f>ROUND((((AA23/$E$37)*100)/0.01)*0.01,2)</f>
        <v>0</v>
      </c>
      <c r="AC23" s="686">
        <v>0</v>
      </c>
      <c r="AD23" s="683">
        <f t="shared" ref="AD23" si="72">INT((($G23/$I23)*AC23)/100)*100</f>
        <v>0</v>
      </c>
      <c r="AE23" s="685">
        <f>ROUND((((AD23/$E$37)*100)/0.01)*0.01,2)</f>
        <v>0</v>
      </c>
      <c r="AF23" s="686">
        <v>0</v>
      </c>
      <c r="AG23" s="683">
        <f t="shared" ref="AG23" si="73">INT((($G23/$I23)*AF23)/100)*100</f>
        <v>0</v>
      </c>
      <c r="AH23" s="685">
        <f>ROUND((((AG23/$E$37)*100)/0.01)*0.01,2)</f>
        <v>0</v>
      </c>
      <c r="AI23" s="686">
        <v>0</v>
      </c>
      <c r="AJ23" s="683">
        <f t="shared" ref="AJ23" si="74">INT((($G23/$I23)*AI23)/100)*100</f>
        <v>0</v>
      </c>
      <c r="AK23" s="685">
        <f>ROUND((((AJ23/$E$37)*100)/0.01)*0.01,2)</f>
        <v>0</v>
      </c>
      <c r="AL23" s="686">
        <v>0</v>
      </c>
      <c r="AM23" s="683">
        <f t="shared" ref="AM23" si="75">INT((($G23/$I23)*AL23)/100)*100</f>
        <v>0</v>
      </c>
      <c r="AN23" s="685">
        <f>ROUND((((AM23/$E$37)*100)/0.01)*0.01,2)</f>
        <v>0</v>
      </c>
      <c r="AO23" s="686">
        <v>0</v>
      </c>
      <c r="AP23" s="683">
        <f t="shared" ref="AP23" si="76">INT((($G23/$I23)*AO23)/100)*100</f>
        <v>0</v>
      </c>
      <c r="AQ23" s="685">
        <f>ROUND((((AP23/$E$37)*100)/0.01)*0.01,2)</f>
        <v>0</v>
      </c>
      <c r="AR23" s="686">
        <v>0</v>
      </c>
      <c r="AS23" s="683">
        <f t="shared" ref="AS23" si="77">INT((($G23/$I23)*AR23)/100)*100</f>
        <v>0</v>
      </c>
      <c r="AT23" s="685">
        <f>ROUND((((AS23/$E$37)*100)/0.01)*0.01,2)</f>
        <v>0</v>
      </c>
      <c r="AU23" s="686">
        <v>0</v>
      </c>
      <c r="AV23" s="683">
        <f t="shared" ref="AV23" si="78">INT((($G23/$I23)*AU23)/100)*100</f>
        <v>0</v>
      </c>
      <c r="AW23" s="685">
        <f>ROUND((((AV23/$E$37)*100)/0.01)*0.01,2)</f>
        <v>0</v>
      </c>
      <c r="AX23" s="686">
        <v>0</v>
      </c>
      <c r="AY23" s="683">
        <f t="shared" ref="AY23" si="79">INT((($G23/$I23)*AX23)/100)*100</f>
        <v>0</v>
      </c>
      <c r="AZ23" s="685">
        <f>ROUND((((AY23/$E$37)*100)/0.01)*0.01,2)</f>
        <v>0</v>
      </c>
      <c r="BA23" s="686">
        <v>0</v>
      </c>
      <c r="BB23" s="683">
        <f t="shared" ref="BB23" si="80">INT((($G23/$I23)*BA23)/100)*100</f>
        <v>0</v>
      </c>
      <c r="BC23" s="685">
        <f>ROUND((((BB23/$E$37)*100)/0.01)*0.01,2)</f>
        <v>0</v>
      </c>
      <c r="BD23" s="686">
        <v>0</v>
      </c>
      <c r="BE23" s="683">
        <f t="shared" ref="BE23" si="81">INT((($G23/$I23)*BD23)/100)*100</f>
        <v>0</v>
      </c>
      <c r="BF23" s="685">
        <f>ROUND((((BE23/$E$37)*100)/0.01)*0.01,2)</f>
        <v>0</v>
      </c>
      <c r="BG23" s="686">
        <v>0</v>
      </c>
      <c r="BH23" s="683">
        <f t="shared" ref="BH23" si="82">INT((($G23/$I23)*BG23)/100)*100</f>
        <v>0</v>
      </c>
      <c r="BI23" s="685">
        <f>ROUND((((BH23/$E$37)*100)/0.01)*0.01,2)</f>
        <v>0</v>
      </c>
      <c r="BJ23" s="686">
        <v>0</v>
      </c>
      <c r="BK23" s="683">
        <f t="shared" ref="BK23" si="83">INT((($G23/$I23)*BJ23)/100)*100</f>
        <v>0</v>
      </c>
      <c r="BL23" s="685">
        <f>ROUND((((BK23/$E$37)*100)/0.01)*0.01,2)</f>
        <v>0</v>
      </c>
      <c r="BM23" s="686">
        <v>0</v>
      </c>
      <c r="BN23" s="683">
        <f t="shared" ref="BN23" si="84">INT((($G23/$I23)*BM23)/100)*100</f>
        <v>0</v>
      </c>
      <c r="BO23" s="685">
        <f>ROUND((((BN23/$E$37)*100)/0.01)*0.01,2)</f>
        <v>0</v>
      </c>
      <c r="BP23" s="686">
        <v>0</v>
      </c>
      <c r="BQ23" s="683">
        <f t="shared" ref="BQ23" si="85">INT((($G23/$I23)*BP23)/100)*100</f>
        <v>0</v>
      </c>
      <c r="BR23" s="685">
        <f>ROUND((((BQ23/$E$37)*100)/0.01)*0.01,2)</f>
        <v>0</v>
      </c>
      <c r="BS23" s="686">
        <v>0</v>
      </c>
      <c r="BT23" s="683">
        <f t="shared" ref="BT23" si="86">INT((($G23/$I23)*BS23)/100)*100</f>
        <v>0</v>
      </c>
      <c r="BU23" s="685">
        <f>ROUND((((BT23/$E$37)*100)/0.01)*0.01,2)</f>
        <v>0</v>
      </c>
      <c r="BV23" s="686">
        <f t="shared" si="65"/>
        <v>0</v>
      </c>
      <c r="BW23" s="687">
        <f t="shared" si="1"/>
        <v>70</v>
      </c>
      <c r="BX23" s="688">
        <f t="shared" si="41"/>
        <v>5.5580441864777619E-4</v>
      </c>
      <c r="BY23" s="683">
        <f t="shared" si="2"/>
        <v>23670</v>
      </c>
      <c r="BZ23" s="693"/>
      <c r="CA23" s="676"/>
    </row>
    <row r="24" spans="1:103" ht="21.75">
      <c r="A24" s="750"/>
      <c r="B24" s="751"/>
      <c r="C24" s="748" t="s">
        <v>1147</v>
      </c>
      <c r="E24" s="696"/>
      <c r="F24" s="679">
        <f>SUM('ปร.4 road'!K62:K65)</f>
        <v>0</v>
      </c>
      <c r="G24" s="680">
        <f t="shared" ref="G24" si="87">F24</f>
        <v>0</v>
      </c>
      <c r="H24" s="681">
        <f>((G24*100)/$G$37)</f>
        <v>0</v>
      </c>
      <c r="I24" s="682">
        <v>1</v>
      </c>
      <c r="J24" s="683" t="s">
        <v>784</v>
      </c>
      <c r="K24" s="684">
        <v>0</v>
      </c>
      <c r="L24" s="683">
        <f>INT((($G24/$I24)*K24)/100)*100</f>
        <v>0</v>
      </c>
      <c r="M24" s="685">
        <f>ROUND((((L24/$E$37)*100)/0.01)*0.01,2)</f>
        <v>0</v>
      </c>
      <c r="N24" s="686">
        <v>0</v>
      </c>
      <c r="O24" s="683">
        <f>INT((($G24/$I24)*N24)/100)*100</f>
        <v>0</v>
      </c>
      <c r="P24" s="685">
        <f>ROUND((((O24/$E$37)*100)/0.01)*0.01,2)</f>
        <v>0</v>
      </c>
      <c r="Q24" s="686">
        <v>0</v>
      </c>
      <c r="R24" s="683">
        <f>INT((($G24/$I24)*Q24)/100)*100</f>
        <v>0</v>
      </c>
      <c r="S24" s="685">
        <f>ROUND((((R24/$E$37)*100)/0.01)*0.01,2)</f>
        <v>0</v>
      </c>
      <c r="T24" s="686">
        <v>0</v>
      </c>
      <c r="U24" s="683">
        <f>INT((($G24/$I24)*T24)/100)*100</f>
        <v>0</v>
      </c>
      <c r="V24" s="685">
        <f>ROUND((((U24/$E$37)*100)/0.01)*0.01,2)</f>
        <v>0</v>
      </c>
      <c r="W24" s="686">
        <v>0</v>
      </c>
      <c r="X24" s="683">
        <f>INT((($G24/$I24)*W24)/100)*100</f>
        <v>0</v>
      </c>
      <c r="Y24" s="685">
        <f>ROUND((((X24/$E$37)*100)/0.01)*0.01,2)</f>
        <v>0</v>
      </c>
      <c r="Z24" s="686">
        <v>0</v>
      </c>
      <c r="AA24" s="683">
        <f>INT((($G24/$I24)*Z24)/100)*100</f>
        <v>0</v>
      </c>
      <c r="AB24" s="685">
        <f>ROUND((((AA24/$E$37)*100)/0.01)*0.01,2)</f>
        <v>0</v>
      </c>
      <c r="AC24" s="686">
        <v>0</v>
      </c>
      <c r="AD24" s="683">
        <f>INT((($G24/$I24)*AC24)/100)*100</f>
        <v>0</v>
      </c>
      <c r="AE24" s="685">
        <f>ROUND((((AD24/$E$37)*100)/0.01)*0.01,2)</f>
        <v>0</v>
      </c>
      <c r="AF24" s="686">
        <v>0</v>
      </c>
      <c r="AG24" s="683">
        <f>INT((($G24/$I24)*AF24)/100)*100</f>
        <v>0</v>
      </c>
      <c r="AH24" s="685">
        <f>ROUND((((AG24/$E$37)*100)/0.01)*0.01,2)</f>
        <v>0</v>
      </c>
      <c r="AI24" s="686">
        <v>0</v>
      </c>
      <c r="AJ24" s="683">
        <f>INT((($G24/$I24)*AI24)/100)*100</f>
        <v>0</v>
      </c>
      <c r="AK24" s="685">
        <f>ROUND((((AJ24/$E$37)*100)/0.01)*0.01,2)</f>
        <v>0</v>
      </c>
      <c r="AL24" s="686">
        <v>0</v>
      </c>
      <c r="AM24" s="683">
        <f>INT((($G24/$I24)*AL24)/100)*100</f>
        <v>0</v>
      </c>
      <c r="AN24" s="685">
        <f>ROUND((((AM24/$E$37)*100)/0.01)*0.01,2)</f>
        <v>0</v>
      </c>
      <c r="AO24" s="686">
        <v>0</v>
      </c>
      <c r="AP24" s="683">
        <f>INT((($G24/$I24)*AO24)/100)*100</f>
        <v>0</v>
      </c>
      <c r="AQ24" s="685">
        <f>ROUND((((AP24/$E$37)*100)/0.01)*0.01,2)</f>
        <v>0</v>
      </c>
      <c r="AR24" s="686">
        <v>0</v>
      </c>
      <c r="AS24" s="683">
        <f>INT((($G24/$I24)*AR24)/100)*100</f>
        <v>0</v>
      </c>
      <c r="AT24" s="685">
        <f>ROUND((((AS24/$E$37)*100)/0.01)*0.01,2)</f>
        <v>0</v>
      </c>
      <c r="AU24" s="686">
        <v>0</v>
      </c>
      <c r="AV24" s="683">
        <f>INT((($G24/$I24)*AU24)/100)*100</f>
        <v>0</v>
      </c>
      <c r="AW24" s="685">
        <f>ROUND((((AV24/$E$37)*100)/0.01)*0.01,2)</f>
        <v>0</v>
      </c>
      <c r="AX24" s="686">
        <v>0</v>
      </c>
      <c r="AY24" s="683">
        <f>INT((($G24/$I24)*AX24)/100)*100</f>
        <v>0</v>
      </c>
      <c r="AZ24" s="685">
        <f>ROUND((((AY24/$E$37)*100)/0.01)*0.01,2)</f>
        <v>0</v>
      </c>
      <c r="BA24" s="686">
        <v>0</v>
      </c>
      <c r="BB24" s="683">
        <f>INT((($G24/$I24)*BA24)/100)*100</f>
        <v>0</v>
      </c>
      <c r="BC24" s="685">
        <f>ROUND((((BB24/$E$37)*100)/0.01)*0.01,2)</f>
        <v>0</v>
      </c>
      <c r="BD24" s="686">
        <v>0</v>
      </c>
      <c r="BE24" s="683">
        <f>INT((($G24/$I24)*BD24)/100)*100</f>
        <v>0</v>
      </c>
      <c r="BF24" s="685">
        <f>ROUND((((BE24/$E$37)*100)/0.01)*0.01,2)</f>
        <v>0</v>
      </c>
      <c r="BG24" s="686">
        <v>0</v>
      </c>
      <c r="BH24" s="683">
        <f>INT((($G24/$I24)*BG24)/100)*100</f>
        <v>0</v>
      </c>
      <c r="BI24" s="685">
        <f>ROUND((((BH24/$E$37)*100)/0.01)*0.01,2)</f>
        <v>0</v>
      </c>
      <c r="BJ24" s="686">
        <v>0</v>
      </c>
      <c r="BK24" s="683">
        <f>INT((($G24/$I24)*BJ24)/100)*100</f>
        <v>0</v>
      </c>
      <c r="BL24" s="685">
        <f>ROUND((((BK24/$E$37)*100)/0.01)*0.01,2)</f>
        <v>0</v>
      </c>
      <c r="BM24" s="686">
        <v>0</v>
      </c>
      <c r="BN24" s="683">
        <f>INT((($G24/$I24)*BM24)/100)*100</f>
        <v>0</v>
      </c>
      <c r="BO24" s="685">
        <f>ROUND((((BN24/$E$37)*100)/0.01)*0.01,2)</f>
        <v>0</v>
      </c>
      <c r="BP24" s="686">
        <v>0</v>
      </c>
      <c r="BQ24" s="683">
        <f>INT((($G24/$I24)*BP24)/100)*100</f>
        <v>0</v>
      </c>
      <c r="BR24" s="685">
        <f>ROUND((((BQ24/$E$37)*100)/0.01)*0.01,2)</f>
        <v>0</v>
      </c>
      <c r="BS24" s="686">
        <v>0</v>
      </c>
      <c r="BT24" s="683">
        <f>INT((($G24/$I24)*BS24)/100)*100</f>
        <v>0</v>
      </c>
      <c r="BU24" s="685">
        <f>ROUND((((BT24/$E$37)*100)/0.01)*0.01,2)</f>
        <v>0</v>
      </c>
      <c r="BV24" s="686">
        <f t="shared" si="65"/>
        <v>1</v>
      </c>
      <c r="BW24" s="687">
        <f t="shared" si="1"/>
        <v>0</v>
      </c>
      <c r="BX24" s="688">
        <f t="shared" si="41"/>
        <v>0</v>
      </c>
      <c r="BY24" s="683">
        <f t="shared" si="2"/>
        <v>0</v>
      </c>
      <c r="BZ24" s="693"/>
      <c r="CA24" s="676"/>
    </row>
    <row r="25" spans="1:103" ht="21.75">
      <c r="A25" s="750"/>
      <c r="B25" s="751"/>
      <c r="C25" s="748" t="s">
        <v>1425</v>
      </c>
      <c r="E25" s="696"/>
      <c r="F25" s="679">
        <f>SUM('ปร.4 road'!K68)</f>
        <v>0</v>
      </c>
      <c r="G25" s="680">
        <f t="shared" ref="G25:G26" si="88">F25</f>
        <v>0</v>
      </c>
      <c r="H25" s="681">
        <f t="shared" ref="H25:H26" si="89">((G25*100)/$G$37)</f>
        <v>0</v>
      </c>
      <c r="I25" s="682">
        <v>1</v>
      </c>
      <c r="J25" s="683" t="s">
        <v>784</v>
      </c>
      <c r="K25" s="684">
        <v>0</v>
      </c>
      <c r="L25" s="683">
        <f t="shared" ref="L25:L26" si="90">INT((($G25/$I25)*K25)/100)*100</f>
        <v>0</v>
      </c>
      <c r="M25" s="685">
        <f t="shared" ref="M25:M26" si="91">ROUND((((L25/$E$37)*100)/0.01)*0.01,2)</f>
        <v>0</v>
      </c>
      <c r="N25" s="686">
        <v>0</v>
      </c>
      <c r="O25" s="683">
        <f t="shared" ref="O25:O26" si="92">INT((($G25/$I25)*N25)/100)*100</f>
        <v>0</v>
      </c>
      <c r="P25" s="685">
        <f t="shared" ref="P25:P26" si="93">ROUND((((O25/$E$37)*100)/0.01)*0.01,2)</f>
        <v>0</v>
      </c>
      <c r="Q25" s="686">
        <v>0</v>
      </c>
      <c r="R25" s="683">
        <f t="shared" ref="R25:R26" si="94">INT((($G25/$I25)*Q25)/100)*100</f>
        <v>0</v>
      </c>
      <c r="S25" s="685">
        <f t="shared" ref="S25:S26" si="95">ROUND((((R25/$E$37)*100)/0.01)*0.01,2)</f>
        <v>0</v>
      </c>
      <c r="T25" s="686">
        <v>0</v>
      </c>
      <c r="U25" s="683">
        <f t="shared" ref="U25:U26" si="96">INT((($G25/$I25)*T25)/100)*100</f>
        <v>0</v>
      </c>
      <c r="V25" s="685">
        <f t="shared" ref="V25:V26" si="97">ROUND((((U25/$E$37)*100)/0.01)*0.01,2)</f>
        <v>0</v>
      </c>
      <c r="W25" s="686">
        <v>0</v>
      </c>
      <c r="X25" s="683">
        <f t="shared" ref="X25:X26" si="98">INT((($G25/$I25)*W25)/100)*100</f>
        <v>0</v>
      </c>
      <c r="Y25" s="685">
        <f t="shared" ref="Y25:Y26" si="99">ROUND((((X25/$E$37)*100)/0.01)*0.01,2)</f>
        <v>0</v>
      </c>
      <c r="Z25" s="686">
        <v>0</v>
      </c>
      <c r="AA25" s="683">
        <f t="shared" ref="AA25:AA26" si="100">INT((($G25/$I25)*Z25)/100)*100</f>
        <v>0</v>
      </c>
      <c r="AB25" s="685">
        <f t="shared" ref="AB25:AB26" si="101">ROUND((((AA25/$E$37)*100)/0.01)*0.01,2)</f>
        <v>0</v>
      </c>
      <c r="AC25" s="686">
        <v>0</v>
      </c>
      <c r="AD25" s="683">
        <f t="shared" ref="AD25:AD26" si="102">INT((($G25/$I25)*AC25)/100)*100</f>
        <v>0</v>
      </c>
      <c r="AE25" s="685">
        <f t="shared" ref="AE25:AE26" si="103">ROUND((((AD25/$E$37)*100)/0.01)*0.01,2)</f>
        <v>0</v>
      </c>
      <c r="AF25" s="686">
        <v>0</v>
      </c>
      <c r="AG25" s="683">
        <f t="shared" ref="AG25:AG26" si="104">INT((($G25/$I25)*AF25)/100)*100</f>
        <v>0</v>
      </c>
      <c r="AH25" s="685">
        <f t="shared" ref="AH25:AH26" si="105">ROUND((((AG25/$E$37)*100)/0.01)*0.01,2)</f>
        <v>0</v>
      </c>
      <c r="AI25" s="686">
        <v>0</v>
      </c>
      <c r="AJ25" s="683">
        <f t="shared" ref="AJ25:AJ26" si="106">INT((($G25/$I25)*AI25)/100)*100</f>
        <v>0</v>
      </c>
      <c r="AK25" s="685">
        <f t="shared" ref="AK25:AK26" si="107">ROUND((((AJ25/$E$37)*100)/0.01)*0.01,2)</f>
        <v>0</v>
      </c>
      <c r="AL25" s="686">
        <v>0</v>
      </c>
      <c r="AM25" s="683">
        <f t="shared" ref="AM25:AM26" si="108">INT((($G25/$I25)*AL25)/100)*100</f>
        <v>0</v>
      </c>
      <c r="AN25" s="685">
        <f t="shared" ref="AN25:AN26" si="109">ROUND((((AM25/$E$37)*100)/0.01)*0.01,2)</f>
        <v>0</v>
      </c>
      <c r="AO25" s="686">
        <v>0</v>
      </c>
      <c r="AP25" s="683">
        <f t="shared" ref="AP25:AP26" si="110">INT((($G25/$I25)*AO25)/100)*100</f>
        <v>0</v>
      </c>
      <c r="AQ25" s="685">
        <f t="shared" ref="AQ25:AQ26" si="111">ROUND((((AP25/$E$37)*100)/0.01)*0.01,2)</f>
        <v>0</v>
      </c>
      <c r="AR25" s="686">
        <v>0</v>
      </c>
      <c r="AS25" s="683">
        <f t="shared" ref="AS25:AS26" si="112">INT((($G25/$I25)*AR25)/100)*100</f>
        <v>0</v>
      </c>
      <c r="AT25" s="685">
        <f t="shared" ref="AT25:AT26" si="113">ROUND((((AS25/$E$37)*100)/0.01)*0.01,2)</f>
        <v>0</v>
      </c>
      <c r="AU25" s="686">
        <v>0</v>
      </c>
      <c r="AV25" s="683">
        <f t="shared" ref="AV25:AV26" si="114">INT((($G25/$I25)*AU25)/100)*100</f>
        <v>0</v>
      </c>
      <c r="AW25" s="685">
        <f t="shared" ref="AW25:AW26" si="115">ROUND((((AV25/$E$37)*100)/0.01)*0.01,2)</f>
        <v>0</v>
      </c>
      <c r="AX25" s="686">
        <v>0</v>
      </c>
      <c r="AY25" s="683">
        <f t="shared" ref="AY25:AY26" si="116">INT((($G25/$I25)*AX25)/100)*100</f>
        <v>0</v>
      </c>
      <c r="AZ25" s="685">
        <f t="shared" ref="AZ25:AZ26" si="117">ROUND((((AY25/$E$37)*100)/0.01)*0.01,2)</f>
        <v>0</v>
      </c>
      <c r="BA25" s="686">
        <v>0</v>
      </c>
      <c r="BB25" s="683">
        <f t="shared" ref="BB25:BB26" si="118">INT((($G25/$I25)*BA25)/100)*100</f>
        <v>0</v>
      </c>
      <c r="BC25" s="685">
        <f t="shared" ref="BC25:BC26" si="119">ROUND((((BB25/$E$37)*100)/0.01)*0.01,2)</f>
        <v>0</v>
      </c>
      <c r="BD25" s="686">
        <v>0</v>
      </c>
      <c r="BE25" s="683">
        <f t="shared" ref="BE25:BE26" si="120">INT((($G25/$I25)*BD25)/100)*100</f>
        <v>0</v>
      </c>
      <c r="BF25" s="685">
        <f t="shared" ref="BF25:BF26" si="121">ROUND((((BE25/$E$37)*100)/0.01)*0.01,2)</f>
        <v>0</v>
      </c>
      <c r="BG25" s="686">
        <v>0</v>
      </c>
      <c r="BH25" s="683">
        <f t="shared" ref="BH25:BH26" si="122">INT((($G25/$I25)*BG25)/100)*100</f>
        <v>0</v>
      </c>
      <c r="BI25" s="685">
        <f t="shared" ref="BI25:BI26" si="123">ROUND((((BH25/$E$37)*100)/0.01)*0.01,2)</f>
        <v>0</v>
      </c>
      <c r="BJ25" s="686">
        <v>0</v>
      </c>
      <c r="BK25" s="683">
        <f t="shared" ref="BK25:BK26" si="124">INT((($G25/$I25)*BJ25)/100)*100</f>
        <v>0</v>
      </c>
      <c r="BL25" s="685">
        <f t="shared" ref="BL25:BL26" si="125">ROUND((((BK25/$E$37)*100)/0.01)*0.01,2)</f>
        <v>0</v>
      </c>
      <c r="BM25" s="686">
        <v>0</v>
      </c>
      <c r="BN25" s="683">
        <f t="shared" ref="BN25:BN26" si="126">INT((($G25/$I25)*BM25)/100)*100</f>
        <v>0</v>
      </c>
      <c r="BO25" s="685">
        <f t="shared" ref="BO25:BO26" si="127">ROUND((((BN25/$E$37)*100)/0.01)*0.01,2)</f>
        <v>0</v>
      </c>
      <c r="BP25" s="686">
        <v>0</v>
      </c>
      <c r="BQ25" s="683">
        <f t="shared" ref="BQ25:BQ26" si="128">INT((($G25/$I25)*BP25)/100)*100</f>
        <v>0</v>
      </c>
      <c r="BR25" s="685">
        <f t="shared" ref="BR25:BR26" si="129">ROUND((((BQ25/$E$37)*100)/0.01)*0.01,2)</f>
        <v>0</v>
      </c>
      <c r="BS25" s="686">
        <v>0</v>
      </c>
      <c r="BT25" s="683">
        <f t="shared" ref="BT25:BT26" si="130">INT((($G25/$I25)*BS25)/100)*100</f>
        <v>0</v>
      </c>
      <c r="BU25" s="685">
        <f t="shared" ref="BU25:BU26" si="131">ROUND((((BT25/$E$37)*100)/0.01)*0.01,2)</f>
        <v>0</v>
      </c>
      <c r="BV25" s="686">
        <f t="shared" si="65"/>
        <v>1</v>
      </c>
      <c r="BW25" s="687">
        <f t="shared" si="1"/>
        <v>0</v>
      </c>
      <c r="BX25" s="688">
        <f t="shared" si="41"/>
        <v>0</v>
      </c>
      <c r="BY25" s="683">
        <f t="shared" si="2"/>
        <v>0</v>
      </c>
      <c r="BZ25" s="693"/>
      <c r="CA25" s="676"/>
    </row>
    <row r="26" spans="1:103" ht="21.75">
      <c r="A26" s="750"/>
      <c r="B26" s="751"/>
      <c r="C26" s="748" t="s">
        <v>1426</v>
      </c>
      <c r="E26" s="696"/>
      <c r="F26" s="679">
        <f>SUM('ปร.4 road'!K69)</f>
        <v>0</v>
      </c>
      <c r="G26" s="680">
        <f t="shared" si="88"/>
        <v>0</v>
      </c>
      <c r="H26" s="681">
        <f t="shared" si="89"/>
        <v>0</v>
      </c>
      <c r="I26" s="682">
        <v>1</v>
      </c>
      <c r="J26" s="683" t="s">
        <v>784</v>
      </c>
      <c r="K26" s="684">
        <v>0</v>
      </c>
      <c r="L26" s="683">
        <f t="shared" si="90"/>
        <v>0</v>
      </c>
      <c r="M26" s="685">
        <f t="shared" si="91"/>
        <v>0</v>
      </c>
      <c r="N26" s="686">
        <v>0</v>
      </c>
      <c r="O26" s="683">
        <f t="shared" si="92"/>
        <v>0</v>
      </c>
      <c r="P26" s="685">
        <f t="shared" si="93"/>
        <v>0</v>
      </c>
      <c r="Q26" s="686">
        <v>0</v>
      </c>
      <c r="R26" s="683">
        <f t="shared" si="94"/>
        <v>0</v>
      </c>
      <c r="S26" s="685">
        <f t="shared" si="95"/>
        <v>0</v>
      </c>
      <c r="T26" s="686">
        <v>0</v>
      </c>
      <c r="U26" s="683">
        <f t="shared" si="96"/>
        <v>0</v>
      </c>
      <c r="V26" s="685">
        <f t="shared" si="97"/>
        <v>0</v>
      </c>
      <c r="W26" s="686">
        <v>0</v>
      </c>
      <c r="X26" s="683">
        <f t="shared" si="98"/>
        <v>0</v>
      </c>
      <c r="Y26" s="685">
        <f t="shared" si="99"/>
        <v>0</v>
      </c>
      <c r="Z26" s="686">
        <v>0</v>
      </c>
      <c r="AA26" s="683">
        <f t="shared" si="100"/>
        <v>0</v>
      </c>
      <c r="AB26" s="685">
        <f t="shared" si="101"/>
        <v>0</v>
      </c>
      <c r="AC26" s="686">
        <v>0</v>
      </c>
      <c r="AD26" s="683">
        <f t="shared" si="102"/>
        <v>0</v>
      </c>
      <c r="AE26" s="685">
        <f t="shared" si="103"/>
        <v>0</v>
      </c>
      <c r="AF26" s="686">
        <v>0</v>
      </c>
      <c r="AG26" s="683">
        <f t="shared" si="104"/>
        <v>0</v>
      </c>
      <c r="AH26" s="685">
        <f t="shared" si="105"/>
        <v>0</v>
      </c>
      <c r="AI26" s="686">
        <v>0</v>
      </c>
      <c r="AJ26" s="683">
        <f t="shared" si="106"/>
        <v>0</v>
      </c>
      <c r="AK26" s="685">
        <f t="shared" si="107"/>
        <v>0</v>
      </c>
      <c r="AL26" s="686">
        <v>0</v>
      </c>
      <c r="AM26" s="683">
        <f t="shared" si="108"/>
        <v>0</v>
      </c>
      <c r="AN26" s="685">
        <f t="shared" si="109"/>
        <v>0</v>
      </c>
      <c r="AO26" s="686">
        <v>0</v>
      </c>
      <c r="AP26" s="683">
        <f t="shared" si="110"/>
        <v>0</v>
      </c>
      <c r="AQ26" s="685">
        <f t="shared" si="111"/>
        <v>0</v>
      </c>
      <c r="AR26" s="686">
        <v>0</v>
      </c>
      <c r="AS26" s="683">
        <f t="shared" si="112"/>
        <v>0</v>
      </c>
      <c r="AT26" s="685">
        <f t="shared" si="113"/>
        <v>0</v>
      </c>
      <c r="AU26" s="686">
        <v>0</v>
      </c>
      <c r="AV26" s="683">
        <f t="shared" si="114"/>
        <v>0</v>
      </c>
      <c r="AW26" s="685">
        <f t="shared" si="115"/>
        <v>0</v>
      </c>
      <c r="AX26" s="686">
        <v>0</v>
      </c>
      <c r="AY26" s="683">
        <f t="shared" si="116"/>
        <v>0</v>
      </c>
      <c r="AZ26" s="685">
        <f t="shared" si="117"/>
        <v>0</v>
      </c>
      <c r="BA26" s="686">
        <v>0</v>
      </c>
      <c r="BB26" s="683">
        <f t="shared" si="118"/>
        <v>0</v>
      </c>
      <c r="BC26" s="685">
        <f t="shared" si="119"/>
        <v>0</v>
      </c>
      <c r="BD26" s="686">
        <v>0</v>
      </c>
      <c r="BE26" s="683">
        <f t="shared" si="120"/>
        <v>0</v>
      </c>
      <c r="BF26" s="685">
        <f t="shared" si="121"/>
        <v>0</v>
      </c>
      <c r="BG26" s="686">
        <v>0</v>
      </c>
      <c r="BH26" s="683">
        <f t="shared" si="122"/>
        <v>0</v>
      </c>
      <c r="BI26" s="685">
        <f t="shared" si="123"/>
        <v>0</v>
      </c>
      <c r="BJ26" s="686">
        <v>0</v>
      </c>
      <c r="BK26" s="683">
        <f t="shared" si="124"/>
        <v>0</v>
      </c>
      <c r="BL26" s="685">
        <f t="shared" si="125"/>
        <v>0</v>
      </c>
      <c r="BM26" s="686">
        <v>0</v>
      </c>
      <c r="BN26" s="683">
        <f t="shared" si="126"/>
        <v>0</v>
      </c>
      <c r="BO26" s="685">
        <f t="shared" si="127"/>
        <v>0</v>
      </c>
      <c r="BP26" s="686">
        <v>0</v>
      </c>
      <c r="BQ26" s="683">
        <f t="shared" si="128"/>
        <v>0</v>
      </c>
      <c r="BR26" s="685">
        <f t="shared" si="129"/>
        <v>0</v>
      </c>
      <c r="BS26" s="686">
        <v>0</v>
      </c>
      <c r="BT26" s="683">
        <f t="shared" si="130"/>
        <v>0</v>
      </c>
      <c r="BU26" s="685">
        <f t="shared" si="131"/>
        <v>0</v>
      </c>
      <c r="BV26" s="686">
        <f t="shared" si="65"/>
        <v>1</v>
      </c>
      <c r="BW26" s="687">
        <f t="shared" si="1"/>
        <v>0</v>
      </c>
      <c r="BX26" s="688">
        <f t="shared" si="41"/>
        <v>0</v>
      </c>
      <c r="BY26" s="683">
        <f t="shared" si="2"/>
        <v>0</v>
      </c>
      <c r="BZ26" s="693"/>
      <c r="CA26" s="676"/>
    </row>
    <row r="27" spans="1:103">
      <c r="A27" s="2271">
        <v>5</v>
      </c>
      <c r="B27" s="2276"/>
      <c r="C27" s="667" t="s">
        <v>769</v>
      </c>
      <c r="E27" s="698"/>
      <c r="F27" s="679"/>
      <c r="G27" s="680"/>
      <c r="H27" s="681"/>
      <c r="I27" s="682"/>
      <c r="J27" s="683"/>
      <c r="K27" s="684"/>
      <c r="L27" s="683"/>
      <c r="M27" s="685"/>
      <c r="N27" s="686"/>
      <c r="O27" s="683"/>
      <c r="P27" s="685"/>
      <c r="Q27" s="686"/>
      <c r="R27" s="683"/>
      <c r="S27" s="685"/>
      <c r="T27" s="686"/>
      <c r="U27" s="683"/>
      <c r="V27" s="685"/>
      <c r="W27" s="686"/>
      <c r="X27" s="683"/>
      <c r="Y27" s="685"/>
      <c r="Z27" s="686"/>
      <c r="AA27" s="683"/>
      <c r="AB27" s="685"/>
      <c r="AC27" s="686"/>
      <c r="AD27" s="683"/>
      <c r="AE27" s="685"/>
      <c r="AF27" s="686"/>
      <c r="AG27" s="683"/>
      <c r="AH27" s="685"/>
      <c r="AI27" s="686"/>
      <c r="AJ27" s="683"/>
      <c r="AK27" s="685"/>
      <c r="AL27" s="686"/>
      <c r="AM27" s="683"/>
      <c r="AN27" s="685"/>
      <c r="AO27" s="686"/>
      <c r="AP27" s="683"/>
      <c r="AQ27" s="685"/>
      <c r="AR27" s="686"/>
      <c r="AS27" s="683"/>
      <c r="AT27" s="685"/>
      <c r="AU27" s="686"/>
      <c r="AV27" s="683"/>
      <c r="AW27" s="685"/>
      <c r="AX27" s="686"/>
      <c r="AY27" s="683"/>
      <c r="AZ27" s="685"/>
      <c r="BA27" s="686"/>
      <c r="BB27" s="683"/>
      <c r="BC27" s="685"/>
      <c r="BD27" s="686"/>
      <c r="BE27" s="683"/>
      <c r="BF27" s="685"/>
      <c r="BG27" s="686"/>
      <c r="BH27" s="683"/>
      <c r="BI27" s="685"/>
      <c r="BJ27" s="686"/>
      <c r="BK27" s="683"/>
      <c r="BL27" s="685"/>
      <c r="BM27" s="686"/>
      <c r="BN27" s="683"/>
      <c r="BO27" s="685"/>
      <c r="BP27" s="686"/>
      <c r="BQ27" s="683"/>
      <c r="BR27" s="685"/>
      <c r="BS27" s="686"/>
      <c r="BT27" s="683"/>
      <c r="BU27" s="685"/>
      <c r="BV27" s="686">
        <f t="shared" si="65"/>
        <v>0</v>
      </c>
      <c r="BW27" s="687">
        <f t="shared" si="1"/>
        <v>0</v>
      </c>
      <c r="BX27" s="688">
        <f t="shared" si="41"/>
        <v>0</v>
      </c>
      <c r="BY27" s="683">
        <f t="shared" si="2"/>
        <v>0</v>
      </c>
      <c r="BZ27" s="693"/>
      <c r="CA27" s="676"/>
    </row>
    <row r="28" spans="1:103">
      <c r="A28" s="2271"/>
      <c r="B28" s="2276"/>
      <c r="C28" s="706" t="s">
        <v>1148</v>
      </c>
      <c r="D28" s="706"/>
      <c r="E28" s="696"/>
      <c r="F28" s="679">
        <f>SUM('ปร.4 road'!K72:K114)</f>
        <v>0</v>
      </c>
      <c r="G28" s="680">
        <f>F28</f>
        <v>0</v>
      </c>
      <c r="H28" s="681">
        <f t="shared" ref="H28:H34" si="132">((G28*100)/$G$37)</f>
        <v>0</v>
      </c>
      <c r="I28" s="692">
        <v>1</v>
      </c>
      <c r="J28" s="683" t="s">
        <v>1001</v>
      </c>
      <c r="K28" s="684">
        <v>0</v>
      </c>
      <c r="L28" s="683">
        <f>INT((($G28/$I28)*K28)/100)*100</f>
        <v>0</v>
      </c>
      <c r="M28" s="685">
        <f t="shared" ref="M28:M34" si="133">ROUND((((L28/$E$37)*100)/0.01)*0.01,2)</f>
        <v>0</v>
      </c>
      <c r="N28" s="686">
        <v>0</v>
      </c>
      <c r="O28" s="683">
        <f>INT((($G28/$I28)*N28)/100)*100</f>
        <v>0</v>
      </c>
      <c r="P28" s="685">
        <f>ROUND((((O28/$E$37)*100)/0.01)*0.01,2)</f>
        <v>0</v>
      </c>
      <c r="Q28" s="686">
        <v>0</v>
      </c>
      <c r="R28" s="683">
        <f>INT((($G28/$I28)*Q28)/100)*100</f>
        <v>0</v>
      </c>
      <c r="S28" s="685">
        <f>ROUND((((R28/$E$37)*100)/0.01)*0.01,2)</f>
        <v>0</v>
      </c>
      <c r="T28" s="686">
        <v>0</v>
      </c>
      <c r="U28" s="683">
        <f>INT((($G28/$I28)*T28)/100)*100</f>
        <v>0</v>
      </c>
      <c r="V28" s="685">
        <f>ROUND((((U28/$E$37)*100)/0.01)*0.01,2)</f>
        <v>0</v>
      </c>
      <c r="W28" s="686">
        <v>0</v>
      </c>
      <c r="X28" s="683">
        <f>INT((($G28/$I28)*W28)/100)*100</f>
        <v>0</v>
      </c>
      <c r="Y28" s="685">
        <f>ROUND((((X28/$E$37)*100)/0.01)*0.01,2)</f>
        <v>0</v>
      </c>
      <c r="Z28" s="686">
        <v>0</v>
      </c>
      <c r="AA28" s="683">
        <f>INT((($G28/$I28)*Z28)/100)*100</f>
        <v>0</v>
      </c>
      <c r="AB28" s="685">
        <f>ROUND((((AA28/$E$37)*100)/0.01)*0.01,2)</f>
        <v>0</v>
      </c>
      <c r="AC28" s="686">
        <v>0</v>
      </c>
      <c r="AD28" s="683">
        <f>INT((($G28/$I28)*AC28)/100)*100</f>
        <v>0</v>
      </c>
      <c r="AE28" s="685">
        <f>ROUND((((AD28/$E$37)*100)/0.01)*0.01,2)</f>
        <v>0</v>
      </c>
      <c r="AF28" s="686">
        <v>0</v>
      </c>
      <c r="AG28" s="683">
        <f>INT((($G28/$I28)*AF28)/100)*100</f>
        <v>0</v>
      </c>
      <c r="AH28" s="685">
        <f>ROUND((((AG28/$E$37)*100)/0.01)*0.01,2)</f>
        <v>0</v>
      </c>
      <c r="AI28" s="686">
        <v>0</v>
      </c>
      <c r="AJ28" s="683">
        <f>INT((($G28/$I28)*AI28)/100)*100</f>
        <v>0</v>
      </c>
      <c r="AK28" s="685">
        <f>ROUND((((AJ28/$E$37)*100)/0.01)*0.01,2)</f>
        <v>0</v>
      </c>
      <c r="AL28" s="686">
        <v>0</v>
      </c>
      <c r="AM28" s="683">
        <f>INT((($G28/$I28)*AL28)/100)*100</f>
        <v>0</v>
      </c>
      <c r="AN28" s="685">
        <f>ROUND((((AM28/$E$37)*100)/0.01)*0.01,2)</f>
        <v>0</v>
      </c>
      <c r="AO28" s="686">
        <v>0</v>
      </c>
      <c r="AP28" s="683">
        <f>INT((($G28/$I28)*AO28)/100)*100</f>
        <v>0</v>
      </c>
      <c r="AQ28" s="685">
        <f>ROUND((((AP28/$E$37)*100)/0.01)*0.01,2)</f>
        <v>0</v>
      </c>
      <c r="AR28" s="686">
        <v>0</v>
      </c>
      <c r="AS28" s="683">
        <f>INT((($G28/$I28)*AR28)/100)*100</f>
        <v>0</v>
      </c>
      <c r="AT28" s="685">
        <f>ROUND((((AS28/$E$37)*100)/0.01)*0.01,2)</f>
        <v>0</v>
      </c>
      <c r="AU28" s="686">
        <v>0</v>
      </c>
      <c r="AV28" s="683">
        <f>INT((($G28/$I28)*AU28)/100)*100</f>
        <v>0</v>
      </c>
      <c r="AW28" s="685">
        <f>ROUND((((AV28/$E$37)*100)/0.01)*0.01,2)</f>
        <v>0</v>
      </c>
      <c r="AX28" s="686">
        <v>0</v>
      </c>
      <c r="AY28" s="683">
        <f>INT((($G28/$I28)*AX28)/100)*100</f>
        <v>0</v>
      </c>
      <c r="AZ28" s="685">
        <f>ROUND((((AY28/$E$37)*100)/0.01)*0.01,2)</f>
        <v>0</v>
      </c>
      <c r="BA28" s="686">
        <v>0</v>
      </c>
      <c r="BB28" s="683">
        <f>INT((($G28/$I28)*BA28)/100)*100</f>
        <v>0</v>
      </c>
      <c r="BC28" s="685">
        <f>ROUND((((BB28/$E$37)*100)/0.01)*0.01,2)</f>
        <v>0</v>
      </c>
      <c r="BD28" s="686">
        <v>0</v>
      </c>
      <c r="BE28" s="683">
        <f>INT((($G28/$I28)*BD28)/100)*100</f>
        <v>0</v>
      </c>
      <c r="BF28" s="685">
        <f>ROUND((((BE28/$E$37)*100)/0.01)*0.01,2)</f>
        <v>0</v>
      </c>
      <c r="BG28" s="686">
        <v>0</v>
      </c>
      <c r="BH28" s="683">
        <f>INT((($G28/$I28)*BG28)/100)*100</f>
        <v>0</v>
      </c>
      <c r="BI28" s="685">
        <f>ROUND((((BH28/$E$37)*100)/0.01)*0.01,2)</f>
        <v>0</v>
      </c>
      <c r="BJ28" s="686">
        <v>0</v>
      </c>
      <c r="BK28" s="683">
        <f>INT((($G28/$I28)*BJ28)/100)*100</f>
        <v>0</v>
      </c>
      <c r="BL28" s="685">
        <f>ROUND((((BK28/$E$37)*100)/0.01)*0.01,2)</f>
        <v>0</v>
      </c>
      <c r="BM28" s="686">
        <v>0</v>
      </c>
      <c r="BN28" s="683">
        <f>INT((($G28/$I28)*BM28)/100)*100</f>
        <v>0</v>
      </c>
      <c r="BO28" s="685">
        <f>ROUND((((BN28/$E$37)*100)/0.01)*0.01,2)</f>
        <v>0</v>
      </c>
      <c r="BP28" s="686">
        <v>0</v>
      </c>
      <c r="BQ28" s="683">
        <f>INT((($G28/$I28)*BP28)/100)*100</f>
        <v>0</v>
      </c>
      <c r="BR28" s="685">
        <f>ROUND((((BQ28/$E$37)*100)/0.01)*0.01,2)</f>
        <v>0</v>
      </c>
      <c r="BS28" s="686">
        <v>0</v>
      </c>
      <c r="BT28" s="683">
        <f>INT((($G28/$I28)*BS28)/100)*100</f>
        <v>0</v>
      </c>
      <c r="BU28" s="685">
        <f>ROUND((((BT28/$E$37)*100)/0.01)*0.01,2)</f>
        <v>0</v>
      </c>
      <c r="BV28" s="686">
        <f t="shared" si="65"/>
        <v>1</v>
      </c>
      <c r="BW28" s="687">
        <f t="shared" si="1"/>
        <v>0</v>
      </c>
      <c r="BX28" s="688">
        <f t="shared" si="41"/>
        <v>0</v>
      </c>
      <c r="BY28" s="683">
        <f t="shared" si="2"/>
        <v>0</v>
      </c>
      <c r="BZ28" s="693"/>
      <c r="CA28" s="676"/>
    </row>
    <row r="29" spans="1:103">
      <c r="A29" s="750"/>
      <c r="B29" s="751"/>
      <c r="C29" s="707" t="s">
        <v>1427</v>
      </c>
      <c r="D29" s="707"/>
      <c r="E29" s="696"/>
      <c r="F29" s="679">
        <f>SUM('ปร.4 road'!K119:K120)</f>
        <v>0</v>
      </c>
      <c r="G29" s="680">
        <f t="shared" ref="G29" si="134">F29</f>
        <v>0</v>
      </c>
      <c r="H29" s="681">
        <f t="shared" si="132"/>
        <v>0</v>
      </c>
      <c r="I29" s="692">
        <v>1</v>
      </c>
      <c r="J29" s="683" t="s">
        <v>382</v>
      </c>
      <c r="K29" s="684">
        <v>0</v>
      </c>
      <c r="L29" s="683">
        <f>INT((($G29/$I29)*K29)/100)*100</f>
        <v>0</v>
      </c>
      <c r="M29" s="685">
        <f t="shared" si="133"/>
        <v>0</v>
      </c>
      <c r="N29" s="686"/>
      <c r="O29" s="683">
        <f t="shared" ref="O29:O34" si="135">INT((($G29/$I29)*N29)/100)*100</f>
        <v>0</v>
      </c>
      <c r="P29" s="685">
        <f t="shared" ref="P29:P34" si="136">ROUND((((O29/$E$37)*100)/0.01)*0.01,2)</f>
        <v>0</v>
      </c>
      <c r="Q29" s="686"/>
      <c r="R29" s="683">
        <f t="shared" ref="R29:R34" si="137">INT((($G29/$I29)*Q29)/100)*100</f>
        <v>0</v>
      </c>
      <c r="S29" s="685">
        <f t="shared" ref="S29:S34" si="138">ROUND((((R29/$E$37)*100)/0.01)*0.01,2)</f>
        <v>0</v>
      </c>
      <c r="T29" s="686"/>
      <c r="U29" s="683">
        <f t="shared" ref="U29:U34" si="139">INT((($G29/$I29)*T29)/100)*100</f>
        <v>0</v>
      </c>
      <c r="V29" s="685">
        <f t="shared" ref="V29:V34" si="140">ROUND((((U29/$E$37)*100)/0.01)*0.01,2)</f>
        <v>0</v>
      </c>
      <c r="W29" s="686"/>
      <c r="X29" s="683">
        <f t="shared" ref="X29:X34" si="141">INT((($G29/$I29)*W29)/100)*100</f>
        <v>0</v>
      </c>
      <c r="Y29" s="685">
        <f t="shared" ref="Y29:Y34" si="142">ROUND((((X29/$E$37)*100)/0.01)*0.01,2)</f>
        <v>0</v>
      </c>
      <c r="Z29" s="686"/>
      <c r="AA29" s="683">
        <f t="shared" ref="AA29:AA34" si="143">INT((($G29/$I29)*Z29)/100)*100</f>
        <v>0</v>
      </c>
      <c r="AB29" s="685">
        <f t="shared" ref="AB29:AB34" si="144">ROUND((((AA29/$E$37)*100)/0.01)*0.01,2)</f>
        <v>0</v>
      </c>
      <c r="AC29" s="686">
        <v>0</v>
      </c>
      <c r="AD29" s="683">
        <f t="shared" ref="AD29:AD34" si="145">INT((($G29/$I29)*AC29)/100)*100</f>
        <v>0</v>
      </c>
      <c r="AE29" s="685">
        <f t="shared" ref="AE29:AE34" si="146">ROUND((((AD29/$E$37)*100)/0.01)*0.01,2)</f>
        <v>0</v>
      </c>
      <c r="AF29" s="686">
        <v>0</v>
      </c>
      <c r="AG29" s="683">
        <f t="shared" ref="AG29:AG34" si="147">INT((($G29/$I29)*AF29)/100)*100</f>
        <v>0</v>
      </c>
      <c r="AH29" s="685">
        <f t="shared" ref="AH29:AH34" si="148">ROUND((((AG29/$E$37)*100)/0.01)*0.01,2)</f>
        <v>0</v>
      </c>
      <c r="AI29" s="686">
        <v>0</v>
      </c>
      <c r="AJ29" s="683">
        <f t="shared" ref="AJ29:AJ34" si="149">INT((($G29/$I29)*AI29)/100)*100</f>
        <v>0</v>
      </c>
      <c r="AK29" s="685">
        <f t="shared" ref="AK29:AK34" si="150">ROUND((((AJ29/$E$37)*100)/0.01)*0.01,2)</f>
        <v>0</v>
      </c>
      <c r="AL29" s="686">
        <v>0</v>
      </c>
      <c r="AM29" s="683">
        <f t="shared" ref="AM29:AM34" si="151">INT((($G29/$I29)*AL29)/100)*100</f>
        <v>0</v>
      </c>
      <c r="AN29" s="685">
        <f t="shared" ref="AN29:AN34" si="152">ROUND((((AM29/$E$37)*100)/0.01)*0.01,2)</f>
        <v>0</v>
      </c>
      <c r="AO29" s="686">
        <v>0</v>
      </c>
      <c r="AP29" s="683">
        <f t="shared" ref="AP29:AP34" si="153">INT((($G29/$I29)*AO29)/100)*100</f>
        <v>0</v>
      </c>
      <c r="AQ29" s="685">
        <f t="shared" ref="AQ29:AQ34" si="154">ROUND((((AP29/$E$37)*100)/0.01)*0.01,2)</f>
        <v>0</v>
      </c>
      <c r="AR29" s="686">
        <v>0</v>
      </c>
      <c r="AS29" s="683">
        <f t="shared" ref="AS29:AS34" si="155">INT((($G29/$I29)*AR29)/100)*100</f>
        <v>0</v>
      </c>
      <c r="AT29" s="685">
        <f t="shared" ref="AT29:AT34" si="156">ROUND((((AS29/$E$37)*100)/0.01)*0.01,2)</f>
        <v>0</v>
      </c>
      <c r="AU29" s="686">
        <v>0</v>
      </c>
      <c r="AV29" s="683">
        <f t="shared" ref="AV29:AV34" si="157">INT((($G29/$I29)*AU29)/100)*100</f>
        <v>0</v>
      </c>
      <c r="AW29" s="685">
        <f t="shared" ref="AW29:AW34" si="158">ROUND((((AV29/$E$37)*100)/0.01)*0.01,2)</f>
        <v>0</v>
      </c>
      <c r="AX29" s="686">
        <v>0</v>
      </c>
      <c r="AY29" s="683">
        <f t="shared" ref="AY29:AY34" si="159">INT((($G29/$I29)*AX29)/100)*100</f>
        <v>0</v>
      </c>
      <c r="AZ29" s="685">
        <f t="shared" ref="AZ29:AZ34" si="160">ROUND((((AY29/$E$37)*100)/0.01)*0.01,2)</f>
        <v>0</v>
      </c>
      <c r="BA29" s="686">
        <v>0</v>
      </c>
      <c r="BB29" s="683">
        <f t="shared" ref="BB29:BB34" si="161">INT((($G29/$I29)*BA29)/100)*100</f>
        <v>0</v>
      </c>
      <c r="BC29" s="685">
        <f t="shared" ref="BC29:BC34" si="162">ROUND((((BB29/$E$37)*100)/0.01)*0.01,2)</f>
        <v>0</v>
      </c>
      <c r="BD29" s="686">
        <v>0</v>
      </c>
      <c r="BE29" s="683">
        <f t="shared" ref="BE29:BE34" si="163">INT((($G29/$I29)*BD29)/100)*100</f>
        <v>0</v>
      </c>
      <c r="BF29" s="685">
        <f t="shared" ref="BF29:BF34" si="164">ROUND((((BE29/$E$37)*100)/0.01)*0.01,2)</f>
        <v>0</v>
      </c>
      <c r="BG29" s="686">
        <v>0</v>
      </c>
      <c r="BH29" s="683">
        <f t="shared" ref="BH29:BH34" si="165">INT((($G29/$I29)*BG29)/100)*100</f>
        <v>0</v>
      </c>
      <c r="BI29" s="685">
        <f t="shared" ref="BI29:BI34" si="166">ROUND((((BH29/$E$37)*100)/0.01)*0.01,2)</f>
        <v>0</v>
      </c>
      <c r="BJ29" s="686">
        <v>0</v>
      </c>
      <c r="BK29" s="683">
        <f t="shared" ref="BK29:BK34" si="167">INT((($G29/$I29)*BJ29)/100)*100</f>
        <v>0</v>
      </c>
      <c r="BL29" s="685">
        <f t="shared" ref="BL29:BL34" si="168">ROUND((((BK29/$E$37)*100)/0.01)*0.01,2)</f>
        <v>0</v>
      </c>
      <c r="BM29" s="686">
        <v>0</v>
      </c>
      <c r="BN29" s="683">
        <f t="shared" ref="BN29:BN34" si="169">INT((($G29/$I29)*BM29)/100)*100</f>
        <v>0</v>
      </c>
      <c r="BO29" s="685">
        <f t="shared" ref="BO29:BO34" si="170">ROUND((((BN29/$E$37)*100)/0.01)*0.01,2)</f>
        <v>0</v>
      </c>
      <c r="BP29" s="686">
        <v>0</v>
      </c>
      <c r="BQ29" s="683">
        <f t="shared" ref="BQ29:BQ34" si="171">INT((($G29/$I29)*BP29)/100)*100</f>
        <v>0</v>
      </c>
      <c r="BR29" s="685">
        <f t="shared" ref="BR29:BR34" si="172">ROUND((((BQ29/$E$37)*100)/0.01)*0.01,2)</f>
        <v>0</v>
      </c>
      <c r="BS29" s="686">
        <v>0</v>
      </c>
      <c r="BT29" s="683">
        <f t="shared" ref="BT29:BT34" si="173">INT((($G29/$I29)*BS29)/100)*100</f>
        <v>0</v>
      </c>
      <c r="BU29" s="685">
        <f t="shared" ref="BU29:BU34" si="174">ROUND((((BT29/$E$37)*100)/0.01)*0.01,2)</f>
        <v>0</v>
      </c>
      <c r="BV29" s="686">
        <f t="shared" si="65"/>
        <v>1</v>
      </c>
      <c r="BW29" s="687">
        <f t="shared" si="1"/>
        <v>0</v>
      </c>
      <c r="BX29" s="688">
        <f t="shared" si="41"/>
        <v>0</v>
      </c>
      <c r="BY29" s="683">
        <f t="shared" si="2"/>
        <v>0</v>
      </c>
      <c r="BZ29" s="693"/>
      <c r="CA29" s="676"/>
    </row>
    <row r="30" spans="1:103">
      <c r="A30" s="750"/>
      <c r="B30" s="751"/>
      <c r="C30" s="638" t="s">
        <v>1428</v>
      </c>
      <c r="D30" s="706"/>
      <c r="E30" s="696"/>
      <c r="F30" s="679">
        <v>0</v>
      </c>
      <c r="G30" s="680">
        <f t="shared" ref="G30:G34" si="175">F30</f>
        <v>0</v>
      </c>
      <c r="H30" s="681">
        <f t="shared" si="132"/>
        <v>0</v>
      </c>
      <c r="I30" s="692">
        <v>1</v>
      </c>
      <c r="J30" s="683" t="s">
        <v>382</v>
      </c>
      <c r="K30" s="684">
        <v>0</v>
      </c>
      <c r="L30" s="683">
        <f t="shared" ref="L30:L34" si="176">INT((($G30/$I30)*K30)/100)*100</f>
        <v>0</v>
      </c>
      <c r="M30" s="685">
        <f t="shared" si="133"/>
        <v>0</v>
      </c>
      <c r="N30" s="686"/>
      <c r="O30" s="683">
        <f t="shared" si="135"/>
        <v>0</v>
      </c>
      <c r="P30" s="685">
        <f t="shared" si="136"/>
        <v>0</v>
      </c>
      <c r="Q30" s="686"/>
      <c r="R30" s="683">
        <f t="shared" si="137"/>
        <v>0</v>
      </c>
      <c r="S30" s="685">
        <f t="shared" si="138"/>
        <v>0</v>
      </c>
      <c r="T30" s="686"/>
      <c r="U30" s="683">
        <f t="shared" si="139"/>
        <v>0</v>
      </c>
      <c r="V30" s="685">
        <f t="shared" si="140"/>
        <v>0</v>
      </c>
      <c r="W30" s="686"/>
      <c r="X30" s="683">
        <f t="shared" si="141"/>
        <v>0</v>
      </c>
      <c r="Y30" s="685">
        <f t="shared" si="142"/>
        <v>0</v>
      </c>
      <c r="Z30" s="686"/>
      <c r="AA30" s="683">
        <f t="shared" si="143"/>
        <v>0</v>
      </c>
      <c r="AB30" s="685">
        <f t="shared" si="144"/>
        <v>0</v>
      </c>
      <c r="AC30" s="686">
        <v>0</v>
      </c>
      <c r="AD30" s="683">
        <f t="shared" si="145"/>
        <v>0</v>
      </c>
      <c r="AE30" s="685">
        <f t="shared" si="146"/>
        <v>0</v>
      </c>
      <c r="AF30" s="686">
        <v>0</v>
      </c>
      <c r="AG30" s="683">
        <f t="shared" si="147"/>
        <v>0</v>
      </c>
      <c r="AH30" s="685">
        <f t="shared" si="148"/>
        <v>0</v>
      </c>
      <c r="AI30" s="686">
        <v>0</v>
      </c>
      <c r="AJ30" s="683">
        <f t="shared" si="149"/>
        <v>0</v>
      </c>
      <c r="AK30" s="685">
        <f t="shared" si="150"/>
        <v>0</v>
      </c>
      <c r="AL30" s="686">
        <v>0</v>
      </c>
      <c r="AM30" s="683">
        <f t="shared" si="151"/>
        <v>0</v>
      </c>
      <c r="AN30" s="685">
        <f t="shared" si="152"/>
        <v>0</v>
      </c>
      <c r="AO30" s="686">
        <v>0</v>
      </c>
      <c r="AP30" s="683">
        <f t="shared" si="153"/>
        <v>0</v>
      </c>
      <c r="AQ30" s="685">
        <f t="shared" si="154"/>
        <v>0</v>
      </c>
      <c r="AR30" s="686">
        <v>0</v>
      </c>
      <c r="AS30" s="683">
        <f t="shared" si="155"/>
        <v>0</v>
      </c>
      <c r="AT30" s="685">
        <f t="shared" si="156"/>
        <v>0</v>
      </c>
      <c r="AU30" s="686">
        <v>0</v>
      </c>
      <c r="AV30" s="683">
        <f t="shared" si="157"/>
        <v>0</v>
      </c>
      <c r="AW30" s="685">
        <f t="shared" si="158"/>
        <v>0</v>
      </c>
      <c r="AX30" s="686">
        <v>0</v>
      </c>
      <c r="AY30" s="683">
        <f t="shared" si="159"/>
        <v>0</v>
      </c>
      <c r="AZ30" s="685">
        <f t="shared" si="160"/>
        <v>0</v>
      </c>
      <c r="BA30" s="686">
        <v>0</v>
      </c>
      <c r="BB30" s="683">
        <f t="shared" si="161"/>
        <v>0</v>
      </c>
      <c r="BC30" s="685">
        <f t="shared" si="162"/>
        <v>0</v>
      </c>
      <c r="BD30" s="686">
        <v>0</v>
      </c>
      <c r="BE30" s="683">
        <f t="shared" si="163"/>
        <v>0</v>
      </c>
      <c r="BF30" s="685">
        <f t="shared" si="164"/>
        <v>0</v>
      </c>
      <c r="BG30" s="686">
        <v>0</v>
      </c>
      <c r="BH30" s="683">
        <f t="shared" si="165"/>
        <v>0</v>
      </c>
      <c r="BI30" s="685">
        <f t="shared" si="166"/>
        <v>0</v>
      </c>
      <c r="BJ30" s="686">
        <v>0</v>
      </c>
      <c r="BK30" s="683">
        <f t="shared" si="167"/>
        <v>0</v>
      </c>
      <c r="BL30" s="685">
        <f t="shared" si="168"/>
        <v>0</v>
      </c>
      <c r="BM30" s="686">
        <v>0</v>
      </c>
      <c r="BN30" s="683">
        <f t="shared" si="169"/>
        <v>0</v>
      </c>
      <c r="BO30" s="685">
        <f t="shared" si="170"/>
        <v>0</v>
      </c>
      <c r="BP30" s="686">
        <v>0</v>
      </c>
      <c r="BQ30" s="683">
        <f t="shared" si="171"/>
        <v>0</v>
      </c>
      <c r="BR30" s="685">
        <f t="shared" si="172"/>
        <v>0</v>
      </c>
      <c r="BS30" s="686">
        <v>0</v>
      </c>
      <c r="BT30" s="683">
        <f t="shared" si="173"/>
        <v>0</v>
      </c>
      <c r="BU30" s="685">
        <f t="shared" si="174"/>
        <v>0</v>
      </c>
      <c r="BV30" s="686">
        <f t="shared" si="65"/>
        <v>1</v>
      </c>
      <c r="BW30" s="687">
        <f t="shared" si="1"/>
        <v>0</v>
      </c>
      <c r="BX30" s="688">
        <f t="shared" si="41"/>
        <v>0</v>
      </c>
      <c r="BY30" s="683">
        <f t="shared" si="2"/>
        <v>0</v>
      </c>
      <c r="BZ30" s="693"/>
      <c r="CA30" s="676"/>
    </row>
    <row r="31" spans="1:103">
      <c r="A31" s="750"/>
      <c r="B31" s="751"/>
      <c r="C31" s="707" t="s">
        <v>1429</v>
      </c>
      <c r="D31" s="706"/>
      <c r="E31" s="696"/>
      <c r="F31" s="679">
        <f>SUM('ปร.4 road'!K130)</f>
        <v>0</v>
      </c>
      <c r="G31" s="680">
        <f t="shared" si="175"/>
        <v>0</v>
      </c>
      <c r="H31" s="681">
        <f t="shared" si="132"/>
        <v>0</v>
      </c>
      <c r="I31" s="692">
        <v>1</v>
      </c>
      <c r="J31" s="683" t="s">
        <v>382</v>
      </c>
      <c r="K31" s="684">
        <v>0</v>
      </c>
      <c r="L31" s="683">
        <f t="shared" si="176"/>
        <v>0</v>
      </c>
      <c r="M31" s="685">
        <f t="shared" si="133"/>
        <v>0</v>
      </c>
      <c r="N31" s="686"/>
      <c r="O31" s="683">
        <f t="shared" si="135"/>
        <v>0</v>
      </c>
      <c r="P31" s="685">
        <f t="shared" si="136"/>
        <v>0</v>
      </c>
      <c r="Q31" s="686"/>
      <c r="R31" s="683">
        <f t="shared" si="137"/>
        <v>0</v>
      </c>
      <c r="S31" s="685">
        <f t="shared" si="138"/>
        <v>0</v>
      </c>
      <c r="T31" s="686"/>
      <c r="U31" s="683">
        <f t="shared" si="139"/>
        <v>0</v>
      </c>
      <c r="V31" s="685">
        <f t="shared" si="140"/>
        <v>0</v>
      </c>
      <c r="W31" s="686"/>
      <c r="X31" s="683">
        <f t="shared" si="141"/>
        <v>0</v>
      </c>
      <c r="Y31" s="685">
        <f t="shared" si="142"/>
        <v>0</v>
      </c>
      <c r="Z31" s="686"/>
      <c r="AA31" s="683">
        <f t="shared" si="143"/>
        <v>0</v>
      </c>
      <c r="AB31" s="685">
        <f t="shared" si="144"/>
        <v>0</v>
      </c>
      <c r="AC31" s="686">
        <v>0</v>
      </c>
      <c r="AD31" s="683">
        <f t="shared" si="145"/>
        <v>0</v>
      </c>
      <c r="AE31" s="685">
        <f t="shared" si="146"/>
        <v>0</v>
      </c>
      <c r="AF31" s="686">
        <v>0</v>
      </c>
      <c r="AG31" s="683">
        <f t="shared" si="147"/>
        <v>0</v>
      </c>
      <c r="AH31" s="685">
        <f t="shared" si="148"/>
        <v>0</v>
      </c>
      <c r="AI31" s="686">
        <v>0</v>
      </c>
      <c r="AJ31" s="683">
        <f t="shared" si="149"/>
        <v>0</v>
      </c>
      <c r="AK31" s="685">
        <f t="shared" si="150"/>
        <v>0</v>
      </c>
      <c r="AL31" s="686">
        <v>0</v>
      </c>
      <c r="AM31" s="683">
        <f t="shared" si="151"/>
        <v>0</v>
      </c>
      <c r="AN31" s="685">
        <f t="shared" si="152"/>
        <v>0</v>
      </c>
      <c r="AO31" s="686">
        <v>0</v>
      </c>
      <c r="AP31" s="683">
        <f t="shared" si="153"/>
        <v>0</v>
      </c>
      <c r="AQ31" s="685">
        <f t="shared" si="154"/>
        <v>0</v>
      </c>
      <c r="AR31" s="686">
        <v>0</v>
      </c>
      <c r="AS31" s="683">
        <f t="shared" si="155"/>
        <v>0</v>
      </c>
      <c r="AT31" s="685">
        <f t="shared" si="156"/>
        <v>0</v>
      </c>
      <c r="AU31" s="686">
        <v>0</v>
      </c>
      <c r="AV31" s="683">
        <f t="shared" si="157"/>
        <v>0</v>
      </c>
      <c r="AW31" s="685">
        <f t="shared" si="158"/>
        <v>0</v>
      </c>
      <c r="AX31" s="686">
        <v>0</v>
      </c>
      <c r="AY31" s="683">
        <f t="shared" si="159"/>
        <v>0</v>
      </c>
      <c r="AZ31" s="685">
        <f t="shared" si="160"/>
        <v>0</v>
      </c>
      <c r="BA31" s="686">
        <v>0</v>
      </c>
      <c r="BB31" s="683">
        <f t="shared" si="161"/>
        <v>0</v>
      </c>
      <c r="BC31" s="685">
        <f t="shared" si="162"/>
        <v>0</v>
      </c>
      <c r="BD31" s="686">
        <v>0</v>
      </c>
      <c r="BE31" s="683">
        <f t="shared" si="163"/>
        <v>0</v>
      </c>
      <c r="BF31" s="685">
        <f t="shared" si="164"/>
        <v>0</v>
      </c>
      <c r="BG31" s="686">
        <v>0</v>
      </c>
      <c r="BH31" s="683">
        <f t="shared" si="165"/>
        <v>0</v>
      </c>
      <c r="BI31" s="685">
        <f t="shared" si="166"/>
        <v>0</v>
      </c>
      <c r="BJ31" s="686">
        <v>0</v>
      </c>
      <c r="BK31" s="683">
        <f t="shared" si="167"/>
        <v>0</v>
      </c>
      <c r="BL31" s="685">
        <f t="shared" si="168"/>
        <v>0</v>
      </c>
      <c r="BM31" s="686">
        <v>0</v>
      </c>
      <c r="BN31" s="683">
        <f t="shared" si="169"/>
        <v>0</v>
      </c>
      <c r="BO31" s="685">
        <f t="shared" si="170"/>
        <v>0</v>
      </c>
      <c r="BP31" s="686">
        <v>0</v>
      </c>
      <c r="BQ31" s="683">
        <f t="shared" si="171"/>
        <v>0</v>
      </c>
      <c r="BR31" s="685">
        <f t="shared" si="172"/>
        <v>0</v>
      </c>
      <c r="BS31" s="686">
        <v>0</v>
      </c>
      <c r="BT31" s="683">
        <f t="shared" si="173"/>
        <v>0</v>
      </c>
      <c r="BU31" s="685">
        <f t="shared" si="174"/>
        <v>0</v>
      </c>
      <c r="BV31" s="686">
        <f t="shared" si="65"/>
        <v>1</v>
      </c>
      <c r="BW31" s="687">
        <f t="shared" si="1"/>
        <v>0</v>
      </c>
      <c r="BX31" s="688">
        <f t="shared" si="41"/>
        <v>0</v>
      </c>
      <c r="BY31" s="683">
        <f t="shared" si="2"/>
        <v>0</v>
      </c>
      <c r="BZ31" s="693"/>
      <c r="CA31" s="676"/>
    </row>
    <row r="32" spans="1:103">
      <c r="A32" s="750"/>
      <c r="B32" s="751"/>
      <c r="C32" s="707" t="s">
        <v>1430</v>
      </c>
      <c r="D32" s="706"/>
      <c r="E32" s="696"/>
      <c r="F32" s="679">
        <v>0</v>
      </c>
      <c r="G32" s="680">
        <f t="shared" si="175"/>
        <v>0</v>
      </c>
      <c r="H32" s="681">
        <f t="shared" si="132"/>
        <v>0</v>
      </c>
      <c r="I32" s="692">
        <v>1</v>
      </c>
      <c r="J32" s="683" t="s">
        <v>382</v>
      </c>
      <c r="K32" s="684">
        <v>0</v>
      </c>
      <c r="L32" s="683">
        <f t="shared" si="176"/>
        <v>0</v>
      </c>
      <c r="M32" s="685">
        <f t="shared" si="133"/>
        <v>0</v>
      </c>
      <c r="N32" s="686"/>
      <c r="O32" s="683">
        <f t="shared" si="135"/>
        <v>0</v>
      </c>
      <c r="P32" s="685">
        <f t="shared" si="136"/>
        <v>0</v>
      </c>
      <c r="Q32" s="686"/>
      <c r="R32" s="683">
        <f t="shared" si="137"/>
        <v>0</v>
      </c>
      <c r="S32" s="685">
        <f t="shared" si="138"/>
        <v>0</v>
      </c>
      <c r="T32" s="686"/>
      <c r="U32" s="683">
        <f t="shared" si="139"/>
        <v>0</v>
      </c>
      <c r="V32" s="685">
        <f t="shared" si="140"/>
        <v>0</v>
      </c>
      <c r="W32" s="686"/>
      <c r="X32" s="683">
        <f t="shared" si="141"/>
        <v>0</v>
      </c>
      <c r="Y32" s="685">
        <f t="shared" si="142"/>
        <v>0</v>
      </c>
      <c r="Z32" s="686"/>
      <c r="AA32" s="683">
        <f t="shared" si="143"/>
        <v>0</v>
      </c>
      <c r="AB32" s="685">
        <f t="shared" si="144"/>
        <v>0</v>
      </c>
      <c r="AC32" s="686">
        <v>0</v>
      </c>
      <c r="AD32" s="683">
        <f t="shared" si="145"/>
        <v>0</v>
      </c>
      <c r="AE32" s="685">
        <f t="shared" si="146"/>
        <v>0</v>
      </c>
      <c r="AF32" s="686">
        <v>0</v>
      </c>
      <c r="AG32" s="683">
        <f t="shared" si="147"/>
        <v>0</v>
      </c>
      <c r="AH32" s="685">
        <f t="shared" si="148"/>
        <v>0</v>
      </c>
      <c r="AI32" s="686">
        <v>0</v>
      </c>
      <c r="AJ32" s="683">
        <f t="shared" si="149"/>
        <v>0</v>
      </c>
      <c r="AK32" s="685">
        <f t="shared" si="150"/>
        <v>0</v>
      </c>
      <c r="AL32" s="686">
        <v>0</v>
      </c>
      <c r="AM32" s="683">
        <f t="shared" si="151"/>
        <v>0</v>
      </c>
      <c r="AN32" s="685">
        <f t="shared" si="152"/>
        <v>0</v>
      </c>
      <c r="AO32" s="686">
        <v>0</v>
      </c>
      <c r="AP32" s="683">
        <f t="shared" si="153"/>
        <v>0</v>
      </c>
      <c r="AQ32" s="685">
        <f t="shared" si="154"/>
        <v>0</v>
      </c>
      <c r="AR32" s="686">
        <v>0</v>
      </c>
      <c r="AS32" s="683">
        <f t="shared" si="155"/>
        <v>0</v>
      </c>
      <c r="AT32" s="685">
        <f t="shared" si="156"/>
        <v>0</v>
      </c>
      <c r="AU32" s="686">
        <v>0</v>
      </c>
      <c r="AV32" s="683">
        <f t="shared" si="157"/>
        <v>0</v>
      </c>
      <c r="AW32" s="685">
        <f t="shared" si="158"/>
        <v>0</v>
      </c>
      <c r="AX32" s="686">
        <v>0</v>
      </c>
      <c r="AY32" s="683">
        <f t="shared" si="159"/>
        <v>0</v>
      </c>
      <c r="AZ32" s="685">
        <f t="shared" si="160"/>
        <v>0</v>
      </c>
      <c r="BA32" s="686">
        <v>0</v>
      </c>
      <c r="BB32" s="683">
        <f t="shared" si="161"/>
        <v>0</v>
      </c>
      <c r="BC32" s="685">
        <f t="shared" si="162"/>
        <v>0</v>
      </c>
      <c r="BD32" s="686">
        <v>0</v>
      </c>
      <c r="BE32" s="683">
        <f t="shared" si="163"/>
        <v>0</v>
      </c>
      <c r="BF32" s="685">
        <f t="shared" si="164"/>
        <v>0</v>
      </c>
      <c r="BG32" s="686">
        <v>0</v>
      </c>
      <c r="BH32" s="683">
        <f t="shared" si="165"/>
        <v>0</v>
      </c>
      <c r="BI32" s="685">
        <f t="shared" si="166"/>
        <v>0</v>
      </c>
      <c r="BJ32" s="686">
        <v>0</v>
      </c>
      <c r="BK32" s="683">
        <f t="shared" si="167"/>
        <v>0</v>
      </c>
      <c r="BL32" s="685">
        <f t="shared" si="168"/>
        <v>0</v>
      </c>
      <c r="BM32" s="686">
        <v>0</v>
      </c>
      <c r="BN32" s="683">
        <f t="shared" si="169"/>
        <v>0</v>
      </c>
      <c r="BO32" s="685">
        <f t="shared" si="170"/>
        <v>0</v>
      </c>
      <c r="BP32" s="686">
        <v>0</v>
      </c>
      <c r="BQ32" s="683">
        <f t="shared" si="171"/>
        <v>0</v>
      </c>
      <c r="BR32" s="685">
        <f t="shared" si="172"/>
        <v>0</v>
      </c>
      <c r="BS32" s="686">
        <v>0</v>
      </c>
      <c r="BT32" s="683">
        <f t="shared" si="173"/>
        <v>0</v>
      </c>
      <c r="BU32" s="685">
        <f t="shared" si="174"/>
        <v>0</v>
      </c>
      <c r="BV32" s="686">
        <f t="shared" si="65"/>
        <v>1</v>
      </c>
      <c r="BW32" s="687">
        <f t="shared" si="1"/>
        <v>0</v>
      </c>
      <c r="BX32" s="688">
        <f t="shared" si="41"/>
        <v>0</v>
      </c>
      <c r="BY32" s="683">
        <f t="shared" si="2"/>
        <v>0</v>
      </c>
      <c r="BZ32" s="693"/>
      <c r="CA32" s="676"/>
    </row>
    <row r="33" spans="1:80">
      <c r="A33" s="750"/>
      <c r="B33" s="751"/>
      <c r="C33" s="707" t="s">
        <v>1431</v>
      </c>
      <c r="D33" s="706"/>
      <c r="E33" s="696"/>
      <c r="F33" s="679">
        <v>0</v>
      </c>
      <c r="G33" s="680">
        <f t="shared" si="175"/>
        <v>0</v>
      </c>
      <c r="H33" s="681">
        <f t="shared" si="132"/>
        <v>0</v>
      </c>
      <c r="I33" s="692">
        <v>1</v>
      </c>
      <c r="J33" s="683" t="s">
        <v>382</v>
      </c>
      <c r="K33" s="684">
        <v>0</v>
      </c>
      <c r="L33" s="683">
        <f t="shared" si="176"/>
        <v>0</v>
      </c>
      <c r="M33" s="685">
        <f t="shared" si="133"/>
        <v>0</v>
      </c>
      <c r="N33" s="686"/>
      <c r="O33" s="683">
        <f t="shared" si="135"/>
        <v>0</v>
      </c>
      <c r="P33" s="685">
        <f t="shared" si="136"/>
        <v>0</v>
      </c>
      <c r="Q33" s="686"/>
      <c r="R33" s="683">
        <f t="shared" si="137"/>
        <v>0</v>
      </c>
      <c r="S33" s="685">
        <f t="shared" si="138"/>
        <v>0</v>
      </c>
      <c r="T33" s="686"/>
      <c r="U33" s="683">
        <f t="shared" si="139"/>
        <v>0</v>
      </c>
      <c r="V33" s="685">
        <f t="shared" si="140"/>
        <v>0</v>
      </c>
      <c r="W33" s="686"/>
      <c r="X33" s="683">
        <f t="shared" si="141"/>
        <v>0</v>
      </c>
      <c r="Y33" s="685">
        <f t="shared" si="142"/>
        <v>0</v>
      </c>
      <c r="Z33" s="686"/>
      <c r="AA33" s="683">
        <f t="shared" si="143"/>
        <v>0</v>
      </c>
      <c r="AB33" s="685">
        <f t="shared" si="144"/>
        <v>0</v>
      </c>
      <c r="AC33" s="686">
        <v>0</v>
      </c>
      <c r="AD33" s="683">
        <f t="shared" si="145"/>
        <v>0</v>
      </c>
      <c r="AE33" s="685">
        <f t="shared" si="146"/>
        <v>0</v>
      </c>
      <c r="AF33" s="686">
        <v>0</v>
      </c>
      <c r="AG33" s="683">
        <f t="shared" si="147"/>
        <v>0</v>
      </c>
      <c r="AH33" s="685">
        <f t="shared" si="148"/>
        <v>0</v>
      </c>
      <c r="AI33" s="686">
        <v>0</v>
      </c>
      <c r="AJ33" s="683">
        <f t="shared" si="149"/>
        <v>0</v>
      </c>
      <c r="AK33" s="685">
        <f t="shared" si="150"/>
        <v>0</v>
      </c>
      <c r="AL33" s="686">
        <v>0</v>
      </c>
      <c r="AM33" s="683">
        <f t="shared" si="151"/>
        <v>0</v>
      </c>
      <c r="AN33" s="685">
        <f t="shared" si="152"/>
        <v>0</v>
      </c>
      <c r="AO33" s="686">
        <v>0</v>
      </c>
      <c r="AP33" s="683">
        <f t="shared" si="153"/>
        <v>0</v>
      </c>
      <c r="AQ33" s="685">
        <f t="shared" si="154"/>
        <v>0</v>
      </c>
      <c r="AR33" s="686">
        <v>0</v>
      </c>
      <c r="AS33" s="683">
        <f t="shared" si="155"/>
        <v>0</v>
      </c>
      <c r="AT33" s="685">
        <f t="shared" si="156"/>
        <v>0</v>
      </c>
      <c r="AU33" s="686">
        <v>0</v>
      </c>
      <c r="AV33" s="683">
        <f t="shared" si="157"/>
        <v>0</v>
      </c>
      <c r="AW33" s="685">
        <f t="shared" si="158"/>
        <v>0</v>
      </c>
      <c r="AX33" s="686">
        <v>0</v>
      </c>
      <c r="AY33" s="683">
        <f t="shared" si="159"/>
        <v>0</v>
      </c>
      <c r="AZ33" s="685">
        <f t="shared" si="160"/>
        <v>0</v>
      </c>
      <c r="BA33" s="686">
        <v>0</v>
      </c>
      <c r="BB33" s="683">
        <f t="shared" si="161"/>
        <v>0</v>
      </c>
      <c r="BC33" s="685">
        <f t="shared" si="162"/>
        <v>0</v>
      </c>
      <c r="BD33" s="686">
        <v>0</v>
      </c>
      <c r="BE33" s="683">
        <f t="shared" si="163"/>
        <v>0</v>
      </c>
      <c r="BF33" s="685">
        <f t="shared" si="164"/>
        <v>0</v>
      </c>
      <c r="BG33" s="686">
        <v>0</v>
      </c>
      <c r="BH33" s="683">
        <f t="shared" si="165"/>
        <v>0</v>
      </c>
      <c r="BI33" s="685">
        <f t="shared" si="166"/>
        <v>0</v>
      </c>
      <c r="BJ33" s="686">
        <v>0</v>
      </c>
      <c r="BK33" s="683">
        <f t="shared" si="167"/>
        <v>0</v>
      </c>
      <c r="BL33" s="685">
        <f t="shared" si="168"/>
        <v>0</v>
      </c>
      <c r="BM33" s="686">
        <v>0</v>
      </c>
      <c r="BN33" s="683">
        <f t="shared" si="169"/>
        <v>0</v>
      </c>
      <c r="BO33" s="685">
        <f t="shared" si="170"/>
        <v>0</v>
      </c>
      <c r="BP33" s="686">
        <v>0</v>
      </c>
      <c r="BQ33" s="683">
        <f t="shared" si="171"/>
        <v>0</v>
      </c>
      <c r="BR33" s="685">
        <f t="shared" si="172"/>
        <v>0</v>
      </c>
      <c r="BS33" s="686">
        <v>0</v>
      </c>
      <c r="BT33" s="683">
        <f t="shared" si="173"/>
        <v>0</v>
      </c>
      <c r="BU33" s="685">
        <f t="shared" si="174"/>
        <v>0</v>
      </c>
      <c r="BV33" s="686">
        <f t="shared" si="65"/>
        <v>1</v>
      </c>
      <c r="BW33" s="687">
        <f t="shared" si="1"/>
        <v>0</v>
      </c>
      <c r="BX33" s="688">
        <f t="shared" si="41"/>
        <v>0</v>
      </c>
      <c r="BY33" s="683">
        <f t="shared" si="2"/>
        <v>0</v>
      </c>
      <c r="BZ33" s="693"/>
      <c r="CA33" s="676"/>
    </row>
    <row r="34" spans="1:80">
      <c r="A34" s="750"/>
      <c r="B34" s="751"/>
      <c r="C34" s="707" t="s">
        <v>1432</v>
      </c>
      <c r="D34" s="706"/>
      <c r="E34" s="696"/>
      <c r="F34" s="679">
        <f>SUM('ปร.4 road'!K131)</f>
        <v>0</v>
      </c>
      <c r="G34" s="680">
        <f t="shared" si="175"/>
        <v>0</v>
      </c>
      <c r="H34" s="681">
        <f t="shared" si="132"/>
        <v>0</v>
      </c>
      <c r="I34" s="692">
        <v>1</v>
      </c>
      <c r="J34" s="683" t="s">
        <v>382</v>
      </c>
      <c r="K34" s="684">
        <v>0</v>
      </c>
      <c r="L34" s="683">
        <f t="shared" si="176"/>
        <v>0</v>
      </c>
      <c r="M34" s="685">
        <f t="shared" si="133"/>
        <v>0</v>
      </c>
      <c r="N34" s="686"/>
      <c r="O34" s="683">
        <f t="shared" si="135"/>
        <v>0</v>
      </c>
      <c r="P34" s="685">
        <f t="shared" si="136"/>
        <v>0</v>
      </c>
      <c r="Q34" s="686"/>
      <c r="R34" s="683">
        <f t="shared" si="137"/>
        <v>0</v>
      </c>
      <c r="S34" s="685">
        <f t="shared" si="138"/>
        <v>0</v>
      </c>
      <c r="T34" s="686"/>
      <c r="U34" s="683">
        <f t="shared" si="139"/>
        <v>0</v>
      </c>
      <c r="V34" s="685">
        <f t="shared" si="140"/>
        <v>0</v>
      </c>
      <c r="W34" s="686"/>
      <c r="X34" s="683">
        <f t="shared" si="141"/>
        <v>0</v>
      </c>
      <c r="Y34" s="685">
        <f t="shared" si="142"/>
        <v>0</v>
      </c>
      <c r="Z34" s="686"/>
      <c r="AA34" s="683">
        <f t="shared" si="143"/>
        <v>0</v>
      </c>
      <c r="AB34" s="685">
        <f t="shared" si="144"/>
        <v>0</v>
      </c>
      <c r="AC34" s="686">
        <v>0</v>
      </c>
      <c r="AD34" s="683">
        <f t="shared" si="145"/>
        <v>0</v>
      </c>
      <c r="AE34" s="685">
        <f t="shared" si="146"/>
        <v>0</v>
      </c>
      <c r="AF34" s="686">
        <v>0</v>
      </c>
      <c r="AG34" s="683">
        <f t="shared" si="147"/>
        <v>0</v>
      </c>
      <c r="AH34" s="685">
        <f t="shared" si="148"/>
        <v>0</v>
      </c>
      <c r="AI34" s="686">
        <v>0</v>
      </c>
      <c r="AJ34" s="683">
        <f t="shared" si="149"/>
        <v>0</v>
      </c>
      <c r="AK34" s="685">
        <f t="shared" si="150"/>
        <v>0</v>
      </c>
      <c r="AL34" s="686">
        <v>0</v>
      </c>
      <c r="AM34" s="683">
        <f t="shared" si="151"/>
        <v>0</v>
      </c>
      <c r="AN34" s="685">
        <f t="shared" si="152"/>
        <v>0</v>
      </c>
      <c r="AO34" s="686">
        <v>0</v>
      </c>
      <c r="AP34" s="683">
        <f t="shared" si="153"/>
        <v>0</v>
      </c>
      <c r="AQ34" s="685">
        <f t="shared" si="154"/>
        <v>0</v>
      </c>
      <c r="AR34" s="686">
        <v>0</v>
      </c>
      <c r="AS34" s="683">
        <f t="shared" si="155"/>
        <v>0</v>
      </c>
      <c r="AT34" s="685">
        <f t="shared" si="156"/>
        <v>0</v>
      </c>
      <c r="AU34" s="686">
        <v>0</v>
      </c>
      <c r="AV34" s="683">
        <f t="shared" si="157"/>
        <v>0</v>
      </c>
      <c r="AW34" s="685">
        <f t="shared" si="158"/>
        <v>0</v>
      </c>
      <c r="AX34" s="686">
        <v>0</v>
      </c>
      <c r="AY34" s="683">
        <f t="shared" si="159"/>
        <v>0</v>
      </c>
      <c r="AZ34" s="685">
        <f t="shared" si="160"/>
        <v>0</v>
      </c>
      <c r="BA34" s="686">
        <v>0</v>
      </c>
      <c r="BB34" s="683">
        <f t="shared" si="161"/>
        <v>0</v>
      </c>
      <c r="BC34" s="685">
        <f t="shared" si="162"/>
        <v>0</v>
      </c>
      <c r="BD34" s="686">
        <v>0</v>
      </c>
      <c r="BE34" s="683">
        <f t="shared" si="163"/>
        <v>0</v>
      </c>
      <c r="BF34" s="685">
        <f t="shared" si="164"/>
        <v>0</v>
      </c>
      <c r="BG34" s="686">
        <v>0</v>
      </c>
      <c r="BH34" s="683">
        <f t="shared" si="165"/>
        <v>0</v>
      </c>
      <c r="BI34" s="685">
        <f t="shared" si="166"/>
        <v>0</v>
      </c>
      <c r="BJ34" s="686">
        <v>0</v>
      </c>
      <c r="BK34" s="683">
        <f t="shared" si="167"/>
        <v>0</v>
      </c>
      <c r="BL34" s="685">
        <f t="shared" si="168"/>
        <v>0</v>
      </c>
      <c r="BM34" s="686">
        <v>0</v>
      </c>
      <c r="BN34" s="683">
        <f t="shared" si="169"/>
        <v>0</v>
      </c>
      <c r="BO34" s="685">
        <f t="shared" si="170"/>
        <v>0</v>
      </c>
      <c r="BP34" s="686">
        <v>0</v>
      </c>
      <c r="BQ34" s="683">
        <f t="shared" si="171"/>
        <v>0</v>
      </c>
      <c r="BR34" s="685">
        <f t="shared" si="172"/>
        <v>0</v>
      </c>
      <c r="BS34" s="686">
        <v>0</v>
      </c>
      <c r="BT34" s="683">
        <f t="shared" si="173"/>
        <v>0</v>
      </c>
      <c r="BU34" s="685">
        <f t="shared" si="174"/>
        <v>0</v>
      </c>
      <c r="BV34" s="686">
        <f t="shared" si="65"/>
        <v>1</v>
      </c>
      <c r="BW34" s="687">
        <f t="shared" si="1"/>
        <v>0</v>
      </c>
      <c r="BX34" s="688">
        <f t="shared" si="41"/>
        <v>0</v>
      </c>
      <c r="BY34" s="683">
        <f t="shared" si="2"/>
        <v>0</v>
      </c>
      <c r="BZ34" s="693"/>
      <c r="CA34" s="676"/>
    </row>
    <row r="35" spans="1:80">
      <c r="A35" s="2271"/>
      <c r="B35" s="2276"/>
      <c r="C35" s="707" t="s">
        <v>1270</v>
      </c>
      <c r="D35" s="706"/>
      <c r="E35" s="696"/>
      <c r="F35" s="679"/>
      <c r="G35" s="680"/>
      <c r="H35" s="681"/>
      <c r="I35" s="682"/>
      <c r="J35" s="683"/>
      <c r="K35" s="684"/>
      <c r="L35" s="683"/>
      <c r="M35" s="685"/>
      <c r="N35" s="686"/>
      <c r="O35" s="683"/>
      <c r="P35" s="685"/>
      <c r="Q35" s="686"/>
      <c r="R35" s="683"/>
      <c r="S35" s="685"/>
      <c r="T35" s="686"/>
      <c r="U35" s="683"/>
      <c r="V35" s="685"/>
      <c r="W35" s="686"/>
      <c r="X35" s="683"/>
      <c r="Y35" s="685"/>
      <c r="Z35" s="686">
        <v>0</v>
      </c>
      <c r="AA35" s="683"/>
      <c r="AB35" s="685"/>
      <c r="AC35" s="686">
        <v>0</v>
      </c>
      <c r="AD35" s="683"/>
      <c r="AE35" s="685"/>
      <c r="AF35" s="686">
        <v>0</v>
      </c>
      <c r="AG35" s="683"/>
      <c r="AH35" s="685"/>
      <c r="AI35" s="686">
        <v>0</v>
      </c>
      <c r="AJ35" s="683"/>
      <c r="AK35" s="685"/>
      <c r="AL35" s="686">
        <v>0</v>
      </c>
      <c r="AM35" s="683"/>
      <c r="AN35" s="685"/>
      <c r="AO35" s="686">
        <v>0</v>
      </c>
      <c r="AP35" s="683"/>
      <c r="AQ35" s="685"/>
      <c r="AR35" s="686">
        <v>0</v>
      </c>
      <c r="AS35" s="683"/>
      <c r="AT35" s="685"/>
      <c r="AU35" s="686">
        <v>0</v>
      </c>
      <c r="AV35" s="683"/>
      <c r="AW35" s="685"/>
      <c r="AX35" s="686">
        <v>0</v>
      </c>
      <c r="AY35" s="683"/>
      <c r="AZ35" s="685"/>
      <c r="BA35" s="686">
        <v>0</v>
      </c>
      <c r="BB35" s="683"/>
      <c r="BC35" s="685"/>
      <c r="BD35" s="686">
        <v>0</v>
      </c>
      <c r="BE35" s="683"/>
      <c r="BF35" s="685"/>
      <c r="BG35" s="686">
        <v>0</v>
      </c>
      <c r="BH35" s="683"/>
      <c r="BI35" s="685"/>
      <c r="BJ35" s="686">
        <v>0</v>
      </c>
      <c r="BK35" s="683"/>
      <c r="BL35" s="685"/>
      <c r="BM35" s="686">
        <v>0</v>
      </c>
      <c r="BN35" s="683"/>
      <c r="BO35" s="685"/>
      <c r="BP35" s="686">
        <v>0</v>
      </c>
      <c r="BQ35" s="683"/>
      <c r="BR35" s="685"/>
      <c r="BS35" s="686">
        <v>0</v>
      </c>
      <c r="BT35" s="683"/>
      <c r="BU35" s="685"/>
      <c r="BV35" s="686">
        <f>I35-K35-N35-Q35-T35-W35-Z35-AC35-AF35-AI35-AL35-AO35-BD35-BG35-BJ35-BM35-BP35-BS35</f>
        <v>0</v>
      </c>
      <c r="BW35" s="687">
        <f t="shared" si="1"/>
        <v>0</v>
      </c>
      <c r="BX35" s="688">
        <f t="shared" si="41"/>
        <v>0</v>
      </c>
      <c r="BY35" s="683">
        <f t="shared" si="2"/>
        <v>0</v>
      </c>
      <c r="BZ35" s="693"/>
      <c r="CA35" s="676"/>
    </row>
    <row r="36" spans="1:80">
      <c r="A36" s="2269"/>
      <c r="B36" s="2270"/>
      <c r="C36" s="706"/>
      <c r="D36" s="706"/>
      <c r="E36" s="696"/>
      <c r="F36" s="679"/>
      <c r="G36" s="680"/>
      <c r="H36" s="681"/>
      <c r="I36" s="692"/>
      <c r="J36" s="683"/>
      <c r="K36" s="684"/>
      <c r="L36" s="683"/>
      <c r="M36" s="685"/>
      <c r="N36" s="686"/>
      <c r="O36" s="683"/>
      <c r="P36" s="685"/>
      <c r="Q36" s="686"/>
      <c r="R36" s="683"/>
      <c r="S36" s="685"/>
      <c r="T36" s="686"/>
      <c r="U36" s="683"/>
      <c r="V36" s="685"/>
      <c r="W36" s="686"/>
      <c r="X36" s="683"/>
      <c r="Y36" s="685"/>
      <c r="Z36" s="686"/>
      <c r="AA36" s="683"/>
      <c r="AB36" s="685"/>
      <c r="AC36" s="686"/>
      <c r="AD36" s="683"/>
      <c r="AE36" s="685"/>
      <c r="AF36" s="686"/>
      <c r="AG36" s="683"/>
      <c r="AH36" s="685"/>
      <c r="AI36" s="686"/>
      <c r="AJ36" s="683"/>
      <c r="AK36" s="685"/>
      <c r="AL36" s="686"/>
      <c r="AM36" s="683"/>
      <c r="AN36" s="685"/>
      <c r="AO36" s="686"/>
      <c r="AP36" s="683"/>
      <c r="AQ36" s="685"/>
      <c r="AR36" s="686"/>
      <c r="AS36" s="683"/>
      <c r="AT36" s="685"/>
      <c r="AU36" s="686"/>
      <c r="AV36" s="683"/>
      <c r="AW36" s="685"/>
      <c r="AX36" s="686"/>
      <c r="AY36" s="683"/>
      <c r="AZ36" s="685"/>
      <c r="BA36" s="686"/>
      <c r="BB36" s="683"/>
      <c r="BC36" s="685"/>
      <c r="BD36" s="686"/>
      <c r="BE36" s="683"/>
      <c r="BF36" s="685"/>
      <c r="BG36" s="686"/>
      <c r="BH36" s="683"/>
      <c r="BI36" s="685"/>
      <c r="BJ36" s="686"/>
      <c r="BK36" s="683"/>
      <c r="BL36" s="685"/>
      <c r="BM36" s="686"/>
      <c r="BN36" s="683"/>
      <c r="BO36" s="685"/>
      <c r="BP36" s="686"/>
      <c r="BQ36" s="683"/>
      <c r="BR36" s="685"/>
      <c r="BS36" s="686"/>
      <c r="BT36" s="683"/>
      <c r="BU36" s="685"/>
      <c r="BV36" s="686"/>
      <c r="BW36" s="687"/>
      <c r="BX36" s="688"/>
      <c r="BY36" s="683"/>
      <c r="BZ36" s="693"/>
      <c r="CA36" s="676"/>
    </row>
    <row r="37" spans="1:80">
      <c r="A37" s="647"/>
      <c r="C37" s="708"/>
      <c r="D37" s="709" t="s">
        <v>186</v>
      </c>
      <c r="E37" s="710">
        <f>G37</f>
        <v>1536855.72</v>
      </c>
      <c r="F37" s="710">
        <f>SUM(F9:F36)</f>
        <v>1536855.72</v>
      </c>
      <c r="G37" s="711">
        <f>SUM(G9:G36)</f>
        <v>1536855.72</v>
      </c>
      <c r="H37" s="712">
        <f>SUM(H9:H36)</f>
        <v>99.999999999999986</v>
      </c>
      <c r="I37" s="713"/>
      <c r="J37" s="714"/>
      <c r="K37" s="715"/>
      <c r="L37" s="716">
        <f>SUM(L9:L36)</f>
        <v>163600</v>
      </c>
      <c r="M37" s="717">
        <f>SUM(M9:M36)</f>
        <v>10.649999999999999</v>
      </c>
      <c r="N37" s="718" t="s">
        <v>494</v>
      </c>
      <c r="O37" s="716">
        <f>SUM(O9:O36)</f>
        <v>617700</v>
      </c>
      <c r="P37" s="717">
        <f>SUM(P9:P36)</f>
        <v>40.19</v>
      </c>
      <c r="Q37" s="718" t="s">
        <v>494</v>
      </c>
      <c r="R37" s="716">
        <f>SUM(R9:R36)</f>
        <v>617700</v>
      </c>
      <c r="S37" s="717">
        <f>SUM(S9:S36)</f>
        <v>40.19</v>
      </c>
      <c r="T37" s="715" t="s">
        <v>494</v>
      </c>
      <c r="U37" s="716">
        <f>SUM(U9:U36)</f>
        <v>0</v>
      </c>
      <c r="V37" s="716">
        <f>SUM(V9:V36)</f>
        <v>0</v>
      </c>
      <c r="W37" s="715" t="s">
        <v>494</v>
      </c>
      <c r="X37" s="716">
        <f>SUM(X9:X36)</f>
        <v>0</v>
      </c>
      <c r="Y37" s="716">
        <f>SUM(Y9:Y36)</f>
        <v>0</v>
      </c>
      <c r="Z37" s="715" t="s">
        <v>494</v>
      </c>
      <c r="AA37" s="716">
        <f>SUM(AA9:AA36)</f>
        <v>0</v>
      </c>
      <c r="AB37" s="716">
        <f>SUM(AB9:AB36)</f>
        <v>0</v>
      </c>
      <c r="AC37" s="715" t="s">
        <v>494</v>
      </c>
      <c r="AD37" s="716">
        <f>SUM(AD9:AD36)</f>
        <v>0</v>
      </c>
      <c r="AE37" s="716">
        <f>SUM(AE9:AE36)</f>
        <v>0</v>
      </c>
      <c r="AF37" s="715" t="s">
        <v>494</v>
      </c>
      <c r="AG37" s="716">
        <f>SUM(AG9:AG36)</f>
        <v>0</v>
      </c>
      <c r="AH37" s="716">
        <f>SUM(AH9:AH36)</f>
        <v>0</v>
      </c>
      <c r="AI37" s="715" t="s">
        <v>494</v>
      </c>
      <c r="AJ37" s="716">
        <f>SUM(AJ9:AJ36)</f>
        <v>0</v>
      </c>
      <c r="AK37" s="716">
        <f>SUM(AK9:AK36)</f>
        <v>0</v>
      </c>
      <c r="AL37" s="715" t="s">
        <v>494</v>
      </c>
      <c r="AM37" s="716">
        <f>SUM(AM9:AM36)</f>
        <v>0</v>
      </c>
      <c r="AN37" s="716">
        <f>SUM(AN9:AN36)</f>
        <v>0</v>
      </c>
      <c r="AO37" s="715" t="s">
        <v>494</v>
      </c>
      <c r="AP37" s="716">
        <f>SUM(AP9:AP36)</f>
        <v>0</v>
      </c>
      <c r="AQ37" s="716">
        <f>SUM(AQ9:AQ36)</f>
        <v>0</v>
      </c>
      <c r="AR37" s="715" t="s">
        <v>494</v>
      </c>
      <c r="AS37" s="716">
        <f>SUM(AS9:AS36)</f>
        <v>0</v>
      </c>
      <c r="AT37" s="716">
        <f>SUM(AT9:AT36)</f>
        <v>0</v>
      </c>
      <c r="AU37" s="715" t="s">
        <v>494</v>
      </c>
      <c r="AV37" s="716">
        <f>SUM(AV9:AV36)</f>
        <v>0</v>
      </c>
      <c r="AW37" s="716">
        <f>SUM(AW9:AW36)</f>
        <v>0</v>
      </c>
      <c r="AX37" s="715" t="s">
        <v>494</v>
      </c>
      <c r="AY37" s="716">
        <f>SUM(AY9:AY36)</f>
        <v>0</v>
      </c>
      <c r="AZ37" s="716">
        <f>SUM(AZ9:AZ36)</f>
        <v>0</v>
      </c>
      <c r="BA37" s="715" t="s">
        <v>494</v>
      </c>
      <c r="BB37" s="716">
        <f>SUM(BB9:BB36)</f>
        <v>0</v>
      </c>
      <c r="BC37" s="716">
        <f>SUM(BC9:BC36)</f>
        <v>0</v>
      </c>
      <c r="BD37" s="715" t="s">
        <v>494</v>
      </c>
      <c r="BE37" s="716">
        <f>SUM(BE9:BE36)</f>
        <v>0</v>
      </c>
      <c r="BF37" s="716">
        <f>SUM(BF9:BF36)</f>
        <v>0</v>
      </c>
      <c r="BG37" s="715" t="s">
        <v>494</v>
      </c>
      <c r="BH37" s="716">
        <f>SUM(BH9:BH36)</f>
        <v>0</v>
      </c>
      <c r="BI37" s="716">
        <f>SUM(BI9:BI36)</f>
        <v>0</v>
      </c>
      <c r="BJ37" s="715" t="s">
        <v>494</v>
      </c>
      <c r="BK37" s="716">
        <f>SUM(BK9:BK36)</f>
        <v>0</v>
      </c>
      <c r="BL37" s="716">
        <f>SUM(BL9:BL36)</f>
        <v>0</v>
      </c>
      <c r="BM37" s="715" t="s">
        <v>494</v>
      </c>
      <c r="BN37" s="716">
        <f>SUM(BN9:BN36)</f>
        <v>0</v>
      </c>
      <c r="BO37" s="716">
        <f>SUM(BO9:BO36)</f>
        <v>0</v>
      </c>
      <c r="BP37" s="715" t="s">
        <v>494</v>
      </c>
      <c r="BQ37" s="716">
        <f>SUM(BQ9:BQ36)</f>
        <v>0</v>
      </c>
      <c r="BR37" s="716">
        <f>SUM(BR9:BR36)</f>
        <v>0</v>
      </c>
      <c r="BS37" s="715" t="s">
        <v>494</v>
      </c>
      <c r="BT37" s="716">
        <f>SUM(BT9:BT36)</f>
        <v>0</v>
      </c>
      <c r="BU37" s="716">
        <f>SUM(BU9:BU36)</f>
        <v>0</v>
      </c>
      <c r="BV37" s="715" t="s">
        <v>494</v>
      </c>
      <c r="BW37" s="716">
        <f>SUM(BW9:BW36)</f>
        <v>137840</v>
      </c>
      <c r="BX37" s="719">
        <f>SUM(BX9:BX36)</f>
        <v>8.9700000000000006</v>
      </c>
      <c r="BY37" s="714">
        <f>L37+O37+R37+U37+X37+AA37+AD37+AG37+AJ37+AM37+AP37+BE37+BH37+BK37+BN37+BQ37+BT37+BW37</f>
        <v>1536840</v>
      </c>
      <c r="BZ37" s="720"/>
      <c r="CA37" s="721">
        <f>G37-BY39</f>
        <v>15.71999999997206</v>
      </c>
      <c r="CB37" s="701"/>
    </row>
    <row r="38" spans="1:80">
      <c r="A38" s="647"/>
      <c r="C38" s="639" t="s">
        <v>1123</v>
      </c>
      <c r="D38" s="722"/>
      <c r="E38" s="723">
        <f>F37*D38</f>
        <v>0</v>
      </c>
      <c r="F38" s="724"/>
      <c r="G38" s="725">
        <f>'ปร.5 road'!G16</f>
        <v>1557140.1632930001</v>
      </c>
      <c r="I38" s="726"/>
      <c r="J38" s="726"/>
      <c r="K38" s="726"/>
      <c r="L38" s="726">
        <v>1</v>
      </c>
      <c r="M38" s="727"/>
      <c r="N38" s="728"/>
      <c r="O38" s="728">
        <v>2</v>
      </c>
      <c r="P38" s="729"/>
      <c r="Q38" s="730"/>
      <c r="R38" s="731">
        <v>3</v>
      </c>
      <c r="S38" s="732"/>
      <c r="T38" s="731"/>
      <c r="U38" s="731">
        <v>4</v>
      </c>
      <c r="V38" s="731"/>
      <c r="W38" s="731"/>
      <c r="X38" s="731">
        <v>5</v>
      </c>
      <c r="Y38" s="731"/>
      <c r="Z38" s="731"/>
      <c r="AA38" s="731">
        <v>6</v>
      </c>
      <c r="AB38" s="731"/>
      <c r="AC38" s="731"/>
      <c r="AD38" s="731">
        <v>7</v>
      </c>
      <c r="AE38" s="731"/>
      <c r="AF38" s="731"/>
      <c r="AG38" s="731">
        <v>8</v>
      </c>
      <c r="AH38" s="731"/>
      <c r="AI38" s="731"/>
      <c r="AJ38" s="731">
        <v>9</v>
      </c>
      <c r="AK38" s="731"/>
      <c r="AL38" s="731"/>
      <c r="AM38" s="731">
        <v>10</v>
      </c>
      <c r="AN38" s="731"/>
      <c r="AO38" s="731"/>
      <c r="AP38" s="731">
        <v>11</v>
      </c>
      <c r="AQ38" s="731"/>
      <c r="AR38" s="731"/>
      <c r="AS38" s="731">
        <v>12</v>
      </c>
      <c r="AT38" s="731"/>
      <c r="AU38" s="731"/>
      <c r="AV38" s="731">
        <v>13</v>
      </c>
      <c r="AW38" s="731"/>
      <c r="AX38" s="731"/>
      <c r="AY38" s="731">
        <v>14</v>
      </c>
      <c r="AZ38" s="731"/>
      <c r="BA38" s="731"/>
      <c r="BB38" s="731">
        <v>15</v>
      </c>
      <c r="BC38" s="731"/>
      <c r="BD38" s="731"/>
      <c r="BE38" s="731">
        <v>16</v>
      </c>
      <c r="BF38" s="731"/>
      <c r="BG38" s="731"/>
      <c r="BH38" s="731">
        <v>17</v>
      </c>
      <c r="BI38" s="731"/>
      <c r="BJ38" s="731"/>
      <c r="BK38" s="731">
        <v>18</v>
      </c>
      <c r="BL38" s="731"/>
      <c r="BM38" s="731"/>
      <c r="BN38" s="731">
        <v>19</v>
      </c>
      <c r="BO38" s="731"/>
      <c r="BP38" s="731"/>
      <c r="BQ38" s="731">
        <v>20</v>
      </c>
      <c r="BR38" s="731"/>
      <c r="BS38" s="731"/>
      <c r="BT38" s="731">
        <v>21</v>
      </c>
      <c r="BU38" s="731"/>
      <c r="BV38" s="729"/>
      <c r="BW38" s="746">
        <f>BW37+CA37</f>
        <v>137855.71999999997</v>
      </c>
      <c r="BX38" s="733"/>
      <c r="BY38" s="734">
        <f>M37+P37+S37+V37+Y37+AB37+AE37+AH37+AK37+AN37+AQ37+BF37+BI37+BL37+BO37+BR37+BX37+BU37+BC37+AZ37+AW37+AT37</f>
        <v>100</v>
      </c>
      <c r="BZ38" s="735"/>
      <c r="CA38" s="2271"/>
      <c r="CB38" s="2272"/>
    </row>
    <row r="39" spans="1:80">
      <c r="A39" s="647"/>
      <c r="D39" s="751" t="s">
        <v>1124</v>
      </c>
      <c r="E39" s="736"/>
      <c r="F39" s="647"/>
      <c r="G39" s="737">
        <f>G38-G37</f>
        <v>20284.443293000106</v>
      </c>
      <c r="H39" s="647"/>
      <c r="K39" s="638" t="s">
        <v>1125</v>
      </c>
      <c r="L39" s="680">
        <f>100/22</f>
        <v>4.5454545454545459</v>
      </c>
      <c r="O39" s="647"/>
      <c r="P39" s="647"/>
      <c r="Q39" s="647"/>
      <c r="AI39" s="701">
        <f>AF20+AI20</f>
        <v>0</v>
      </c>
      <c r="AL39" s="701">
        <f>AI39+AL20</f>
        <v>0</v>
      </c>
      <c r="AO39" s="701">
        <f>AL39+AO20</f>
        <v>0</v>
      </c>
      <c r="BD39" s="701">
        <f>AO39+BD20</f>
        <v>0</v>
      </c>
      <c r="BG39" s="701">
        <f>BD39+BG20</f>
        <v>0</v>
      </c>
      <c r="BJ39" s="701">
        <f>BG39+BJ20</f>
        <v>0</v>
      </c>
      <c r="BM39" s="701">
        <f>BJ39+BM20</f>
        <v>0</v>
      </c>
      <c r="BP39" s="701">
        <f>BM39+BP20</f>
        <v>0</v>
      </c>
      <c r="BS39" s="701">
        <f>BP39+BS20</f>
        <v>0</v>
      </c>
      <c r="BV39" s="701"/>
      <c r="BY39" s="680">
        <f>SUM(BY8:BY36)</f>
        <v>1536840</v>
      </c>
    </row>
    <row r="40" spans="1:80" ht="29.25">
      <c r="A40" s="647"/>
      <c r="G40" s="739"/>
      <c r="L40" s="740">
        <f>G38*L39/100</f>
        <v>70779.098331500019</v>
      </c>
      <c r="O40" s="647"/>
      <c r="P40" s="647"/>
      <c r="Q40" s="647"/>
      <c r="Z40" s="762">
        <f>0.85*6</f>
        <v>5.0999999999999996</v>
      </c>
      <c r="AI40" s="701">
        <f>AF21+AI21</f>
        <v>0</v>
      </c>
      <c r="AL40" s="701">
        <f>AI40+AL21</f>
        <v>0</v>
      </c>
      <c r="AO40" s="701">
        <f>AL40+AO21</f>
        <v>0</v>
      </c>
      <c r="BD40" s="701">
        <f>AO40+BD21</f>
        <v>0</v>
      </c>
      <c r="BG40" s="701">
        <f>BD40+BG21</f>
        <v>0</v>
      </c>
      <c r="BJ40" s="701">
        <f>BG40+BJ21</f>
        <v>0</v>
      </c>
      <c r="BM40" s="701">
        <f>BJ40+BM21</f>
        <v>0</v>
      </c>
      <c r="BP40" s="701">
        <f>BM40+BP21</f>
        <v>0</v>
      </c>
      <c r="BQ40" s="701">
        <f>BP39+BP40</f>
        <v>0</v>
      </c>
      <c r="BS40" s="701">
        <f>BP40+BS21</f>
        <v>0</v>
      </c>
      <c r="BT40" s="701">
        <f>BS39+BS40</f>
        <v>0</v>
      </c>
      <c r="BV40" s="738"/>
      <c r="BW40" s="761">
        <f>L37+O37+R37+U37+X37+AA37+AD37+AG37+AJ37+AM37+AP37+BE37+BH37+BK37+BN37+BQ37+BT37+BW37+BB37+AY37+AV37+AS37</f>
        <v>1536840</v>
      </c>
      <c r="BY40" s="741">
        <f>BY39+CA37</f>
        <v>1536855.72</v>
      </c>
    </row>
    <row r="41" spans="1:80">
      <c r="A41" s="647"/>
      <c r="E41" s="701"/>
      <c r="G41" s="638" t="s">
        <v>1126</v>
      </c>
      <c r="I41" s="640" t="s">
        <v>83</v>
      </c>
      <c r="O41" s="647"/>
      <c r="P41" s="647"/>
      <c r="Q41" s="647"/>
      <c r="BV41" s="738"/>
      <c r="BW41" s="701">
        <f>BW40+CA37</f>
        <v>1536855.72</v>
      </c>
      <c r="BY41" s="701">
        <f>G37</f>
        <v>1536855.72</v>
      </c>
    </row>
    <row r="42" spans="1:80">
      <c r="A42" s="647"/>
      <c r="G42" s="2273" t="str">
        <f>กรอกข้อมูล!B20</f>
        <v>นายวัชระ  คำแดง</v>
      </c>
      <c r="H42" s="2272"/>
      <c r="I42" s="2272"/>
      <c r="O42" s="647"/>
      <c r="P42" s="647"/>
      <c r="Q42" s="647"/>
      <c r="BV42" s="738"/>
    </row>
    <row r="43" spans="1:80">
      <c r="O43" s="647"/>
      <c r="P43" s="647"/>
      <c r="Q43" s="647"/>
      <c r="BV43" s="738"/>
    </row>
    <row r="44" spans="1:80">
      <c r="O44" s="647"/>
      <c r="P44" s="647"/>
      <c r="BV44" s="742"/>
    </row>
    <row r="45" spans="1:80">
      <c r="O45" s="647"/>
      <c r="P45" s="647"/>
    </row>
    <row r="46" spans="1:80">
      <c r="O46" s="647"/>
      <c r="P46" s="647"/>
    </row>
  </sheetData>
  <mergeCells count="37">
    <mergeCell ref="N6:O6"/>
    <mergeCell ref="A1:K1"/>
    <mergeCell ref="G3:H3"/>
    <mergeCell ref="A6:B6"/>
    <mergeCell ref="C6:D7"/>
    <mergeCell ref="K6:L6"/>
    <mergeCell ref="BJ6:BK6"/>
    <mergeCell ref="Q6:R6"/>
    <mergeCell ref="T6:U6"/>
    <mergeCell ref="W6:X6"/>
    <mergeCell ref="Z6:AA6"/>
    <mergeCell ref="AC6:AD6"/>
    <mergeCell ref="AF6:AG6"/>
    <mergeCell ref="AI6:AJ6"/>
    <mergeCell ref="AL6:AM6"/>
    <mergeCell ref="AO6:AP6"/>
    <mergeCell ref="BD6:BE6"/>
    <mergeCell ref="BG6:BH6"/>
    <mergeCell ref="AU6:AV6"/>
    <mergeCell ref="AX6:AY6"/>
    <mergeCell ref="BA6:BB6"/>
    <mergeCell ref="A36:B36"/>
    <mergeCell ref="CA38:CB38"/>
    <mergeCell ref="G42:I42"/>
    <mergeCell ref="BS6:BT6"/>
    <mergeCell ref="A18:B18"/>
    <mergeCell ref="A19:B19"/>
    <mergeCell ref="A22:B22"/>
    <mergeCell ref="A27:B27"/>
    <mergeCell ref="A28:B28"/>
    <mergeCell ref="A35:B35"/>
    <mergeCell ref="BM6:BN6"/>
    <mergeCell ref="BP6:BQ6"/>
    <mergeCell ref="BV6:BW6"/>
    <mergeCell ref="A8:B8"/>
    <mergeCell ref="A16:B16"/>
    <mergeCell ref="A17:B17"/>
  </mergeCells>
  <printOptions horizontalCentered="1"/>
  <pageMargins left="0.15748031496063" right="0" top="1.36" bottom="0.196850393700787" header="0" footer="0"/>
  <pageSetup paperSize="8" scale="70" orientation="landscape" blackAndWhite="1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32</vt:i4>
      </vt:variant>
      <vt:variant>
        <vt:lpstr>ช่วงที่มีชื่อ</vt:lpstr>
      </vt:variant>
      <vt:variant>
        <vt:i4>26</vt:i4>
      </vt:variant>
    </vt:vector>
  </HeadingPairs>
  <TitlesOfParts>
    <vt:vector size="58" baseType="lpstr">
      <vt:lpstr>กรอกข้อมูล</vt:lpstr>
      <vt:lpstr>กรอกราคาวัสดุ</vt:lpstr>
      <vt:lpstr>ค่างานต้นทุน</vt:lpstr>
      <vt:lpstr>ปร.5 road</vt:lpstr>
      <vt:lpstr>ปร.4 road</vt:lpstr>
      <vt:lpstr>ปะคำ</vt:lpstr>
      <vt:lpstr>งวดเงิน</vt:lpstr>
      <vt:lpstr>งวดเงิน%</vt:lpstr>
      <vt:lpstr>สรุปงวด</vt:lpstr>
      <vt:lpstr>แผนที่ขนส่ง1</vt:lpstr>
      <vt:lpstr>ราคาป้าย</vt:lpstr>
      <vt:lpstr>ราคากลาง</vt:lpstr>
      <vt:lpstr>บัญชี</vt:lpstr>
      <vt:lpstr>งานกำแพงปากท่อ</vt:lpstr>
      <vt:lpstr>รายระบายน้ำ-2</vt:lpstr>
      <vt:lpstr>อำนวยการ(Bridge)</vt:lpstr>
      <vt:lpstr>ดอกเบี้ย(Bridge)</vt:lpstr>
      <vt:lpstr>ดอกเบี้ย(Road)</vt:lpstr>
      <vt:lpstr>รางระบายน้ำ</vt:lpstr>
      <vt:lpstr>บ่อพัก</vt:lpstr>
      <vt:lpstr>ขนาด ท่อ</vt:lpstr>
      <vt:lpstr>(F Road)</vt:lpstr>
      <vt:lpstr>F(Bridge)</vt:lpstr>
      <vt:lpstr>ค่าเสื่อมราคา(แก้ไข26ธค.60)</vt:lpstr>
      <vt:lpstr>Oil(แก้ไข26 ธค.60)</vt:lpstr>
      <vt:lpstr>1.ป้ายจราจร </vt:lpstr>
      <vt:lpstr>2.สำนักงาน</vt:lpstr>
      <vt:lpstr>3.ค่าเช่ารถ</vt:lpstr>
      <vt:lpstr>4.ส่วนร่วม</vt:lpstr>
      <vt:lpstr>อำนวยการ(Road)</vt:lpstr>
      <vt:lpstr>Sheet1</vt:lpstr>
      <vt:lpstr>Sheet2</vt:lpstr>
      <vt:lpstr>D</vt:lpstr>
      <vt:lpstr>Data</vt:lpstr>
      <vt:lpstr>l</vt:lpstr>
      <vt:lpstr>oil</vt:lpstr>
      <vt:lpstr>P</vt:lpstr>
      <vt:lpstr>'1.ป้ายจราจร '!Print_Area</vt:lpstr>
      <vt:lpstr>'2.สำนักงาน'!Print_Area</vt:lpstr>
      <vt:lpstr>'3.ค่าเช่ารถ'!Print_Area</vt:lpstr>
      <vt:lpstr>'4.ส่วนร่วม'!Print_Area</vt:lpstr>
      <vt:lpstr>กรอกราคาวัสดุ!Print_Area</vt:lpstr>
      <vt:lpstr>ค่างานต้นทุน!Print_Area</vt:lpstr>
      <vt:lpstr>'ค่าเสื่อมราคา(แก้ไข26ธค.60)'!Print_Area</vt:lpstr>
      <vt:lpstr>งวดเงิน!Print_Area</vt:lpstr>
      <vt:lpstr>'งวดเงิน%'!Print_Area</vt:lpstr>
      <vt:lpstr>งานกำแพงปากท่อ!Print_Area</vt:lpstr>
      <vt:lpstr>บัญชี!Print_Area</vt:lpstr>
      <vt:lpstr>'ปร.4 road'!Print_Area</vt:lpstr>
      <vt:lpstr>'ปร.5 road'!Print_Area</vt:lpstr>
      <vt:lpstr>แผนที่ขนส่ง1!Print_Area</vt:lpstr>
      <vt:lpstr>ราคากลาง!Print_Area</vt:lpstr>
      <vt:lpstr>ค่างานต้นทุน!Print_Titles</vt:lpstr>
      <vt:lpstr>บัญชี!Print_Titles</vt:lpstr>
      <vt:lpstr>'ปร.4 road'!Print_Titles</vt:lpstr>
      <vt:lpstr>ปะคำ!Print_Titles</vt:lpstr>
      <vt:lpstr>ราคากลาง!Print_Titles</vt:lpstr>
      <vt:lpstr>ค2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วัชระ</dc:creator>
  <cp:lastModifiedBy>ADMIN</cp:lastModifiedBy>
  <cp:lastPrinted>2022-08-30T07:35:50Z</cp:lastPrinted>
  <dcterms:created xsi:type="dcterms:W3CDTF">1999-02-05T00:12:46Z</dcterms:created>
  <dcterms:modified xsi:type="dcterms:W3CDTF">2022-09-07T05:25:01Z</dcterms:modified>
</cp:coreProperties>
</file>